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7.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8.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autoCompressPictures="0"/>
  <mc:AlternateContent xmlns:mc="http://schemas.openxmlformats.org/markup-compatibility/2006">
    <mc:Choice Requires="x15">
      <x15ac:absPath xmlns:x15ac="http://schemas.microsoft.com/office/spreadsheetml/2010/11/ac" url="C:\Users\Nicho\Desktop\"/>
    </mc:Choice>
  </mc:AlternateContent>
  <xr:revisionPtr revIDLastSave="0" documentId="13_ncr:1_{545E6199-E345-4B7A-BEEF-A47B05B28D04}" xr6:coauthVersionLast="47" xr6:coauthVersionMax="47" xr10:uidLastSave="{00000000-0000-0000-0000-000000000000}"/>
  <bookViews>
    <workbookView xWindow="-108" yWindow="-108" windowWidth="23256" windowHeight="12576" tabRatio="700" firstSheet="1" activeTab="8" xr2:uid="{ECB60076-8EA1-4BF9-B1B1-B63553EB7810}"/>
  </bookViews>
  <sheets>
    <sheet name="Instructions" sheetId="36" r:id="rId1"/>
    <sheet name="Cover" sheetId="52" r:id="rId2"/>
    <sheet name="Checklist &amp; TOC" sheetId="66" state="hidden" r:id="rId3"/>
    <sheet name="Summary" sheetId="18" r:id="rId4"/>
    <sheet name="Statistics" sheetId="67" r:id="rId5"/>
    <sheet name="Mkt Res" sheetId="41" state="hidden" r:id="rId6"/>
    <sheet name=" Enrol &amp; Rev" sheetId="13" r:id="rId7"/>
    <sheet name="Pre Y1 (Incubation)" sheetId="39" state="hidden" r:id="rId8"/>
    <sheet name="CF Y1 Mo" sheetId="38" r:id="rId9"/>
    <sheet name="Staff" sheetId="62" r:id="rId10"/>
    <sheet name="Facilities" sheetId="46" r:id="rId11"/>
    <sheet name="Gen Optg" sheetId="61" r:id="rId12"/>
    <sheet name="FFE&amp;T" sheetId="34" r:id="rId13"/>
    <sheet name="Ins" sheetId="47" r:id="rId14"/>
    <sheet name="Marketing" sheetId="48" r:id="rId15"/>
    <sheet name="EMO-CMO" sheetId="45" r:id="rId16"/>
    <sheet name="Demographics" sheetId="71" r:id="rId17"/>
    <sheet name="PCFP Rates" sheetId="35" r:id="rId18"/>
    <sheet name="Facilities wkst" sheetId="53" r:id="rId19"/>
    <sheet name="Dev Notes" sheetId="57" state="hidden" r:id="rId20"/>
    <sheet name="Note FFE" sheetId="54" state="hidden" r:id="rId21"/>
    <sheet name="Eq wip" sheetId="55" state="hidden" r:id="rId22"/>
    <sheet name="Scratchpad (2)" sheetId="69" state="hidden" r:id="rId23"/>
    <sheet name="Levers" sheetId="63" r:id="rId24"/>
    <sheet name="Scratchpad" sheetId="68" r:id="rId25"/>
    <sheet name="Lease rate calculations" sheetId="72" r:id="rId26"/>
    <sheet name="RFA Attachments" sheetId="73" r:id="rId27"/>
    <sheet name="FP Data-Rtgs" sheetId="74" r:id="rId28"/>
  </sheets>
  <definedNames>
    <definedName name="Counties">'PCFP Rates'!$O$15:$O$43</definedName>
    <definedName name="County">'PCFP Rates'!$O$15:$O$43</definedName>
    <definedName name="DSA">'PCFP Rates'!$P$15:$P$43</definedName>
    <definedName name="FICA_Rate">Staff!$C$59</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_xlnm.Print_Area" localSheetId="6">' Enrol &amp; Rev'!$A$1:$M$143</definedName>
    <definedName name="_xlnm.Print_Area" localSheetId="8">'CF Y1 Mo'!$A$1:$Q$143</definedName>
    <definedName name="_xlnm.Print_Area" localSheetId="2">'Checklist &amp; TOC'!$A$1:$K$28</definedName>
    <definedName name="_xlnm.Print_Area" localSheetId="1">Cover!$A$1:$G$27</definedName>
    <definedName name="_xlnm.Print_Area" localSheetId="16">Demographics!$A$1:$M$51</definedName>
    <definedName name="_xlnm.Print_Area" localSheetId="19">'Dev Notes'!$A$1:$T$90</definedName>
    <definedName name="_xlnm.Print_Area" localSheetId="15">'EMO-CMO'!$A$1:$L$79</definedName>
    <definedName name="_xlnm.Print_Area" localSheetId="21">'Eq wip'!$A$1:$N$50</definedName>
    <definedName name="_xlnm.Print_Area" localSheetId="10">Facilities!$A$1:$L$77</definedName>
    <definedName name="_xlnm.Print_Area" localSheetId="12">'FFE&amp;T'!$A$1:$L$55</definedName>
    <definedName name="_xlnm.Print_Area" localSheetId="27">'FP Data-Rtgs'!$A$1:$O$339</definedName>
    <definedName name="_xlnm.Print_Area" localSheetId="11">'Gen Optg'!$A$1:$L$180</definedName>
    <definedName name="_xlnm.Print_Area" localSheetId="13">Ins!$A$1:$L$50</definedName>
    <definedName name="_xlnm.Print_Area" localSheetId="0">Instructions!$A$2:$A$99</definedName>
    <definedName name="_xlnm.Print_Area" localSheetId="23">Levers!$A$1:$I$39</definedName>
    <definedName name="_xlnm.Print_Area" localSheetId="14">Marketing!$A$1:$N$46</definedName>
    <definedName name="_xlnm.Print_Area" localSheetId="5">'Mkt Res'!$A$1:$K$71</definedName>
    <definedName name="_xlnm.Print_Area" localSheetId="20">'Note FFE'!$A$1:$I$43</definedName>
    <definedName name="_xlnm.Print_Area" localSheetId="17">'PCFP Rates'!$A$1:$M$435</definedName>
    <definedName name="_xlnm.Print_Area" localSheetId="7">'Pre Y1 (Incubation)'!$A$1:$F$8</definedName>
    <definedName name="_xlnm.Print_Area" localSheetId="24">Scratchpad!$A$1:$L$44</definedName>
    <definedName name="_xlnm.Print_Area" localSheetId="22">'Scratchpad (2)'!$A$1:$Q$44</definedName>
    <definedName name="_xlnm.Print_Area" localSheetId="9">Staff!$A$1:$M$473</definedName>
    <definedName name="_xlnm.Print_Area" localSheetId="4">Statistics!$A$1:$L$125</definedName>
    <definedName name="_xlnm.Print_Area" localSheetId="3">Summary!$A$1:$L$81</definedName>
    <definedName name="_xlnm.Print_Titles" localSheetId="6">' Enrol &amp; Rev'!$9:$11</definedName>
    <definedName name="_xlnm.Print_Titles" localSheetId="8">'CF Y1 Mo'!$7:$12</definedName>
    <definedName name="_xlnm.Print_Titles" localSheetId="15">'EMO-CMO'!$9:$11</definedName>
    <definedName name="_xlnm.Print_Titles" localSheetId="18">'Facilities wkst'!$A:$A</definedName>
    <definedName name="_xlnm.Print_Titles" localSheetId="27">'FP Data-Rtgs'!$1:$6</definedName>
    <definedName name="_xlnm.Print_Titles" localSheetId="11">'Gen Optg'!$9:$11</definedName>
    <definedName name="_xlnm.Print_Titles" localSheetId="23">Levers!$7:$8</definedName>
    <definedName name="_xlnm.Print_Titles" localSheetId="14">Marketing!$11:$13</definedName>
    <definedName name="_xlnm.Print_Titles" localSheetId="5">'Mkt Res'!$7:$9</definedName>
    <definedName name="_xlnm.Print_Titles" localSheetId="9">Staff!#REF!</definedName>
    <definedName name="_xlnm.Print_Titles" localSheetId="3">Summary!$6:$8</definedName>
    <definedName name="SchoolName">Cover!$C$9</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 i="61" l="1"/>
  <c r="I65" i="61"/>
  <c r="J65" i="61"/>
  <c r="K65" i="61"/>
  <c r="L65" i="61"/>
  <c r="G65" i="61"/>
  <c r="G7" i="72"/>
  <c r="H7" i="72" s="1"/>
  <c r="F7" i="72"/>
  <c r="E7" i="72"/>
  <c r="D7" i="72"/>
  <c r="C7" i="72"/>
  <c r="K22" i="13"/>
  <c r="K23" i="13"/>
  <c r="K24" i="13"/>
  <c r="K25" i="13"/>
  <c r="J22" i="13"/>
  <c r="J23" i="13"/>
  <c r="J24" i="13"/>
  <c r="I22" i="13"/>
  <c r="I23" i="13"/>
  <c r="I24" i="13"/>
  <c r="H22" i="13"/>
  <c r="H23" i="13"/>
  <c r="H24" i="13"/>
  <c r="F154" i="74"/>
  <c r="G154" i="74"/>
  <c r="E154" i="74"/>
  <c r="G148" i="74"/>
  <c r="H148" i="74"/>
  <c r="F148" i="74"/>
  <c r="E148" i="74"/>
  <c r="J55" i="74"/>
  <c r="E55" i="74"/>
  <c r="J52" i="74"/>
  <c r="E52" i="74"/>
  <c r="E51" i="74"/>
  <c r="J41" i="74"/>
  <c r="J42" i="74"/>
  <c r="J43" i="74"/>
  <c r="E43" i="74"/>
  <c r="E42" i="74"/>
  <c r="E41" i="74"/>
  <c r="J38" i="74"/>
  <c r="J36" i="74"/>
  <c r="J31" i="74"/>
  <c r="E31" i="74"/>
  <c r="J30" i="74"/>
  <c r="E30" i="74"/>
  <c r="F432" i="74"/>
  <c r="E432" i="74"/>
  <c r="G411" i="74"/>
  <c r="E403" i="74"/>
  <c r="E401" i="74"/>
  <c r="N382" i="74"/>
  <c r="M382" i="74"/>
  <c r="L382" i="74"/>
  <c r="K382" i="74"/>
  <c r="J382" i="74"/>
  <c r="I382" i="74"/>
  <c r="H382" i="74"/>
  <c r="E381" i="74"/>
  <c r="E228" i="74" s="1"/>
  <c r="E379" i="74"/>
  <c r="E377" i="74"/>
  <c r="E373" i="74"/>
  <c r="N364" i="74"/>
  <c r="M364" i="74"/>
  <c r="L364" i="74"/>
  <c r="K364" i="74"/>
  <c r="J364" i="74"/>
  <c r="I364" i="74"/>
  <c r="H364" i="74"/>
  <c r="E363" i="74"/>
  <c r="E213" i="74" s="1"/>
  <c r="E359" i="74"/>
  <c r="E356" i="74"/>
  <c r="D343" i="74"/>
  <c r="AO341" i="74"/>
  <c r="AM341" i="74"/>
  <c r="AL341" i="74"/>
  <c r="AK341" i="74"/>
  <c r="AJ341" i="74"/>
  <c r="AI341" i="74"/>
  <c r="AH341" i="74"/>
  <c r="AG341" i="74"/>
  <c r="AF341" i="74"/>
  <c r="AE341" i="74"/>
  <c r="AD341" i="74"/>
  <c r="AC341" i="74"/>
  <c r="AO340" i="74"/>
  <c r="AM340" i="74"/>
  <c r="AL340" i="74"/>
  <c r="AK340" i="74"/>
  <c r="AJ340" i="74"/>
  <c r="AI340" i="74"/>
  <c r="AH340" i="74"/>
  <c r="AG340" i="74"/>
  <c r="AF340" i="74"/>
  <c r="AE340" i="74"/>
  <c r="AD340" i="74"/>
  <c r="AC340" i="74"/>
  <c r="AO339" i="74"/>
  <c r="AM339" i="74"/>
  <c r="AL339" i="74"/>
  <c r="AK339" i="74"/>
  <c r="AJ339" i="74"/>
  <c r="AI339" i="74"/>
  <c r="AH339" i="74"/>
  <c r="AG339" i="74"/>
  <c r="AF339" i="74"/>
  <c r="AE339" i="74"/>
  <c r="AD339" i="74"/>
  <c r="AC339" i="74"/>
  <c r="A339" i="74"/>
  <c r="AO338" i="74"/>
  <c r="AM338" i="74"/>
  <c r="AL338" i="74"/>
  <c r="AK338" i="74"/>
  <c r="AJ338" i="74"/>
  <c r="AI338" i="74"/>
  <c r="AH338" i="74"/>
  <c r="AG338" i="74"/>
  <c r="AF338" i="74"/>
  <c r="AE338" i="74"/>
  <c r="AD338" i="74"/>
  <c r="AC338" i="74"/>
  <c r="A338" i="74"/>
  <c r="AO337" i="74"/>
  <c r="AM337" i="74"/>
  <c r="AL337" i="74"/>
  <c r="AK337" i="74"/>
  <c r="AJ337" i="74"/>
  <c r="AI337" i="74"/>
  <c r="AH337" i="74"/>
  <c r="AG337" i="74"/>
  <c r="AF337" i="74"/>
  <c r="AE337" i="74"/>
  <c r="AD337" i="74"/>
  <c r="AC337" i="74"/>
  <c r="A337" i="74"/>
  <c r="AO336" i="74"/>
  <c r="AM336" i="74"/>
  <c r="AL336" i="74"/>
  <c r="AK336" i="74"/>
  <c r="AJ336" i="74"/>
  <c r="AI336" i="74"/>
  <c r="AH336" i="74"/>
  <c r="AG336" i="74"/>
  <c r="AF336" i="74"/>
  <c r="AE336" i="74"/>
  <c r="AD336" i="74"/>
  <c r="AC336" i="74"/>
  <c r="A336" i="74"/>
  <c r="AO335" i="74"/>
  <c r="AM335" i="74"/>
  <c r="AL335" i="74"/>
  <c r="AK335" i="74"/>
  <c r="AJ335" i="74"/>
  <c r="AI335" i="74"/>
  <c r="AH335" i="74"/>
  <c r="AG335" i="74"/>
  <c r="AF335" i="74"/>
  <c r="AE335" i="74"/>
  <c r="AD335" i="74"/>
  <c r="AC335" i="74"/>
  <c r="A335" i="74"/>
  <c r="AO334" i="74"/>
  <c r="AM334" i="74"/>
  <c r="AL334" i="74"/>
  <c r="AK334" i="74"/>
  <c r="AJ334" i="74"/>
  <c r="AI334" i="74"/>
  <c r="AH334" i="74"/>
  <c r="AG334" i="74"/>
  <c r="AF334" i="74"/>
  <c r="AE334" i="74"/>
  <c r="AD334" i="74"/>
  <c r="AC334" i="74"/>
  <c r="A334" i="74"/>
  <c r="AO333" i="74"/>
  <c r="AM333" i="74"/>
  <c r="AL333" i="74"/>
  <c r="AK333" i="74"/>
  <c r="AJ333" i="74"/>
  <c r="AI333" i="74"/>
  <c r="AH333" i="74"/>
  <c r="AG333" i="74"/>
  <c r="AF333" i="74"/>
  <c r="AE333" i="74"/>
  <c r="AD333" i="74"/>
  <c r="AC333" i="74"/>
  <c r="N333" i="74"/>
  <c r="M333" i="74"/>
  <c r="L333" i="74"/>
  <c r="K333" i="74"/>
  <c r="J333" i="74"/>
  <c r="I333" i="74"/>
  <c r="H333" i="74"/>
  <c r="G333" i="74"/>
  <c r="F333" i="74"/>
  <c r="E333" i="74"/>
  <c r="B333" i="74"/>
  <c r="A333" i="74"/>
  <c r="AO332" i="74"/>
  <c r="AM332" i="74"/>
  <c r="AL332" i="74"/>
  <c r="AK332" i="74"/>
  <c r="AJ332" i="74"/>
  <c r="AI332" i="74"/>
  <c r="AH332" i="74"/>
  <c r="AG332" i="74"/>
  <c r="AF332" i="74"/>
  <c r="AE332" i="74"/>
  <c r="AD332" i="74"/>
  <c r="AC332" i="74"/>
  <c r="N332" i="74"/>
  <c r="M332" i="74"/>
  <c r="L332" i="74"/>
  <c r="K332" i="74"/>
  <c r="J332" i="74"/>
  <c r="I332" i="74"/>
  <c r="H332" i="74"/>
  <c r="G332" i="74"/>
  <c r="F332" i="74"/>
  <c r="E332" i="74"/>
  <c r="B332" i="74"/>
  <c r="A332" i="74"/>
  <c r="AO331" i="74"/>
  <c r="AM331" i="74"/>
  <c r="AL331" i="74"/>
  <c r="AK331" i="74"/>
  <c r="AJ331" i="74"/>
  <c r="AI331" i="74"/>
  <c r="AH331" i="74"/>
  <c r="AG331" i="74"/>
  <c r="AF331" i="74"/>
  <c r="AE331" i="74"/>
  <c r="AD331" i="74"/>
  <c r="AC331" i="74"/>
  <c r="B331" i="74"/>
  <c r="A331" i="74"/>
  <c r="AO330" i="74"/>
  <c r="AM330" i="74"/>
  <c r="AL330" i="74"/>
  <c r="AK330" i="74"/>
  <c r="AJ330" i="74"/>
  <c r="AI330" i="74"/>
  <c r="AH330" i="74"/>
  <c r="AG330" i="74"/>
  <c r="AF330" i="74"/>
  <c r="AE330" i="74"/>
  <c r="AD330" i="74"/>
  <c r="AC330" i="74"/>
  <c r="N330" i="74"/>
  <c r="M330" i="74"/>
  <c r="L330" i="74"/>
  <c r="K330" i="74"/>
  <c r="J330" i="74"/>
  <c r="I330" i="74"/>
  <c r="H330" i="74"/>
  <c r="G330" i="74"/>
  <c r="F330" i="74"/>
  <c r="E330" i="74"/>
  <c r="B330" i="74"/>
  <c r="A330" i="74"/>
  <c r="AO329" i="74"/>
  <c r="AM329" i="74"/>
  <c r="AL329" i="74"/>
  <c r="AK329" i="74"/>
  <c r="AJ329" i="74"/>
  <c r="AI329" i="74"/>
  <c r="AH329" i="74"/>
  <c r="AG329" i="74"/>
  <c r="AF329" i="74"/>
  <c r="AE329" i="74"/>
  <c r="AD329" i="74"/>
  <c r="AC329" i="74"/>
  <c r="A329" i="74"/>
  <c r="AO328" i="74"/>
  <c r="AM328" i="74"/>
  <c r="AL328" i="74"/>
  <c r="AK328" i="74"/>
  <c r="AJ328" i="74"/>
  <c r="AI328" i="74"/>
  <c r="AH328" i="74"/>
  <c r="AG328" i="74"/>
  <c r="AF328" i="74"/>
  <c r="AE328" i="74"/>
  <c r="AD328" i="74"/>
  <c r="AC328" i="74"/>
  <c r="A328" i="74"/>
  <c r="AO327" i="74"/>
  <c r="AM327" i="74"/>
  <c r="AL327" i="74"/>
  <c r="AK327" i="74"/>
  <c r="AJ327" i="74"/>
  <c r="AI327" i="74"/>
  <c r="AH327" i="74"/>
  <c r="AG327" i="74"/>
  <c r="AF327" i="74"/>
  <c r="AE327" i="74"/>
  <c r="AD327" i="74"/>
  <c r="AC327" i="74"/>
  <c r="N327" i="74"/>
  <c r="M327" i="74"/>
  <c r="L327" i="74"/>
  <c r="K327" i="74"/>
  <c r="J327" i="74"/>
  <c r="I327" i="74"/>
  <c r="H327" i="74"/>
  <c r="G327" i="74"/>
  <c r="F327" i="74"/>
  <c r="E327" i="74"/>
  <c r="B327" i="74"/>
  <c r="A327" i="74"/>
  <c r="AO326" i="74"/>
  <c r="AM326" i="74"/>
  <c r="AL326" i="74"/>
  <c r="AK326" i="74"/>
  <c r="AJ326" i="74"/>
  <c r="AI326" i="74"/>
  <c r="AH326" i="74"/>
  <c r="AG326" i="74"/>
  <c r="AF326" i="74"/>
  <c r="AE326" i="74"/>
  <c r="AD326" i="74"/>
  <c r="AC326" i="74"/>
  <c r="N326" i="74"/>
  <c r="M326" i="74"/>
  <c r="L326" i="74"/>
  <c r="K326" i="74"/>
  <c r="J326" i="74"/>
  <c r="I326" i="74"/>
  <c r="H326" i="74"/>
  <c r="G326" i="74"/>
  <c r="F326" i="74"/>
  <c r="E326" i="74"/>
  <c r="B326" i="74"/>
  <c r="A326" i="74"/>
  <c r="AO325" i="74"/>
  <c r="AM325" i="74"/>
  <c r="AL325" i="74"/>
  <c r="AK325" i="74"/>
  <c r="AJ325" i="74"/>
  <c r="AI325" i="74"/>
  <c r="AH325" i="74"/>
  <c r="AG325" i="74"/>
  <c r="AF325" i="74"/>
  <c r="AE325" i="74"/>
  <c r="AD325" i="74"/>
  <c r="AC325" i="74"/>
  <c r="N325" i="74"/>
  <c r="M325" i="74"/>
  <c r="L325" i="74"/>
  <c r="K325" i="74"/>
  <c r="J325" i="74"/>
  <c r="I325" i="74"/>
  <c r="H325" i="74"/>
  <c r="G325" i="74"/>
  <c r="F325" i="74"/>
  <c r="E325" i="74"/>
  <c r="B325" i="74"/>
  <c r="A325" i="74"/>
  <c r="AO324" i="74"/>
  <c r="AM324" i="74"/>
  <c r="AL324" i="74"/>
  <c r="AK324" i="74"/>
  <c r="AJ324" i="74"/>
  <c r="AI324" i="74"/>
  <c r="AH324" i="74"/>
  <c r="AG324" i="74"/>
  <c r="AF324" i="74"/>
  <c r="AE324" i="74"/>
  <c r="AD324" i="74"/>
  <c r="AC324" i="74"/>
  <c r="B324" i="74"/>
  <c r="A324" i="74"/>
  <c r="AO323" i="74"/>
  <c r="AM323" i="74"/>
  <c r="AL323" i="74"/>
  <c r="AK323" i="74"/>
  <c r="AJ323" i="74"/>
  <c r="AI323" i="74"/>
  <c r="AH323" i="74"/>
  <c r="AG323" i="74"/>
  <c r="AF323" i="74"/>
  <c r="AE323" i="74"/>
  <c r="AD323" i="74"/>
  <c r="AC323" i="74"/>
  <c r="N323" i="74"/>
  <c r="M323" i="74"/>
  <c r="L323" i="74"/>
  <c r="K323" i="74"/>
  <c r="J323" i="74"/>
  <c r="I323" i="74"/>
  <c r="H323" i="74"/>
  <c r="G323" i="74"/>
  <c r="F323" i="74"/>
  <c r="E323" i="74"/>
  <c r="B323" i="74"/>
  <c r="A323" i="74"/>
  <c r="AO322" i="74"/>
  <c r="AM322" i="74"/>
  <c r="AL322" i="74"/>
  <c r="AK322" i="74"/>
  <c r="AJ322" i="74"/>
  <c r="AI322" i="74"/>
  <c r="AH322" i="74"/>
  <c r="AG322" i="74"/>
  <c r="AF322" i="74"/>
  <c r="AE322" i="74"/>
  <c r="AD322" i="74"/>
  <c r="AC322" i="74"/>
  <c r="N322" i="74"/>
  <c r="M322" i="74"/>
  <c r="L322" i="74"/>
  <c r="K322" i="74"/>
  <c r="B322" i="74"/>
  <c r="A322" i="74"/>
  <c r="AO321" i="74"/>
  <c r="AM321" i="74"/>
  <c r="AL321" i="74"/>
  <c r="AK321" i="74"/>
  <c r="AJ321" i="74"/>
  <c r="AI321" i="74"/>
  <c r="AH321" i="74"/>
  <c r="AG321" i="74"/>
  <c r="AF321" i="74"/>
  <c r="AE321" i="74"/>
  <c r="AD321" i="74"/>
  <c r="AC321" i="74"/>
  <c r="A321" i="74"/>
  <c r="AO320" i="74"/>
  <c r="AM320" i="74"/>
  <c r="AL320" i="74"/>
  <c r="AK320" i="74"/>
  <c r="AJ320" i="74"/>
  <c r="AI320" i="74"/>
  <c r="AH320" i="74"/>
  <c r="AG320" i="74"/>
  <c r="AF320" i="74"/>
  <c r="AE320" i="74"/>
  <c r="AD320" i="74"/>
  <c r="AC320" i="74"/>
  <c r="A320" i="74"/>
  <c r="AO319" i="74"/>
  <c r="AM319" i="74"/>
  <c r="AL319" i="74"/>
  <c r="AK319" i="74"/>
  <c r="AJ319" i="74"/>
  <c r="AI319" i="74"/>
  <c r="AH319" i="74"/>
  <c r="AG319" i="74"/>
  <c r="AF319" i="74"/>
  <c r="AE319" i="74"/>
  <c r="AD319" i="74"/>
  <c r="AC319" i="74"/>
  <c r="A319" i="74"/>
  <c r="AO318" i="74"/>
  <c r="AM318" i="74"/>
  <c r="AL318" i="74"/>
  <c r="AK318" i="74"/>
  <c r="AJ318" i="74"/>
  <c r="AI318" i="74"/>
  <c r="AH318" i="74"/>
  <c r="AG318" i="74"/>
  <c r="AF318" i="74"/>
  <c r="AE318" i="74"/>
  <c r="AD318" i="74"/>
  <c r="AC318" i="74"/>
  <c r="A318" i="74"/>
  <c r="AO317" i="74"/>
  <c r="AM317" i="74"/>
  <c r="AL317" i="74"/>
  <c r="AK317" i="74"/>
  <c r="AJ317" i="74"/>
  <c r="AI317" i="74"/>
  <c r="AH317" i="74"/>
  <c r="AG317" i="74"/>
  <c r="AF317" i="74"/>
  <c r="AE317" i="74"/>
  <c r="AD317" i="74"/>
  <c r="AC317" i="74"/>
  <c r="A317" i="74"/>
  <c r="AO316" i="74"/>
  <c r="AM316" i="74"/>
  <c r="AL316" i="74"/>
  <c r="AK316" i="74"/>
  <c r="AJ316" i="74"/>
  <c r="AI316" i="74"/>
  <c r="AH316" i="74"/>
  <c r="AG316" i="74"/>
  <c r="AF316" i="74"/>
  <c r="AE316" i="74"/>
  <c r="AD316" i="74"/>
  <c r="AC316" i="74"/>
  <c r="E316" i="74"/>
  <c r="A316" i="74"/>
  <c r="AO315" i="74"/>
  <c r="AM315" i="74"/>
  <c r="AL315" i="74"/>
  <c r="AK315" i="74"/>
  <c r="AJ315" i="74"/>
  <c r="AI315" i="74"/>
  <c r="AH315" i="74"/>
  <c r="AG315" i="74"/>
  <c r="AF315" i="74"/>
  <c r="AE315" i="74"/>
  <c r="AD315" i="74"/>
  <c r="AC315" i="74"/>
  <c r="E315" i="74"/>
  <c r="A315" i="74"/>
  <c r="AO314" i="74"/>
  <c r="AM314" i="74"/>
  <c r="AL314" i="74"/>
  <c r="AK314" i="74"/>
  <c r="AJ314" i="74"/>
  <c r="AI314" i="74"/>
  <c r="AH314" i="74"/>
  <c r="AG314" i="74"/>
  <c r="AF314" i="74"/>
  <c r="AE314" i="74"/>
  <c r="AD314" i="74"/>
  <c r="AC314" i="74"/>
  <c r="A314" i="74"/>
  <c r="AO313" i="74"/>
  <c r="AM313" i="74"/>
  <c r="AL313" i="74"/>
  <c r="AK313" i="74"/>
  <c r="AJ313" i="74"/>
  <c r="AI313" i="74"/>
  <c r="AH313" i="74"/>
  <c r="AG313" i="74"/>
  <c r="AF313" i="74"/>
  <c r="AE313" i="74"/>
  <c r="AD313" i="74"/>
  <c r="AC313" i="74"/>
  <c r="A313" i="74"/>
  <c r="AO312" i="74"/>
  <c r="AM312" i="74"/>
  <c r="AL312" i="74"/>
  <c r="AK312" i="74"/>
  <c r="AJ312" i="74"/>
  <c r="AI312" i="74"/>
  <c r="AH312" i="74"/>
  <c r="AG312" i="74"/>
  <c r="AF312" i="74"/>
  <c r="AE312" i="74"/>
  <c r="AD312" i="74"/>
  <c r="AC312" i="74"/>
  <c r="B312" i="74"/>
  <c r="A312" i="74"/>
  <c r="AO311" i="74"/>
  <c r="AM311" i="74"/>
  <c r="AL311" i="74"/>
  <c r="AK311" i="74"/>
  <c r="AJ311" i="74"/>
  <c r="AI311" i="74"/>
  <c r="AH311" i="74"/>
  <c r="AG311" i="74"/>
  <c r="AF311" i="74"/>
  <c r="AE311" i="74"/>
  <c r="AD311" i="74"/>
  <c r="AC311" i="74"/>
  <c r="A311" i="74"/>
  <c r="AO310" i="74"/>
  <c r="AM310" i="74"/>
  <c r="AL310" i="74"/>
  <c r="AK310" i="74"/>
  <c r="AJ310" i="74"/>
  <c r="AI310" i="74"/>
  <c r="AH310" i="74"/>
  <c r="AG310" i="74"/>
  <c r="AF310" i="74"/>
  <c r="AE310" i="74"/>
  <c r="AD310" i="74"/>
  <c r="AC310" i="74"/>
  <c r="A310" i="74"/>
  <c r="AO309" i="74"/>
  <c r="AM309" i="74"/>
  <c r="AL309" i="74"/>
  <c r="AK309" i="74"/>
  <c r="AJ309" i="74"/>
  <c r="AI309" i="74"/>
  <c r="AH309" i="74"/>
  <c r="AG309" i="74"/>
  <c r="AF309" i="74"/>
  <c r="AE309" i="74"/>
  <c r="AD309" i="74"/>
  <c r="AC309" i="74"/>
  <c r="A309" i="74"/>
  <c r="AO308" i="74"/>
  <c r="AM308" i="74"/>
  <c r="AL308" i="74"/>
  <c r="AK308" i="74"/>
  <c r="AJ308" i="74"/>
  <c r="AI308" i="74"/>
  <c r="AH308" i="74"/>
  <c r="AG308" i="74"/>
  <c r="AF308" i="74"/>
  <c r="AE308" i="74"/>
  <c r="AD308" i="74"/>
  <c r="AC308" i="74"/>
  <c r="A308" i="74"/>
  <c r="AO307" i="74"/>
  <c r="AM307" i="74"/>
  <c r="AL307" i="74"/>
  <c r="AK307" i="74"/>
  <c r="AJ307" i="74"/>
  <c r="AI307" i="74"/>
  <c r="AH307" i="74"/>
  <c r="AG307" i="74"/>
  <c r="AF307" i="74"/>
  <c r="AE307" i="74"/>
  <c r="AD307" i="74"/>
  <c r="AC307" i="74"/>
  <c r="A307" i="74"/>
  <c r="AO306" i="74"/>
  <c r="AM306" i="74"/>
  <c r="AL306" i="74"/>
  <c r="AK306" i="74"/>
  <c r="AJ306" i="74"/>
  <c r="AI306" i="74"/>
  <c r="AH306" i="74"/>
  <c r="AG306" i="74"/>
  <c r="AF306" i="74"/>
  <c r="AE306" i="74"/>
  <c r="AD306" i="74"/>
  <c r="AC306" i="74"/>
  <c r="A306" i="74"/>
  <c r="AO305" i="74"/>
  <c r="AM305" i="74"/>
  <c r="AL305" i="74"/>
  <c r="AK305" i="74"/>
  <c r="AJ305" i="74"/>
  <c r="AI305" i="74"/>
  <c r="AH305" i="74"/>
  <c r="AG305" i="74"/>
  <c r="AF305" i="74"/>
  <c r="AE305" i="74"/>
  <c r="AD305" i="74"/>
  <c r="AC305" i="74"/>
  <c r="A305" i="74"/>
  <c r="AO304" i="74"/>
  <c r="AM304" i="74"/>
  <c r="AL304" i="74"/>
  <c r="AK304" i="74"/>
  <c r="AJ304" i="74"/>
  <c r="AI304" i="74"/>
  <c r="AH304" i="74"/>
  <c r="AG304" i="74"/>
  <c r="AF304" i="74"/>
  <c r="AE304" i="74"/>
  <c r="AD304" i="74"/>
  <c r="AC304" i="74"/>
  <c r="B304" i="74"/>
  <c r="A304" i="74"/>
  <c r="AO303" i="74"/>
  <c r="AM303" i="74"/>
  <c r="AL303" i="74"/>
  <c r="AK303" i="74"/>
  <c r="AJ303" i="74"/>
  <c r="AI303" i="74"/>
  <c r="AH303" i="74"/>
  <c r="AG303" i="74"/>
  <c r="AF303" i="74"/>
  <c r="AE303" i="74"/>
  <c r="AD303" i="74"/>
  <c r="AC303" i="74"/>
  <c r="B303" i="74"/>
  <c r="A303" i="74"/>
  <c r="AO302" i="74"/>
  <c r="AM302" i="74"/>
  <c r="AL302" i="74"/>
  <c r="AK302" i="74"/>
  <c r="AJ302" i="74"/>
  <c r="AI302" i="74"/>
  <c r="AH302" i="74"/>
  <c r="AG302" i="74"/>
  <c r="AF302" i="74"/>
  <c r="AE302" i="74"/>
  <c r="AD302" i="74"/>
  <c r="AC302" i="74"/>
  <c r="A302" i="74"/>
  <c r="AO301" i="74"/>
  <c r="AM301" i="74"/>
  <c r="AL301" i="74"/>
  <c r="AK301" i="74"/>
  <c r="AJ301" i="74"/>
  <c r="AI301" i="74"/>
  <c r="AH301" i="74"/>
  <c r="AG301" i="74"/>
  <c r="AF301" i="74"/>
  <c r="AE301" i="74"/>
  <c r="AD301" i="74"/>
  <c r="AC301" i="74"/>
  <c r="A301" i="74"/>
  <c r="AO300" i="74"/>
  <c r="AM300" i="74"/>
  <c r="AL300" i="74"/>
  <c r="AK300" i="74"/>
  <c r="AJ300" i="74"/>
  <c r="AI300" i="74"/>
  <c r="AH300" i="74"/>
  <c r="AG300" i="74"/>
  <c r="AF300" i="74"/>
  <c r="AE300" i="74"/>
  <c r="AD300" i="74"/>
  <c r="AC300" i="74"/>
  <c r="A300" i="74"/>
  <c r="AO299" i="74"/>
  <c r="AM299" i="74"/>
  <c r="AL299" i="74"/>
  <c r="AK299" i="74"/>
  <c r="AJ299" i="74"/>
  <c r="AI299" i="74"/>
  <c r="AH299" i="74"/>
  <c r="AG299" i="74"/>
  <c r="AF299" i="74"/>
  <c r="AE299" i="74"/>
  <c r="AD299" i="74"/>
  <c r="AC299" i="74"/>
  <c r="A299" i="74"/>
  <c r="AO298" i="74"/>
  <c r="AM298" i="74"/>
  <c r="AL298" i="74"/>
  <c r="AK298" i="74"/>
  <c r="AJ298" i="74"/>
  <c r="AI298" i="74"/>
  <c r="AH298" i="74"/>
  <c r="AG298" i="74"/>
  <c r="AF298" i="74"/>
  <c r="AE298" i="74"/>
  <c r="AD298" i="74"/>
  <c r="AC298" i="74"/>
  <c r="B298" i="74"/>
  <c r="A298" i="74"/>
  <c r="AO297" i="74"/>
  <c r="AM297" i="74"/>
  <c r="AL297" i="74"/>
  <c r="AK297" i="74"/>
  <c r="AJ297" i="74"/>
  <c r="AI297" i="74"/>
  <c r="AH297" i="74"/>
  <c r="AG297" i="74"/>
  <c r="AF297" i="74"/>
  <c r="AE297" i="74"/>
  <c r="AD297" i="74"/>
  <c r="AC297" i="74"/>
  <c r="B297" i="74"/>
  <c r="A297" i="74"/>
  <c r="AO296" i="74"/>
  <c r="AM296" i="74"/>
  <c r="AL296" i="74"/>
  <c r="AK296" i="74"/>
  <c r="AJ296" i="74"/>
  <c r="AI296" i="74"/>
  <c r="AH296" i="74"/>
  <c r="AG296" i="74"/>
  <c r="AF296" i="74"/>
  <c r="AE296" i="74"/>
  <c r="AD296" i="74"/>
  <c r="AC296" i="74"/>
  <c r="A296" i="74"/>
  <c r="AO295" i="74"/>
  <c r="AM295" i="74"/>
  <c r="AL295" i="74"/>
  <c r="AK295" i="74"/>
  <c r="AJ295" i="74"/>
  <c r="AI295" i="74"/>
  <c r="AH295" i="74"/>
  <c r="AG295" i="74"/>
  <c r="AF295" i="74"/>
  <c r="AE295" i="74"/>
  <c r="AD295" i="74"/>
  <c r="AC295" i="74"/>
  <c r="A295" i="74"/>
  <c r="AO294" i="74"/>
  <c r="AM294" i="74"/>
  <c r="AL294" i="74"/>
  <c r="AK294" i="74"/>
  <c r="AJ294" i="74"/>
  <c r="AI294" i="74"/>
  <c r="AH294" i="74"/>
  <c r="AG294" i="74"/>
  <c r="AF294" i="74"/>
  <c r="AE294" i="74"/>
  <c r="AD294" i="74"/>
  <c r="AC294" i="74"/>
  <c r="A294" i="74"/>
  <c r="AO293" i="74"/>
  <c r="AM293" i="74"/>
  <c r="AL293" i="74"/>
  <c r="AK293" i="74"/>
  <c r="AJ293" i="74"/>
  <c r="AI293" i="74"/>
  <c r="AH293" i="74"/>
  <c r="AG293" i="74"/>
  <c r="AF293" i="74"/>
  <c r="AE293" i="74"/>
  <c r="AD293" i="74"/>
  <c r="AC293" i="74"/>
  <c r="A293" i="74"/>
  <c r="AO292" i="74"/>
  <c r="AM292" i="74"/>
  <c r="AL292" i="74"/>
  <c r="AK292" i="74"/>
  <c r="AJ292" i="74"/>
  <c r="AI292" i="74"/>
  <c r="AH292" i="74"/>
  <c r="AG292" i="74"/>
  <c r="AF292" i="74"/>
  <c r="AE292" i="74"/>
  <c r="AD292" i="74"/>
  <c r="AC292" i="74"/>
  <c r="A292" i="74"/>
  <c r="AO291" i="74"/>
  <c r="AM291" i="74"/>
  <c r="AL291" i="74"/>
  <c r="AK291" i="74"/>
  <c r="AJ291" i="74"/>
  <c r="AI291" i="74"/>
  <c r="AH291" i="74"/>
  <c r="AG291" i="74"/>
  <c r="AF291" i="74"/>
  <c r="AE291" i="74"/>
  <c r="AD291" i="74"/>
  <c r="AC291" i="74"/>
  <c r="A291" i="74"/>
  <c r="AO290" i="74"/>
  <c r="AM290" i="74"/>
  <c r="AL290" i="74"/>
  <c r="AK290" i="74"/>
  <c r="AJ290" i="74"/>
  <c r="AI290" i="74"/>
  <c r="AH290" i="74"/>
  <c r="AG290" i="74"/>
  <c r="AF290" i="74"/>
  <c r="AE290" i="74"/>
  <c r="AD290" i="74"/>
  <c r="AC290" i="74"/>
  <c r="A290" i="74"/>
  <c r="AO289" i="74"/>
  <c r="AM289" i="74"/>
  <c r="AL289" i="74"/>
  <c r="AK289" i="74"/>
  <c r="AJ289" i="74"/>
  <c r="AI289" i="74"/>
  <c r="AH289" i="74"/>
  <c r="AG289" i="74"/>
  <c r="AF289" i="74"/>
  <c r="AE289" i="74"/>
  <c r="AD289" i="74"/>
  <c r="AC289" i="74"/>
  <c r="A289" i="74"/>
  <c r="AO288" i="74"/>
  <c r="AM288" i="74"/>
  <c r="AL288" i="74"/>
  <c r="AK288" i="74"/>
  <c r="AJ288" i="74"/>
  <c r="AI288" i="74"/>
  <c r="AH288" i="74"/>
  <c r="AG288" i="74"/>
  <c r="AF288" i="74"/>
  <c r="AE288" i="74"/>
  <c r="AD288" i="74"/>
  <c r="AC288" i="74"/>
  <c r="A288" i="74"/>
  <c r="AO287" i="74"/>
  <c r="AM287" i="74"/>
  <c r="AL287" i="74"/>
  <c r="AK287" i="74"/>
  <c r="AJ287" i="74"/>
  <c r="AI287" i="74"/>
  <c r="AH287" i="74"/>
  <c r="AG287" i="74"/>
  <c r="AF287" i="74"/>
  <c r="AE287" i="74"/>
  <c r="AD287" i="74"/>
  <c r="AC287" i="74"/>
  <c r="A287" i="74"/>
  <c r="AO286" i="74"/>
  <c r="AM286" i="74"/>
  <c r="AL286" i="74"/>
  <c r="AK286" i="74"/>
  <c r="AJ286" i="74"/>
  <c r="AI286" i="74"/>
  <c r="AH286" i="74"/>
  <c r="AG286" i="74"/>
  <c r="AF286" i="74"/>
  <c r="AE286" i="74"/>
  <c r="AD286" i="74"/>
  <c r="AC286" i="74"/>
  <c r="A286" i="74"/>
  <c r="AO285" i="74"/>
  <c r="AM285" i="74"/>
  <c r="AL285" i="74"/>
  <c r="AK285" i="74"/>
  <c r="AJ285" i="74"/>
  <c r="AI285" i="74"/>
  <c r="AH285" i="74"/>
  <c r="AG285" i="74"/>
  <c r="AF285" i="74"/>
  <c r="AE285" i="74"/>
  <c r="AD285" i="74"/>
  <c r="AC285" i="74"/>
  <c r="A285" i="74"/>
  <c r="AO284" i="74"/>
  <c r="AM284" i="74"/>
  <c r="AL284" i="74"/>
  <c r="AK284" i="74"/>
  <c r="AJ284" i="74"/>
  <c r="AI284" i="74"/>
  <c r="AH284" i="74"/>
  <c r="AG284" i="74"/>
  <c r="AF284" i="74"/>
  <c r="AE284" i="74"/>
  <c r="AD284" i="74"/>
  <c r="AC284" i="74"/>
  <c r="A284" i="74"/>
  <c r="AO283" i="74"/>
  <c r="AM283" i="74"/>
  <c r="AL283" i="74"/>
  <c r="AK283" i="74"/>
  <c r="AJ283" i="74"/>
  <c r="AI283" i="74"/>
  <c r="AH283" i="74"/>
  <c r="AG283" i="74"/>
  <c r="AF283" i="74"/>
  <c r="AE283" i="74"/>
  <c r="AD283" i="74"/>
  <c r="AC283" i="74"/>
  <c r="B283" i="74"/>
  <c r="A283" i="74"/>
  <c r="AO282" i="74"/>
  <c r="AM282" i="74"/>
  <c r="AL282" i="74"/>
  <c r="AK282" i="74"/>
  <c r="AJ282" i="74"/>
  <c r="AI282" i="74"/>
  <c r="AH282" i="74"/>
  <c r="AG282" i="74"/>
  <c r="AF282" i="74"/>
  <c r="AE282" i="74"/>
  <c r="AD282" i="74"/>
  <c r="AC282" i="74"/>
  <c r="B282" i="74"/>
  <c r="A282" i="74"/>
  <c r="AO281" i="74"/>
  <c r="AM281" i="74"/>
  <c r="AL281" i="74"/>
  <c r="AK281" i="74"/>
  <c r="AJ281" i="74"/>
  <c r="AI281" i="74"/>
  <c r="AH281" i="74"/>
  <c r="AG281" i="74"/>
  <c r="AF281" i="74"/>
  <c r="AE281" i="74"/>
  <c r="AD281" i="74"/>
  <c r="AC281" i="74"/>
  <c r="A281" i="74"/>
  <c r="AO280" i="74"/>
  <c r="AM280" i="74"/>
  <c r="AL280" i="74"/>
  <c r="AK280" i="74"/>
  <c r="AJ280" i="74"/>
  <c r="AI280" i="74"/>
  <c r="AH280" i="74"/>
  <c r="AG280" i="74"/>
  <c r="AF280" i="74"/>
  <c r="AE280" i="74"/>
  <c r="AD280" i="74"/>
  <c r="AC280" i="74"/>
  <c r="A280" i="74"/>
  <c r="AO279" i="74"/>
  <c r="AM279" i="74"/>
  <c r="AL279" i="74"/>
  <c r="AK279" i="74"/>
  <c r="AJ279" i="74"/>
  <c r="AI279" i="74"/>
  <c r="AH279" i="74"/>
  <c r="AG279" i="74"/>
  <c r="AF279" i="74"/>
  <c r="AE279" i="74"/>
  <c r="AD279" i="74"/>
  <c r="AC279" i="74"/>
  <c r="A279" i="74"/>
  <c r="AO278" i="74"/>
  <c r="AM278" i="74"/>
  <c r="AL278" i="74"/>
  <c r="AK278" i="74"/>
  <c r="AJ278" i="74"/>
  <c r="AI278" i="74"/>
  <c r="AH278" i="74"/>
  <c r="AG278" i="74"/>
  <c r="AF278" i="74"/>
  <c r="AE278" i="74"/>
  <c r="AD278" i="74"/>
  <c r="AC278" i="74"/>
  <c r="A278" i="74"/>
  <c r="AO277" i="74"/>
  <c r="AM277" i="74"/>
  <c r="AL277" i="74"/>
  <c r="AK277" i="74"/>
  <c r="AJ277" i="74"/>
  <c r="AI277" i="74"/>
  <c r="AH277" i="74"/>
  <c r="AG277" i="74"/>
  <c r="AF277" i="74"/>
  <c r="AE277" i="74"/>
  <c r="AD277" i="74"/>
  <c r="AC277" i="74"/>
  <c r="A277" i="74"/>
  <c r="AO276" i="74"/>
  <c r="AM276" i="74"/>
  <c r="AL276" i="74"/>
  <c r="AK276" i="74"/>
  <c r="AJ276" i="74"/>
  <c r="AI276" i="74"/>
  <c r="AH276" i="74"/>
  <c r="AG276" i="74"/>
  <c r="AF276" i="74"/>
  <c r="AE276" i="74"/>
  <c r="AD276" i="74"/>
  <c r="AC276" i="74"/>
  <c r="B276" i="74"/>
  <c r="A276" i="74"/>
  <c r="AO275" i="74"/>
  <c r="AM275" i="74"/>
  <c r="AL275" i="74"/>
  <c r="AK275" i="74"/>
  <c r="AJ275" i="74"/>
  <c r="AI275" i="74"/>
  <c r="AH275" i="74"/>
  <c r="AG275" i="74"/>
  <c r="AF275" i="74"/>
  <c r="AE275" i="74"/>
  <c r="AD275" i="74"/>
  <c r="AC275" i="74"/>
  <c r="B275" i="74"/>
  <c r="A275" i="74"/>
  <c r="AO274" i="74"/>
  <c r="AM274" i="74"/>
  <c r="AL274" i="74"/>
  <c r="AK274" i="74"/>
  <c r="AJ274" i="74"/>
  <c r="AI274" i="74"/>
  <c r="AH274" i="74"/>
  <c r="AG274" i="74"/>
  <c r="AF274" i="74"/>
  <c r="AE274" i="74"/>
  <c r="AD274" i="74"/>
  <c r="AC274" i="74"/>
  <c r="B274" i="74"/>
  <c r="A274" i="74"/>
  <c r="AO273" i="74"/>
  <c r="AM273" i="74"/>
  <c r="AL273" i="74"/>
  <c r="AK273" i="74"/>
  <c r="AJ273" i="74"/>
  <c r="AI273" i="74"/>
  <c r="AH273" i="74"/>
  <c r="AG273" i="74"/>
  <c r="AF273" i="74"/>
  <c r="AE273" i="74"/>
  <c r="AD273" i="74"/>
  <c r="AC273" i="74"/>
  <c r="A273" i="74"/>
  <c r="AO272" i="74"/>
  <c r="AM272" i="74"/>
  <c r="AL272" i="74"/>
  <c r="AK272" i="74"/>
  <c r="AJ272" i="74"/>
  <c r="AI272" i="74"/>
  <c r="AH272" i="74"/>
  <c r="AG272" i="74"/>
  <c r="AF272" i="74"/>
  <c r="AE272" i="74"/>
  <c r="AD272" i="74"/>
  <c r="AC272" i="74"/>
  <c r="A272" i="74"/>
  <c r="A271" i="74"/>
  <c r="A270" i="74"/>
  <c r="A269" i="74"/>
  <c r="A268" i="74"/>
  <c r="A267" i="74"/>
  <c r="B266" i="74"/>
  <c r="A266" i="74"/>
  <c r="N265" i="74"/>
  <c r="M265" i="74"/>
  <c r="L265" i="74"/>
  <c r="K265" i="74"/>
  <c r="B265" i="74"/>
  <c r="A265" i="74"/>
  <c r="A264" i="74"/>
  <c r="A263" i="74"/>
  <c r="A262" i="74"/>
  <c r="A261" i="74"/>
  <c r="A260" i="74"/>
  <c r="N259" i="74"/>
  <c r="N260" i="74" s="1"/>
  <c r="K259" i="74"/>
  <c r="K260" i="74" s="1"/>
  <c r="A259" i="74"/>
  <c r="N258" i="74"/>
  <c r="M258" i="74"/>
  <c r="L258" i="74"/>
  <c r="K258" i="74"/>
  <c r="B258" i="74"/>
  <c r="A258" i="74"/>
  <c r="N257" i="74"/>
  <c r="M257" i="74"/>
  <c r="M259" i="74" s="1"/>
  <c r="M260" i="74" s="1"/>
  <c r="L257" i="74"/>
  <c r="L259" i="74" s="1"/>
  <c r="L260" i="74" s="1"/>
  <c r="K257" i="74"/>
  <c r="B257" i="74"/>
  <c r="A257" i="74"/>
  <c r="A256" i="74"/>
  <c r="A255" i="74"/>
  <c r="A254" i="74"/>
  <c r="A253" i="74"/>
  <c r="M252" i="74"/>
  <c r="A252" i="74"/>
  <c r="M251" i="74"/>
  <c r="A251" i="74"/>
  <c r="N250" i="74"/>
  <c r="M250" i="74"/>
  <c r="L250" i="74"/>
  <c r="K250" i="74"/>
  <c r="B250" i="74"/>
  <c r="A250" i="74"/>
  <c r="N249" i="74"/>
  <c r="N251" i="74" s="1"/>
  <c r="N252" i="74" s="1"/>
  <c r="M249" i="74"/>
  <c r="L249" i="74"/>
  <c r="L251" i="74" s="1"/>
  <c r="L252" i="74" s="1"/>
  <c r="K249" i="74"/>
  <c r="K251" i="74" s="1"/>
  <c r="K252" i="74" s="1"/>
  <c r="B249" i="74"/>
  <c r="A249" i="74"/>
  <c r="A248" i="74"/>
  <c r="AO247" i="74"/>
  <c r="AM247" i="74"/>
  <c r="AL247" i="74"/>
  <c r="AK247" i="74"/>
  <c r="AJ247" i="74"/>
  <c r="AI247" i="74"/>
  <c r="AH247" i="74"/>
  <c r="AG247" i="74"/>
  <c r="AF247" i="74"/>
  <c r="AE247" i="74"/>
  <c r="AD247" i="74"/>
  <c r="AC247" i="74"/>
  <c r="A247" i="74"/>
  <c r="AO246" i="74"/>
  <c r="AM246" i="74"/>
  <c r="AL246" i="74"/>
  <c r="AK246" i="74"/>
  <c r="AJ246" i="74"/>
  <c r="AI246" i="74"/>
  <c r="AH246" i="74"/>
  <c r="AG246" i="74"/>
  <c r="AF246" i="74"/>
  <c r="AE246" i="74"/>
  <c r="AD246" i="74"/>
  <c r="AC246" i="74"/>
  <c r="A246" i="74"/>
  <c r="AO245" i="74"/>
  <c r="AM245" i="74"/>
  <c r="AL245" i="74"/>
  <c r="AK245" i="74"/>
  <c r="AJ245" i="74"/>
  <c r="AI245" i="74"/>
  <c r="AH245" i="74"/>
  <c r="AG245" i="74"/>
  <c r="AF245" i="74"/>
  <c r="AE245" i="74"/>
  <c r="AD245" i="74"/>
  <c r="AC245" i="74"/>
  <c r="A245" i="74"/>
  <c r="AO244" i="74"/>
  <c r="AM244" i="74"/>
  <c r="AL244" i="74"/>
  <c r="AK244" i="74"/>
  <c r="AJ244" i="74"/>
  <c r="AI244" i="74"/>
  <c r="AH244" i="74"/>
  <c r="AG244" i="74"/>
  <c r="AF244" i="74"/>
  <c r="AE244" i="74"/>
  <c r="AD244" i="74"/>
  <c r="AC244" i="74"/>
  <c r="O244" i="74"/>
  <c r="A244" i="74"/>
  <c r="AO243" i="74"/>
  <c r="AM243" i="74"/>
  <c r="AL243" i="74"/>
  <c r="AK243" i="74"/>
  <c r="AJ243" i="74"/>
  <c r="AI243" i="74"/>
  <c r="AH243" i="74"/>
  <c r="AG243" i="74"/>
  <c r="AF243" i="74"/>
  <c r="AE243" i="74"/>
  <c r="AD243" i="74"/>
  <c r="AC243" i="74"/>
  <c r="A243" i="74"/>
  <c r="AO242" i="74"/>
  <c r="AM242" i="74"/>
  <c r="AL242" i="74"/>
  <c r="AK242" i="74"/>
  <c r="AJ242" i="74"/>
  <c r="AI242" i="74"/>
  <c r="AH242" i="74"/>
  <c r="AG242" i="74"/>
  <c r="AF242" i="74"/>
  <c r="AE242" i="74"/>
  <c r="AD242" i="74"/>
  <c r="AC242" i="74"/>
  <c r="N242" i="74"/>
  <c r="M242" i="74"/>
  <c r="L242" i="74"/>
  <c r="K242" i="74"/>
  <c r="J242" i="74"/>
  <c r="E242" i="74"/>
  <c r="E235" i="74" s="1"/>
  <c r="E250" i="74" s="1"/>
  <c r="E258" i="74" s="1"/>
  <c r="E266" i="74" s="1"/>
  <c r="B242" i="74"/>
  <c r="A242" i="74"/>
  <c r="AO241" i="74"/>
  <c r="AM241" i="74"/>
  <c r="AL241" i="74"/>
  <c r="AK241" i="74"/>
  <c r="AJ241" i="74"/>
  <c r="AI241" i="74"/>
  <c r="AH241" i="74"/>
  <c r="AG241" i="74"/>
  <c r="AF241" i="74"/>
  <c r="AE241" i="74"/>
  <c r="AD241" i="74"/>
  <c r="AC241" i="74"/>
  <c r="N241" i="74"/>
  <c r="M241" i="74"/>
  <c r="M243" i="74" s="1"/>
  <c r="L241" i="74"/>
  <c r="L243" i="74" s="1"/>
  <c r="K241" i="74"/>
  <c r="K243" i="74" s="1"/>
  <c r="J241" i="74"/>
  <c r="J243" i="74" s="1"/>
  <c r="E241" i="74"/>
  <c r="E243" i="74" s="1"/>
  <c r="B241" i="74"/>
  <c r="A241" i="74"/>
  <c r="AO240" i="74"/>
  <c r="AM240" i="74"/>
  <c r="AL240" i="74"/>
  <c r="AK240" i="74"/>
  <c r="AJ240" i="74"/>
  <c r="AI240" i="74"/>
  <c r="AH240" i="74"/>
  <c r="AG240" i="74"/>
  <c r="AF240" i="74"/>
  <c r="AE240" i="74"/>
  <c r="AD240" i="74"/>
  <c r="AC240" i="74"/>
  <c r="A240" i="74"/>
  <c r="AO239" i="74"/>
  <c r="AM239" i="74"/>
  <c r="AL239" i="74"/>
  <c r="AK239" i="74"/>
  <c r="AJ239" i="74"/>
  <c r="AI239" i="74"/>
  <c r="AH239" i="74"/>
  <c r="AG239" i="74"/>
  <c r="AF239" i="74"/>
  <c r="AE239" i="74"/>
  <c r="AD239" i="74"/>
  <c r="AC239" i="74"/>
  <c r="A239" i="74"/>
  <c r="AO238" i="74"/>
  <c r="AM238" i="74"/>
  <c r="AL238" i="74"/>
  <c r="AK238" i="74"/>
  <c r="AJ238" i="74"/>
  <c r="AI238" i="74"/>
  <c r="AH238" i="74"/>
  <c r="AG238" i="74"/>
  <c r="AF238" i="74"/>
  <c r="AE238" i="74"/>
  <c r="AD238" i="74"/>
  <c r="AC238" i="74"/>
  <c r="A238" i="74"/>
  <c r="AO237" i="74"/>
  <c r="AM237" i="74"/>
  <c r="AL237" i="74"/>
  <c r="AK237" i="74"/>
  <c r="AJ237" i="74"/>
  <c r="AI237" i="74"/>
  <c r="AH237" i="74"/>
  <c r="AG237" i="74"/>
  <c r="AF237" i="74"/>
  <c r="AE237" i="74"/>
  <c r="AD237" i="74"/>
  <c r="AC237" i="74"/>
  <c r="A237" i="74"/>
  <c r="AO236" i="74"/>
  <c r="AM236" i="74"/>
  <c r="AL236" i="74"/>
  <c r="AK236" i="74"/>
  <c r="AJ236" i="74"/>
  <c r="AI236" i="74"/>
  <c r="AH236" i="74"/>
  <c r="AG236" i="74"/>
  <c r="AF236" i="74"/>
  <c r="AE236" i="74"/>
  <c r="AD236" i="74"/>
  <c r="AC236" i="74"/>
  <c r="M236" i="74"/>
  <c r="L236" i="74"/>
  <c r="A236" i="74"/>
  <c r="AO235" i="74"/>
  <c r="AM235" i="74"/>
  <c r="AL235" i="74"/>
  <c r="AK235" i="74"/>
  <c r="AJ235" i="74"/>
  <c r="AI235" i="74"/>
  <c r="AH235" i="74"/>
  <c r="AG235" i="74"/>
  <c r="AF235" i="74"/>
  <c r="AE235" i="74"/>
  <c r="AD235" i="74"/>
  <c r="AC235" i="74"/>
  <c r="N235" i="74"/>
  <c r="M235" i="74"/>
  <c r="L235" i="74"/>
  <c r="K235" i="74"/>
  <c r="J235" i="74"/>
  <c r="J250" i="74" s="1"/>
  <c r="J258" i="74" s="1"/>
  <c r="J266" i="74" s="1"/>
  <c r="B235" i="74"/>
  <c r="A235" i="74"/>
  <c r="AO234" i="74"/>
  <c r="AM234" i="74"/>
  <c r="AL234" i="74"/>
  <c r="AK234" i="74"/>
  <c r="AJ234" i="74"/>
  <c r="AI234" i="74"/>
  <c r="AH234" i="74"/>
  <c r="AG234" i="74"/>
  <c r="AF234" i="74"/>
  <c r="AE234" i="74"/>
  <c r="AD234" i="74"/>
  <c r="AC234" i="74"/>
  <c r="N234" i="74"/>
  <c r="N236" i="74" s="1"/>
  <c r="M234" i="74"/>
  <c r="L234" i="74"/>
  <c r="K234" i="74"/>
  <c r="J234" i="74"/>
  <c r="J236" i="74" s="1"/>
  <c r="B234" i="74"/>
  <c r="A234" i="74"/>
  <c r="AO233" i="74"/>
  <c r="AM233" i="74"/>
  <c r="AL233" i="74"/>
  <c r="AK233" i="74"/>
  <c r="AJ233" i="74"/>
  <c r="AI233" i="74"/>
  <c r="AH233" i="74"/>
  <c r="AG233" i="74"/>
  <c r="AF233" i="74"/>
  <c r="AE233" i="74"/>
  <c r="AD233" i="74"/>
  <c r="AC233" i="74"/>
  <c r="A233" i="74"/>
  <c r="AO232" i="74"/>
  <c r="AM232" i="74"/>
  <c r="AL232" i="74"/>
  <c r="AK232" i="74"/>
  <c r="AJ232" i="74"/>
  <c r="AI232" i="74"/>
  <c r="AH232" i="74"/>
  <c r="AG232" i="74"/>
  <c r="AF232" i="74"/>
  <c r="AE232" i="74"/>
  <c r="AD232" i="74"/>
  <c r="AC232" i="74"/>
  <c r="A232" i="74"/>
  <c r="AO231" i="74"/>
  <c r="AM231" i="74"/>
  <c r="AL231" i="74"/>
  <c r="AK231" i="74"/>
  <c r="AJ231" i="74"/>
  <c r="AI231" i="74"/>
  <c r="AH231" i="74"/>
  <c r="AG231" i="74"/>
  <c r="AF231" i="74"/>
  <c r="AE231" i="74"/>
  <c r="AD231" i="74"/>
  <c r="AC231" i="74"/>
  <c r="A231" i="74"/>
  <c r="AO230" i="74"/>
  <c r="AM230" i="74"/>
  <c r="AL230" i="74"/>
  <c r="AK230" i="74"/>
  <c r="AJ230" i="74"/>
  <c r="AI230" i="74"/>
  <c r="AH230" i="74"/>
  <c r="AG230" i="74"/>
  <c r="AF230" i="74"/>
  <c r="AE230" i="74"/>
  <c r="AD230" i="74"/>
  <c r="AC230" i="74"/>
  <c r="A230" i="74"/>
  <c r="AO229" i="74"/>
  <c r="AM229" i="74"/>
  <c r="AL229" i="74"/>
  <c r="AK229" i="74"/>
  <c r="AJ229" i="74"/>
  <c r="AI229" i="74"/>
  <c r="AH229" i="74"/>
  <c r="AG229" i="74"/>
  <c r="AF229" i="74"/>
  <c r="AE229" i="74"/>
  <c r="AD229" i="74"/>
  <c r="AC229" i="74"/>
  <c r="A229" i="74"/>
  <c r="AO228" i="74"/>
  <c r="AM228" i="74"/>
  <c r="AL228" i="74"/>
  <c r="AK228" i="74"/>
  <c r="AJ228" i="74"/>
  <c r="AI228" i="74"/>
  <c r="AH228" i="74"/>
  <c r="AG228" i="74"/>
  <c r="AF228" i="74"/>
  <c r="AE228" i="74"/>
  <c r="AD228" i="74"/>
  <c r="AC228" i="74"/>
  <c r="A228" i="74"/>
  <c r="AO227" i="74"/>
  <c r="AM227" i="74"/>
  <c r="AL227" i="74"/>
  <c r="AK227" i="74"/>
  <c r="AJ227" i="74"/>
  <c r="AI227" i="74"/>
  <c r="AH227" i="74"/>
  <c r="AG227" i="74"/>
  <c r="AF227" i="74"/>
  <c r="AE227" i="74"/>
  <c r="AD227" i="74"/>
  <c r="AC227" i="74"/>
  <c r="A227" i="74"/>
  <c r="AO226" i="74"/>
  <c r="AM226" i="74"/>
  <c r="AL226" i="74"/>
  <c r="AK226" i="74"/>
  <c r="AJ226" i="74"/>
  <c r="AI226" i="74"/>
  <c r="AH226" i="74"/>
  <c r="AG226" i="74"/>
  <c r="AF226" i="74"/>
  <c r="AE226" i="74"/>
  <c r="AD226" i="74"/>
  <c r="AC226" i="74"/>
  <c r="A226" i="74"/>
  <c r="AO225" i="74"/>
  <c r="AM225" i="74"/>
  <c r="AL225" i="74"/>
  <c r="AK225" i="74"/>
  <c r="AJ225" i="74"/>
  <c r="AI225" i="74"/>
  <c r="AH225" i="74"/>
  <c r="AG225" i="74"/>
  <c r="AF225" i="74"/>
  <c r="AE225" i="74"/>
  <c r="AD225" i="74"/>
  <c r="AC225" i="74"/>
  <c r="A225" i="74"/>
  <c r="AO224" i="74"/>
  <c r="AM224" i="74"/>
  <c r="AL224" i="74"/>
  <c r="AK224" i="74"/>
  <c r="AJ224" i="74"/>
  <c r="AI224" i="74"/>
  <c r="AH224" i="74"/>
  <c r="AG224" i="74"/>
  <c r="AF224" i="74"/>
  <c r="AE224" i="74"/>
  <c r="AD224" i="74"/>
  <c r="AC224" i="74"/>
  <c r="A224" i="74"/>
  <c r="A223" i="74"/>
  <c r="AO222" i="74"/>
  <c r="AM222" i="74"/>
  <c r="AL222" i="74"/>
  <c r="AK222" i="74"/>
  <c r="AJ222" i="74"/>
  <c r="AI222" i="74"/>
  <c r="AH222" i="74"/>
  <c r="AG222" i="74"/>
  <c r="AF222" i="74"/>
  <c r="AE222" i="74"/>
  <c r="AD222" i="74"/>
  <c r="AC222" i="74"/>
  <c r="N222" i="74"/>
  <c r="M222" i="74"/>
  <c r="L222" i="74"/>
  <c r="K222" i="74"/>
  <c r="J222" i="74"/>
  <c r="I222" i="74"/>
  <c r="H222" i="74"/>
  <c r="G222" i="74"/>
  <c r="F222" i="74"/>
  <c r="E222" i="74"/>
  <c r="B222" i="74"/>
  <c r="A222" i="74"/>
  <c r="AO221" i="74"/>
  <c r="AM221" i="74"/>
  <c r="AL221" i="74"/>
  <c r="AK221" i="74"/>
  <c r="AJ221" i="74"/>
  <c r="AI221" i="74"/>
  <c r="AH221" i="74"/>
  <c r="AG221" i="74"/>
  <c r="AF221" i="74"/>
  <c r="AE221" i="74"/>
  <c r="AD221" i="74"/>
  <c r="AC221" i="74"/>
  <c r="N221" i="74"/>
  <c r="M221" i="74"/>
  <c r="L221" i="74"/>
  <c r="K221" i="74"/>
  <c r="J221" i="74"/>
  <c r="I221" i="74"/>
  <c r="H221" i="74"/>
  <c r="G221" i="74"/>
  <c r="F221" i="74"/>
  <c r="E221" i="74"/>
  <c r="B221" i="74"/>
  <c r="A221" i="74"/>
  <c r="AO220" i="74"/>
  <c r="AM220" i="74"/>
  <c r="AL220" i="74"/>
  <c r="AK220" i="74"/>
  <c r="AJ220" i="74"/>
  <c r="AI220" i="74"/>
  <c r="AH220" i="74"/>
  <c r="AG220" i="74"/>
  <c r="AF220" i="74"/>
  <c r="AE220" i="74"/>
  <c r="AD220" i="74"/>
  <c r="AC220" i="74"/>
  <c r="B220" i="74"/>
  <c r="A220" i="74"/>
  <c r="AO219" i="74"/>
  <c r="AM219" i="74"/>
  <c r="AL219" i="74"/>
  <c r="AK219" i="74"/>
  <c r="AJ219" i="74"/>
  <c r="AI219" i="74"/>
  <c r="AH219" i="74"/>
  <c r="AG219" i="74"/>
  <c r="AF219" i="74"/>
  <c r="AE219" i="74"/>
  <c r="AD219" i="74"/>
  <c r="AC219" i="74"/>
  <c r="N219" i="74"/>
  <c r="M219" i="74"/>
  <c r="L219" i="74"/>
  <c r="K219" i="74"/>
  <c r="B219" i="74"/>
  <c r="A219" i="74"/>
  <c r="AO218" i="74"/>
  <c r="AM218" i="74"/>
  <c r="AL218" i="74"/>
  <c r="AK218" i="74"/>
  <c r="AJ218" i="74"/>
  <c r="AI218" i="74"/>
  <c r="AH218" i="74"/>
  <c r="AG218" i="74"/>
  <c r="AF218" i="74"/>
  <c r="AE218" i="74"/>
  <c r="AD218" i="74"/>
  <c r="AC218" i="74"/>
  <c r="A218" i="74"/>
  <c r="AO217" i="74"/>
  <c r="AM217" i="74"/>
  <c r="AL217" i="74"/>
  <c r="AK217" i="74"/>
  <c r="AJ217" i="74"/>
  <c r="AI217" i="74"/>
  <c r="AH217" i="74"/>
  <c r="AG217" i="74"/>
  <c r="AF217" i="74"/>
  <c r="AE217" i="74"/>
  <c r="AD217" i="74"/>
  <c r="AC217" i="74"/>
  <c r="A217" i="74"/>
  <c r="AO216" i="74"/>
  <c r="AM216" i="74"/>
  <c r="AL216" i="74"/>
  <c r="AK216" i="74"/>
  <c r="AJ216" i="74"/>
  <c r="AI216" i="74"/>
  <c r="AH216" i="74"/>
  <c r="AG216" i="74"/>
  <c r="AF216" i="74"/>
  <c r="AE216" i="74"/>
  <c r="AD216" i="74"/>
  <c r="AC216" i="74"/>
  <c r="A216" i="74"/>
  <c r="AO215" i="74"/>
  <c r="AM215" i="74"/>
  <c r="AL215" i="74"/>
  <c r="AK215" i="74"/>
  <c r="AJ215" i="74"/>
  <c r="AI215" i="74"/>
  <c r="AH215" i="74"/>
  <c r="AG215" i="74"/>
  <c r="AF215" i="74"/>
  <c r="AE215" i="74"/>
  <c r="AD215" i="74"/>
  <c r="AC215" i="74"/>
  <c r="A215" i="74"/>
  <c r="AO214" i="74"/>
  <c r="AM214" i="74"/>
  <c r="AL214" i="74"/>
  <c r="AK214" i="74"/>
  <c r="AJ214" i="74"/>
  <c r="AI214" i="74"/>
  <c r="AH214" i="74"/>
  <c r="AG214" i="74"/>
  <c r="AF214" i="74"/>
  <c r="AE214" i="74"/>
  <c r="AD214" i="74"/>
  <c r="AC214" i="74"/>
  <c r="A214" i="74"/>
  <c r="AO213" i="74"/>
  <c r="AM213" i="74"/>
  <c r="AL213" i="74"/>
  <c r="AK213" i="74"/>
  <c r="AJ213" i="74"/>
  <c r="AI213" i="74"/>
  <c r="AH213" i="74"/>
  <c r="AG213" i="74"/>
  <c r="AF213" i="74"/>
  <c r="AE213" i="74"/>
  <c r="AD213" i="74"/>
  <c r="AC213" i="74"/>
  <c r="A213" i="74"/>
  <c r="AO212" i="74"/>
  <c r="AM212" i="74"/>
  <c r="AL212" i="74"/>
  <c r="AK212" i="74"/>
  <c r="AJ212" i="74"/>
  <c r="AI212" i="74"/>
  <c r="AH212" i="74"/>
  <c r="AG212" i="74"/>
  <c r="AF212" i="74"/>
  <c r="AE212" i="74"/>
  <c r="AD212" i="74"/>
  <c r="AC212" i="74"/>
  <c r="A212" i="74"/>
  <c r="AO211" i="74"/>
  <c r="AM211" i="74"/>
  <c r="AL211" i="74"/>
  <c r="AK211" i="74"/>
  <c r="AJ211" i="74"/>
  <c r="AI211" i="74"/>
  <c r="AH211" i="74"/>
  <c r="AG211" i="74"/>
  <c r="AF211" i="74"/>
  <c r="AE211" i="74"/>
  <c r="AD211" i="74"/>
  <c r="AC211" i="74"/>
  <c r="A211" i="74"/>
  <c r="AO210" i="74"/>
  <c r="AM210" i="74"/>
  <c r="AL210" i="74"/>
  <c r="AK210" i="74"/>
  <c r="AJ210" i="74"/>
  <c r="AI210" i="74"/>
  <c r="AH210" i="74"/>
  <c r="AG210" i="74"/>
  <c r="AF210" i="74"/>
  <c r="AE210" i="74"/>
  <c r="AD210" i="74"/>
  <c r="AC210" i="74"/>
  <c r="A210" i="74"/>
  <c r="AO209" i="74"/>
  <c r="AM209" i="74"/>
  <c r="AL209" i="74"/>
  <c r="AK209" i="74"/>
  <c r="AJ209" i="74"/>
  <c r="AI209" i="74"/>
  <c r="AH209" i="74"/>
  <c r="AG209" i="74"/>
  <c r="AF209" i="74"/>
  <c r="AE209" i="74"/>
  <c r="AD209" i="74"/>
  <c r="AC209" i="74"/>
  <c r="A209" i="74"/>
  <c r="AO208" i="74"/>
  <c r="AM208" i="74"/>
  <c r="AL208" i="74"/>
  <c r="AK208" i="74"/>
  <c r="AJ208" i="74"/>
  <c r="AI208" i="74"/>
  <c r="AH208" i="74"/>
  <c r="AG208" i="74"/>
  <c r="AF208" i="74"/>
  <c r="AE208" i="74"/>
  <c r="AD208" i="74"/>
  <c r="AC208" i="74"/>
  <c r="N208" i="74"/>
  <c r="M208" i="74"/>
  <c r="L208" i="74"/>
  <c r="K208" i="74"/>
  <c r="J208" i="74"/>
  <c r="I208" i="74"/>
  <c r="H208" i="74"/>
  <c r="G208" i="74"/>
  <c r="F208" i="74"/>
  <c r="E208" i="74"/>
  <c r="B208" i="74"/>
  <c r="A208" i="74"/>
  <c r="AO207" i="74"/>
  <c r="AM207" i="74"/>
  <c r="AL207" i="74"/>
  <c r="AK207" i="74"/>
  <c r="AJ207" i="74"/>
  <c r="AI207" i="74"/>
  <c r="AH207" i="74"/>
  <c r="AG207" i="74"/>
  <c r="AF207" i="74"/>
  <c r="AE207" i="74"/>
  <c r="AD207" i="74"/>
  <c r="AC207" i="74"/>
  <c r="N207" i="74"/>
  <c r="M207" i="74"/>
  <c r="L207" i="74"/>
  <c r="K207" i="74"/>
  <c r="J207" i="74"/>
  <c r="I207" i="74"/>
  <c r="H207" i="74"/>
  <c r="G207" i="74"/>
  <c r="F207" i="74"/>
  <c r="E207" i="74"/>
  <c r="B207" i="74"/>
  <c r="A207" i="74"/>
  <c r="AO206" i="74"/>
  <c r="AM206" i="74"/>
  <c r="AL206" i="74"/>
  <c r="AK206" i="74"/>
  <c r="AJ206" i="74"/>
  <c r="AI206" i="74"/>
  <c r="AH206" i="74"/>
  <c r="AG206" i="74"/>
  <c r="AF206" i="74"/>
  <c r="AE206" i="74"/>
  <c r="AD206" i="74"/>
  <c r="AC206" i="74"/>
  <c r="B206" i="74"/>
  <c r="A206" i="74"/>
  <c r="AO205" i="74"/>
  <c r="AM205" i="74"/>
  <c r="AL205" i="74"/>
  <c r="AK205" i="74"/>
  <c r="AJ205" i="74"/>
  <c r="AI205" i="74"/>
  <c r="AH205" i="74"/>
  <c r="AG205" i="74"/>
  <c r="AF205" i="74"/>
  <c r="AE205" i="74"/>
  <c r="AD205" i="74"/>
  <c r="AC205" i="74"/>
  <c r="K205" i="74"/>
  <c r="B205" i="74"/>
  <c r="A205" i="74"/>
  <c r="AO204" i="74"/>
  <c r="AM204" i="74"/>
  <c r="AL204" i="74"/>
  <c r="AK204" i="74"/>
  <c r="AJ204" i="74"/>
  <c r="AI204" i="74"/>
  <c r="AH204" i="74"/>
  <c r="AG204" i="74"/>
  <c r="AF204" i="74"/>
  <c r="AE204" i="74"/>
  <c r="AD204" i="74"/>
  <c r="AC204" i="74"/>
  <c r="A204" i="74"/>
  <c r="AO203" i="74"/>
  <c r="AM203" i="74"/>
  <c r="AL203" i="74"/>
  <c r="AK203" i="74"/>
  <c r="AJ203" i="74"/>
  <c r="AI203" i="74"/>
  <c r="AH203" i="74"/>
  <c r="AG203" i="74"/>
  <c r="AF203" i="74"/>
  <c r="AE203" i="74"/>
  <c r="AD203" i="74"/>
  <c r="AC203" i="74"/>
  <c r="A203" i="74"/>
  <c r="AO202" i="74"/>
  <c r="AM202" i="74"/>
  <c r="AL202" i="74"/>
  <c r="AK202" i="74"/>
  <c r="AJ202" i="74"/>
  <c r="AI202" i="74"/>
  <c r="AH202" i="74"/>
  <c r="AG202" i="74"/>
  <c r="AF202" i="74"/>
  <c r="AE202" i="74"/>
  <c r="AD202" i="74"/>
  <c r="AC202" i="74"/>
  <c r="A202" i="74"/>
  <c r="AO201" i="74"/>
  <c r="AM201" i="74"/>
  <c r="AL201" i="74"/>
  <c r="AK201" i="74"/>
  <c r="AJ201" i="74"/>
  <c r="AI201" i="74"/>
  <c r="AH201" i="74"/>
  <c r="AG201" i="74"/>
  <c r="AF201" i="74"/>
  <c r="AE201" i="74"/>
  <c r="AD201" i="74"/>
  <c r="AC201" i="74"/>
  <c r="A201" i="74"/>
  <c r="AO200" i="74"/>
  <c r="AM200" i="74"/>
  <c r="AL200" i="74"/>
  <c r="AK200" i="74"/>
  <c r="AJ200" i="74"/>
  <c r="AI200" i="74"/>
  <c r="AH200" i="74"/>
  <c r="AG200" i="74"/>
  <c r="AF200" i="74"/>
  <c r="AE200" i="74"/>
  <c r="AD200" i="74"/>
  <c r="AC200" i="74"/>
  <c r="A200" i="74"/>
  <c r="AO199" i="74"/>
  <c r="AM199" i="74"/>
  <c r="AL199" i="74"/>
  <c r="AK199" i="74"/>
  <c r="AJ199" i="74"/>
  <c r="AI199" i="74"/>
  <c r="AH199" i="74"/>
  <c r="AG199" i="74"/>
  <c r="AF199" i="74"/>
  <c r="AE199" i="74"/>
  <c r="AD199" i="74"/>
  <c r="AC199" i="74"/>
  <c r="A199" i="74"/>
  <c r="AO198" i="74"/>
  <c r="AM198" i="74"/>
  <c r="AL198" i="74"/>
  <c r="AK198" i="74"/>
  <c r="AJ198" i="74"/>
  <c r="AI198" i="74"/>
  <c r="AH198" i="74"/>
  <c r="AG198" i="74"/>
  <c r="AF198" i="74"/>
  <c r="AE198" i="74"/>
  <c r="AD198" i="74"/>
  <c r="AC198" i="74"/>
  <c r="A198" i="74"/>
  <c r="AO197" i="74"/>
  <c r="AM197" i="74"/>
  <c r="AL197" i="74"/>
  <c r="AK197" i="74"/>
  <c r="AJ197" i="74"/>
  <c r="AI197" i="74"/>
  <c r="AH197" i="74"/>
  <c r="AG197" i="74"/>
  <c r="AF197" i="74"/>
  <c r="AE197" i="74"/>
  <c r="AD197" i="74"/>
  <c r="AC197" i="74"/>
  <c r="A197" i="74"/>
  <c r="AO196" i="74"/>
  <c r="AM196" i="74"/>
  <c r="AL196" i="74"/>
  <c r="AK196" i="74"/>
  <c r="AJ196" i="74"/>
  <c r="AI196" i="74"/>
  <c r="AH196" i="74"/>
  <c r="AG196" i="74"/>
  <c r="AF196" i="74"/>
  <c r="AE196" i="74"/>
  <c r="AD196" i="74"/>
  <c r="AC196" i="74"/>
  <c r="N196" i="74"/>
  <c r="B196" i="74"/>
  <c r="A196" i="74"/>
  <c r="AO195" i="74"/>
  <c r="AM195" i="74"/>
  <c r="AL195" i="74"/>
  <c r="AK195" i="74"/>
  <c r="AJ195" i="74"/>
  <c r="AI195" i="74"/>
  <c r="AH195" i="74"/>
  <c r="AG195" i="74"/>
  <c r="AF195" i="74"/>
  <c r="AE195" i="74"/>
  <c r="AD195" i="74"/>
  <c r="AC195" i="74"/>
  <c r="B195" i="74"/>
  <c r="A195" i="74"/>
  <c r="AO194" i="74"/>
  <c r="AM194" i="74"/>
  <c r="AL194" i="74"/>
  <c r="AK194" i="74"/>
  <c r="AJ194" i="74"/>
  <c r="AI194" i="74"/>
  <c r="AH194" i="74"/>
  <c r="AG194" i="74"/>
  <c r="AF194" i="74"/>
  <c r="AE194" i="74"/>
  <c r="AD194" i="74"/>
  <c r="AC194" i="74"/>
  <c r="A194" i="74"/>
  <c r="AO193" i="74"/>
  <c r="AM193" i="74"/>
  <c r="AL193" i="74"/>
  <c r="AK193" i="74"/>
  <c r="AJ193" i="74"/>
  <c r="AI193" i="74"/>
  <c r="AH193" i="74"/>
  <c r="AG193" i="74"/>
  <c r="AF193" i="74"/>
  <c r="AE193" i="74"/>
  <c r="AD193" i="74"/>
  <c r="AC193" i="74"/>
  <c r="A193" i="74"/>
  <c r="AO192" i="74"/>
  <c r="AM192" i="74"/>
  <c r="AL192" i="74"/>
  <c r="AK192" i="74"/>
  <c r="AJ192" i="74"/>
  <c r="AI192" i="74"/>
  <c r="AH192" i="74"/>
  <c r="AG192" i="74"/>
  <c r="AF192" i="74"/>
  <c r="AE192" i="74"/>
  <c r="AD192" i="74"/>
  <c r="AC192" i="74"/>
  <c r="A192" i="74"/>
  <c r="AO191" i="74"/>
  <c r="AM191" i="74"/>
  <c r="AL191" i="74"/>
  <c r="AK191" i="74"/>
  <c r="AJ191" i="74"/>
  <c r="AI191" i="74"/>
  <c r="AH191" i="74"/>
  <c r="AG191" i="74"/>
  <c r="AF191" i="74"/>
  <c r="AE191" i="74"/>
  <c r="AD191" i="74"/>
  <c r="AC191" i="74"/>
  <c r="A191" i="74"/>
  <c r="AO190" i="74"/>
  <c r="AM190" i="74"/>
  <c r="AL190" i="74"/>
  <c r="AK190" i="74"/>
  <c r="AJ190" i="74"/>
  <c r="AI190" i="74"/>
  <c r="AH190" i="74"/>
  <c r="AG190" i="74"/>
  <c r="AF190" i="74"/>
  <c r="AE190" i="74"/>
  <c r="AD190" i="74"/>
  <c r="AC190" i="74"/>
  <c r="A190" i="74"/>
  <c r="AO189" i="74"/>
  <c r="AM189" i="74"/>
  <c r="AL189" i="74"/>
  <c r="AK189" i="74"/>
  <c r="AJ189" i="74"/>
  <c r="AI189" i="74"/>
  <c r="AH189" i="74"/>
  <c r="AG189" i="74"/>
  <c r="AF189" i="74"/>
  <c r="AE189" i="74"/>
  <c r="AD189" i="74"/>
  <c r="AC189" i="74"/>
  <c r="A189" i="74"/>
  <c r="AO188" i="74"/>
  <c r="AM188" i="74"/>
  <c r="AL188" i="74"/>
  <c r="AK188" i="74"/>
  <c r="AJ188" i="74"/>
  <c r="AI188" i="74"/>
  <c r="AH188" i="74"/>
  <c r="AG188" i="74"/>
  <c r="AF188" i="74"/>
  <c r="AE188" i="74"/>
  <c r="AD188" i="74"/>
  <c r="AC188" i="74"/>
  <c r="A188" i="74"/>
  <c r="AO187" i="74"/>
  <c r="AM187" i="74"/>
  <c r="AL187" i="74"/>
  <c r="AK187" i="74"/>
  <c r="AJ187" i="74"/>
  <c r="AI187" i="74"/>
  <c r="AH187" i="74"/>
  <c r="AG187" i="74"/>
  <c r="AF187" i="74"/>
  <c r="AE187" i="74"/>
  <c r="AD187" i="74"/>
  <c r="AC187" i="74"/>
  <c r="A187" i="74"/>
  <c r="AO186" i="74"/>
  <c r="AM186" i="74"/>
  <c r="AL186" i="74"/>
  <c r="AK186" i="74"/>
  <c r="AJ186" i="74"/>
  <c r="AI186" i="74"/>
  <c r="AH186" i="74"/>
  <c r="AG186" i="74"/>
  <c r="AF186" i="74"/>
  <c r="AE186" i="74"/>
  <c r="AD186" i="74"/>
  <c r="AC186" i="74"/>
  <c r="A186" i="74"/>
  <c r="AO185" i="74"/>
  <c r="AM185" i="74"/>
  <c r="AL185" i="74"/>
  <c r="AK185" i="74"/>
  <c r="AJ185" i="74"/>
  <c r="AI185" i="74"/>
  <c r="AH185" i="74"/>
  <c r="AG185" i="74"/>
  <c r="AF185" i="74"/>
  <c r="AE185" i="74"/>
  <c r="AD185" i="74"/>
  <c r="AC185" i="74"/>
  <c r="A185" i="74"/>
  <c r="AO184" i="74"/>
  <c r="AM184" i="74"/>
  <c r="AL184" i="74"/>
  <c r="AK184" i="74"/>
  <c r="AJ184" i="74"/>
  <c r="AI184" i="74"/>
  <c r="AH184" i="74"/>
  <c r="AG184" i="74"/>
  <c r="AF184" i="74"/>
  <c r="AE184" i="74"/>
  <c r="AD184" i="74"/>
  <c r="AC184" i="74"/>
  <c r="A184" i="74"/>
  <c r="AO183" i="74"/>
  <c r="AM183" i="74"/>
  <c r="AL183" i="74"/>
  <c r="AK183" i="74"/>
  <c r="AJ183" i="74"/>
  <c r="AI183" i="74"/>
  <c r="AH183" i="74"/>
  <c r="AG183" i="74"/>
  <c r="AF183" i="74"/>
  <c r="AE183" i="74"/>
  <c r="AD183" i="74"/>
  <c r="AC183" i="74"/>
  <c r="A183" i="74"/>
  <c r="AO182" i="74"/>
  <c r="AM182" i="74"/>
  <c r="AL182" i="74"/>
  <c r="AK182" i="74"/>
  <c r="AJ182" i="74"/>
  <c r="AI182" i="74"/>
  <c r="AH182" i="74"/>
  <c r="AG182" i="74"/>
  <c r="AF182" i="74"/>
  <c r="AE182" i="74"/>
  <c r="AD182" i="74"/>
  <c r="AC182" i="74"/>
  <c r="A182" i="74"/>
  <c r="A181" i="74"/>
  <c r="A180" i="74"/>
  <c r="A179" i="74"/>
  <c r="N178" i="74"/>
  <c r="M178" i="74"/>
  <c r="L178" i="74"/>
  <c r="K178" i="74"/>
  <c r="J178" i="74"/>
  <c r="I178" i="74"/>
  <c r="H178" i="74"/>
  <c r="G178" i="74"/>
  <c r="F178" i="74"/>
  <c r="E178" i="74"/>
  <c r="A178" i="74"/>
  <c r="A177" i="74"/>
  <c r="A176" i="74"/>
  <c r="A175" i="74"/>
  <c r="A174" i="74"/>
  <c r="A173" i="74"/>
  <c r="A172" i="74"/>
  <c r="A171" i="74"/>
  <c r="AO170" i="74"/>
  <c r="AM170" i="74"/>
  <c r="AL170" i="74"/>
  <c r="AK170" i="74"/>
  <c r="AJ170" i="74"/>
  <c r="AI170" i="74"/>
  <c r="AH170" i="74"/>
  <c r="AG170" i="74"/>
  <c r="AF170" i="74"/>
  <c r="AE170" i="74"/>
  <c r="AD170" i="74"/>
  <c r="AC170" i="74"/>
  <c r="A170" i="74"/>
  <c r="AO169" i="74"/>
  <c r="AM169" i="74"/>
  <c r="AL169" i="74"/>
  <c r="AK169" i="74"/>
  <c r="AJ169" i="74"/>
  <c r="AI169" i="74"/>
  <c r="AH169" i="74"/>
  <c r="AG169" i="74"/>
  <c r="AF169" i="74"/>
  <c r="AE169" i="74"/>
  <c r="AD169" i="74"/>
  <c r="AC169" i="74"/>
  <c r="A169" i="74"/>
  <c r="AO168" i="74"/>
  <c r="AM168" i="74"/>
  <c r="AL168" i="74"/>
  <c r="AK168" i="74"/>
  <c r="AJ168" i="74"/>
  <c r="AI168" i="74"/>
  <c r="AH168" i="74"/>
  <c r="AG168" i="74"/>
  <c r="AF168" i="74"/>
  <c r="AE168" i="74"/>
  <c r="AD168" i="74"/>
  <c r="AC168" i="74"/>
  <c r="A168" i="74"/>
  <c r="A167" i="74"/>
  <c r="A166" i="74"/>
  <c r="A165" i="74"/>
  <c r="AO164" i="74"/>
  <c r="AM164" i="74"/>
  <c r="AL164" i="74"/>
  <c r="AK164" i="74"/>
  <c r="AJ164" i="74"/>
  <c r="AI164" i="74"/>
  <c r="AH164" i="74"/>
  <c r="AG164" i="74"/>
  <c r="AF164" i="74"/>
  <c r="AE164" i="74"/>
  <c r="AD164" i="74"/>
  <c r="AC164" i="74"/>
  <c r="A164" i="74"/>
  <c r="AO163" i="74"/>
  <c r="AM163" i="74"/>
  <c r="AL163" i="74"/>
  <c r="AK163" i="74"/>
  <c r="AJ163" i="74"/>
  <c r="AI163" i="74"/>
  <c r="AH163" i="74"/>
  <c r="AG163" i="74"/>
  <c r="AF163" i="74"/>
  <c r="AE163" i="74"/>
  <c r="AD163" i="74"/>
  <c r="AC163" i="74"/>
  <c r="A163" i="74"/>
  <c r="A162" i="74"/>
  <c r="A161" i="74"/>
  <c r="AO160" i="74"/>
  <c r="AM160" i="74"/>
  <c r="AL160" i="74"/>
  <c r="AK160" i="74"/>
  <c r="AJ160" i="74"/>
  <c r="AI160" i="74"/>
  <c r="AH160" i="74"/>
  <c r="AG160" i="74"/>
  <c r="AF160" i="74"/>
  <c r="AE160" i="74"/>
  <c r="AD160" i="74"/>
  <c r="AC160" i="74"/>
  <c r="A160" i="74"/>
  <c r="AO159" i="74"/>
  <c r="AM159" i="74"/>
  <c r="AL159" i="74"/>
  <c r="AK159" i="74"/>
  <c r="AJ159" i="74"/>
  <c r="AI159" i="74"/>
  <c r="AH159" i="74"/>
  <c r="AG159" i="74"/>
  <c r="AF159" i="74"/>
  <c r="AE159" i="74"/>
  <c r="AD159" i="74"/>
  <c r="AC159" i="74"/>
  <c r="A159" i="74"/>
  <c r="AO158" i="74"/>
  <c r="AM158" i="74"/>
  <c r="AL158" i="74"/>
  <c r="AK158" i="74"/>
  <c r="AJ158" i="74"/>
  <c r="AI158" i="74"/>
  <c r="AH158" i="74"/>
  <c r="AG158" i="74"/>
  <c r="AF158" i="74"/>
  <c r="AE158" i="74"/>
  <c r="AD158" i="74"/>
  <c r="AC158" i="74"/>
  <c r="M158" i="74"/>
  <c r="M159" i="74" s="1"/>
  <c r="M303" i="74" s="1"/>
  <c r="A158" i="74"/>
  <c r="AO157" i="74"/>
  <c r="AM157" i="74"/>
  <c r="AL157" i="74"/>
  <c r="AK157" i="74"/>
  <c r="AJ157" i="74"/>
  <c r="AI157" i="74"/>
  <c r="AH157" i="74"/>
  <c r="AG157" i="74"/>
  <c r="AF157" i="74"/>
  <c r="AE157" i="74"/>
  <c r="AD157" i="74"/>
  <c r="AC157" i="74"/>
  <c r="A157" i="74"/>
  <c r="AO156" i="74"/>
  <c r="AM156" i="74"/>
  <c r="AL156" i="74"/>
  <c r="AK156" i="74"/>
  <c r="AJ156" i="74"/>
  <c r="AI156" i="74"/>
  <c r="AH156" i="74"/>
  <c r="AG156" i="74"/>
  <c r="AF156" i="74"/>
  <c r="AE156" i="74"/>
  <c r="AD156" i="74"/>
  <c r="AC156" i="74"/>
  <c r="A156" i="74"/>
  <c r="AO155" i="74"/>
  <c r="AM155" i="74"/>
  <c r="AL155" i="74"/>
  <c r="AK155" i="74"/>
  <c r="AJ155" i="74"/>
  <c r="AI155" i="74"/>
  <c r="AH155" i="74"/>
  <c r="AG155" i="74"/>
  <c r="AF155" i="74"/>
  <c r="AE155" i="74"/>
  <c r="AD155" i="74"/>
  <c r="AC155" i="74"/>
  <c r="A155" i="74"/>
  <c r="AO154" i="74"/>
  <c r="AM154" i="74"/>
  <c r="AL154" i="74"/>
  <c r="AK154" i="74"/>
  <c r="AJ154" i="74"/>
  <c r="AI154" i="74"/>
  <c r="AH154" i="74"/>
  <c r="AG154" i="74"/>
  <c r="AF154" i="74"/>
  <c r="AE154" i="74"/>
  <c r="AD154" i="74"/>
  <c r="AC154" i="74"/>
  <c r="A154" i="74"/>
  <c r="AO153" i="74"/>
  <c r="AM153" i="74"/>
  <c r="AL153" i="74"/>
  <c r="AK153" i="74"/>
  <c r="AJ153" i="74"/>
  <c r="AI153" i="74"/>
  <c r="AH153" i="74"/>
  <c r="AG153" i="74"/>
  <c r="AF153" i="74"/>
  <c r="AE153" i="74"/>
  <c r="AD153" i="74"/>
  <c r="AC153" i="74"/>
  <c r="A153" i="74"/>
  <c r="AO152" i="74"/>
  <c r="AM152" i="74"/>
  <c r="AL152" i="74"/>
  <c r="AK152" i="74"/>
  <c r="AJ152" i="74"/>
  <c r="AI152" i="74"/>
  <c r="AH152" i="74"/>
  <c r="AG152" i="74"/>
  <c r="AF152" i="74"/>
  <c r="AE152" i="74"/>
  <c r="AD152" i="74"/>
  <c r="AC152" i="74"/>
  <c r="A152" i="74"/>
  <c r="AO151" i="74"/>
  <c r="AM151" i="74"/>
  <c r="AL151" i="74"/>
  <c r="AK151" i="74"/>
  <c r="AJ151" i="74"/>
  <c r="AI151" i="74"/>
  <c r="AH151" i="74"/>
  <c r="AG151" i="74"/>
  <c r="AF151" i="74"/>
  <c r="AE151" i="74"/>
  <c r="AD151" i="74"/>
  <c r="AC151" i="74"/>
  <c r="A151" i="74"/>
  <c r="AO150" i="74"/>
  <c r="AM150" i="74"/>
  <c r="AL150" i="74"/>
  <c r="AK150" i="74"/>
  <c r="AJ150" i="74"/>
  <c r="AI150" i="74"/>
  <c r="AH150" i="74"/>
  <c r="AG150" i="74"/>
  <c r="AF150" i="74"/>
  <c r="AE150" i="74"/>
  <c r="AD150" i="74"/>
  <c r="AC150" i="74"/>
  <c r="A150" i="74"/>
  <c r="AO149" i="74"/>
  <c r="AM149" i="74"/>
  <c r="AL149" i="74"/>
  <c r="AK149" i="74"/>
  <c r="AJ149" i="74"/>
  <c r="AI149" i="74"/>
  <c r="AH149" i="74"/>
  <c r="AG149" i="74"/>
  <c r="AF149" i="74"/>
  <c r="AE149" i="74"/>
  <c r="AD149" i="74"/>
  <c r="AC149" i="74"/>
  <c r="N149" i="74"/>
  <c r="N158" i="74" s="1"/>
  <c r="M149" i="74"/>
  <c r="M196" i="74" s="1"/>
  <c r="L149" i="74"/>
  <c r="K149" i="74"/>
  <c r="J149" i="74"/>
  <c r="I149" i="74"/>
  <c r="I196" i="74" s="1"/>
  <c r="F149" i="74"/>
  <c r="E149" i="74"/>
  <c r="E196" i="74" s="1"/>
  <c r="A149" i="74"/>
  <c r="AO148" i="74"/>
  <c r="AM148" i="74"/>
  <c r="AL148" i="74"/>
  <c r="AK148" i="74"/>
  <c r="AJ148" i="74"/>
  <c r="AI148" i="74"/>
  <c r="AH148" i="74"/>
  <c r="AG148" i="74"/>
  <c r="AF148" i="74"/>
  <c r="AE148" i="74"/>
  <c r="AD148" i="74"/>
  <c r="AC148" i="74"/>
  <c r="A148" i="74"/>
  <c r="AO147" i="74"/>
  <c r="AM147" i="74"/>
  <c r="AL147" i="74"/>
  <c r="AK147" i="74"/>
  <c r="AJ147" i="74"/>
  <c r="AI147" i="74"/>
  <c r="AH147" i="74"/>
  <c r="AG147" i="74"/>
  <c r="AF147" i="74"/>
  <c r="AE147" i="74"/>
  <c r="AD147" i="74"/>
  <c r="AC147" i="74"/>
  <c r="A147" i="74"/>
  <c r="AO146" i="74"/>
  <c r="AM146" i="74"/>
  <c r="AL146" i="74"/>
  <c r="AK146" i="74"/>
  <c r="AJ146" i="74"/>
  <c r="AI146" i="74"/>
  <c r="AH146" i="74"/>
  <c r="AG146" i="74"/>
  <c r="AF146" i="74"/>
  <c r="AE146" i="74"/>
  <c r="AD146" i="74"/>
  <c r="AC146" i="74"/>
  <c r="A146" i="74"/>
  <c r="AO145" i="74"/>
  <c r="AM145" i="74"/>
  <c r="AL145" i="74"/>
  <c r="AK145" i="74"/>
  <c r="AJ145" i="74"/>
  <c r="AI145" i="74"/>
  <c r="AH145" i="74"/>
  <c r="AG145" i="74"/>
  <c r="AF145" i="74"/>
  <c r="AE145" i="74"/>
  <c r="AD145" i="74"/>
  <c r="AC145" i="74"/>
  <c r="A145" i="74"/>
  <c r="AO144" i="74"/>
  <c r="AM144" i="74"/>
  <c r="AL144" i="74"/>
  <c r="AK144" i="74"/>
  <c r="AJ144" i="74"/>
  <c r="AI144" i="74"/>
  <c r="AH144" i="74"/>
  <c r="AG144" i="74"/>
  <c r="AF144" i="74"/>
  <c r="AE144" i="74"/>
  <c r="AD144" i="74"/>
  <c r="AC144" i="74"/>
  <c r="N144" i="74"/>
  <c r="M144" i="74"/>
  <c r="L144" i="74"/>
  <c r="K144" i="74"/>
  <c r="J144" i="74"/>
  <c r="A144" i="74"/>
  <c r="AO143" i="74"/>
  <c r="AM143" i="74"/>
  <c r="AL143" i="74"/>
  <c r="AK143" i="74"/>
  <c r="AJ143" i="74"/>
  <c r="AI143" i="74"/>
  <c r="AH143" i="74"/>
  <c r="AG143" i="74"/>
  <c r="AF143" i="74"/>
  <c r="AE143" i="74"/>
  <c r="AD143" i="74"/>
  <c r="AC143" i="74"/>
  <c r="A143" i="74"/>
  <c r="AO142" i="74"/>
  <c r="AM142" i="74"/>
  <c r="AL142" i="74"/>
  <c r="AK142" i="74"/>
  <c r="AJ142" i="74"/>
  <c r="AI142" i="74"/>
  <c r="AH142" i="74"/>
  <c r="AG142" i="74"/>
  <c r="AF142" i="74"/>
  <c r="AE142" i="74"/>
  <c r="AD142" i="74"/>
  <c r="AC142" i="74"/>
  <c r="A142" i="74"/>
  <c r="A141" i="74"/>
  <c r="A140" i="74"/>
  <c r="AO139" i="74"/>
  <c r="AM139" i="74"/>
  <c r="AL139" i="74"/>
  <c r="AK139" i="74"/>
  <c r="AJ139" i="74"/>
  <c r="AI139" i="74"/>
  <c r="AH139" i="74"/>
  <c r="AG139" i="74"/>
  <c r="AF139" i="74"/>
  <c r="AE139" i="74"/>
  <c r="AD139" i="74"/>
  <c r="AC139" i="74"/>
  <c r="A139" i="74"/>
  <c r="AO138" i="74"/>
  <c r="AM138" i="74"/>
  <c r="AL138" i="74"/>
  <c r="AK138" i="74"/>
  <c r="AJ138" i="74"/>
  <c r="AI138" i="74"/>
  <c r="AH138" i="74"/>
  <c r="AG138" i="74"/>
  <c r="AF138" i="74"/>
  <c r="AE138" i="74"/>
  <c r="AD138" i="74"/>
  <c r="AC138" i="74"/>
  <c r="X138" i="74"/>
  <c r="W138" i="74"/>
  <c r="V138" i="74"/>
  <c r="U138" i="74"/>
  <c r="T138" i="74"/>
  <c r="S138" i="74"/>
  <c r="A138" i="74"/>
  <c r="A137" i="74"/>
  <c r="A136" i="74"/>
  <c r="AO135" i="74"/>
  <c r="AM135" i="74"/>
  <c r="AL135" i="74"/>
  <c r="AK135" i="74"/>
  <c r="AJ135" i="74"/>
  <c r="AI135" i="74"/>
  <c r="AH135" i="74"/>
  <c r="AG135" i="74"/>
  <c r="AF135" i="74"/>
  <c r="AE135" i="74"/>
  <c r="AD135" i="74"/>
  <c r="AC135" i="74"/>
  <c r="A135" i="74"/>
  <c r="AO134" i="74"/>
  <c r="AM134" i="74"/>
  <c r="AL134" i="74"/>
  <c r="AK134" i="74"/>
  <c r="AJ134" i="74"/>
  <c r="AI134" i="74"/>
  <c r="AH134" i="74"/>
  <c r="AG134" i="74"/>
  <c r="AF134" i="74"/>
  <c r="AE134" i="74"/>
  <c r="AD134" i="74"/>
  <c r="AC134" i="74"/>
  <c r="A134" i="74"/>
  <c r="AO133" i="74"/>
  <c r="AM133" i="74"/>
  <c r="AL133" i="74"/>
  <c r="AK133" i="74"/>
  <c r="AJ133" i="74"/>
  <c r="AI133" i="74"/>
  <c r="AH133" i="74"/>
  <c r="AG133" i="74"/>
  <c r="AF133" i="74"/>
  <c r="AE133" i="74"/>
  <c r="AD133" i="74"/>
  <c r="AC133" i="74"/>
  <c r="A133" i="74"/>
  <c r="AO132" i="74"/>
  <c r="AM132" i="74"/>
  <c r="AL132" i="74"/>
  <c r="AK132" i="74"/>
  <c r="AJ132" i="74"/>
  <c r="AI132" i="74"/>
  <c r="AH132" i="74"/>
  <c r="AG132" i="74"/>
  <c r="AF132" i="74"/>
  <c r="AE132" i="74"/>
  <c r="AD132" i="74"/>
  <c r="AC132" i="74"/>
  <c r="A132" i="74"/>
  <c r="AO131" i="74"/>
  <c r="AM131" i="74"/>
  <c r="AL131" i="74"/>
  <c r="AK131" i="74"/>
  <c r="AJ131" i="74"/>
  <c r="AI131" i="74"/>
  <c r="AH131" i="74"/>
  <c r="AG131" i="74"/>
  <c r="AF131" i="74"/>
  <c r="AE131" i="74"/>
  <c r="AD131" i="74"/>
  <c r="AC131" i="74"/>
  <c r="A131" i="74"/>
  <c r="AO130" i="74"/>
  <c r="AM130" i="74"/>
  <c r="AL130" i="74"/>
  <c r="AK130" i="74"/>
  <c r="AJ130" i="74"/>
  <c r="AI130" i="74"/>
  <c r="AH130" i="74"/>
  <c r="AG130" i="74"/>
  <c r="AF130" i="74"/>
  <c r="AE130" i="74"/>
  <c r="AD130" i="74"/>
  <c r="AC130" i="74"/>
  <c r="A130" i="74"/>
  <c r="AO129" i="74"/>
  <c r="AM129" i="74"/>
  <c r="AL129" i="74"/>
  <c r="AK129" i="74"/>
  <c r="AJ129" i="74"/>
  <c r="AI129" i="74"/>
  <c r="AH129" i="74"/>
  <c r="AG129" i="74"/>
  <c r="AF129" i="74"/>
  <c r="AE129" i="74"/>
  <c r="AD129" i="74"/>
  <c r="AC129" i="74"/>
  <c r="A129" i="74"/>
  <c r="AO128" i="74"/>
  <c r="AM128" i="74"/>
  <c r="AL128" i="74"/>
  <c r="AK128" i="74"/>
  <c r="AJ128" i="74"/>
  <c r="AI128" i="74"/>
  <c r="AH128" i="74"/>
  <c r="AG128" i="74"/>
  <c r="AF128" i="74"/>
  <c r="AE128" i="74"/>
  <c r="AD128" i="74"/>
  <c r="AC128" i="74"/>
  <c r="N128" i="74"/>
  <c r="M128" i="74"/>
  <c r="M129" i="74" s="1"/>
  <c r="M195" i="74" s="1"/>
  <c r="A128" i="74"/>
  <c r="AO127" i="74"/>
  <c r="AM127" i="74"/>
  <c r="AL127" i="74"/>
  <c r="AK127" i="74"/>
  <c r="AJ127" i="74"/>
  <c r="AI127" i="74"/>
  <c r="AH127" i="74"/>
  <c r="AG127" i="74"/>
  <c r="AF127" i="74"/>
  <c r="AE127" i="74"/>
  <c r="AD127" i="74"/>
  <c r="AC127" i="74"/>
  <c r="A127" i="74"/>
  <c r="AO126" i="74"/>
  <c r="AM126" i="74"/>
  <c r="AL126" i="74"/>
  <c r="AK126" i="74"/>
  <c r="AJ126" i="74"/>
  <c r="AI126" i="74"/>
  <c r="AH126" i="74"/>
  <c r="AG126" i="74"/>
  <c r="AF126" i="74"/>
  <c r="AE126" i="74"/>
  <c r="AD126" i="74"/>
  <c r="AC126" i="74"/>
  <c r="A126" i="74"/>
  <c r="AO125" i="74"/>
  <c r="AM125" i="74"/>
  <c r="AL125" i="74"/>
  <c r="AK125" i="74"/>
  <c r="AJ125" i="74"/>
  <c r="AI125" i="74"/>
  <c r="AH125" i="74"/>
  <c r="AG125" i="74"/>
  <c r="AF125" i="74"/>
  <c r="AE125" i="74"/>
  <c r="AD125" i="74"/>
  <c r="AC125" i="74"/>
  <c r="M125" i="74"/>
  <c r="A125" i="74"/>
  <c r="AO124" i="74"/>
  <c r="AM124" i="74"/>
  <c r="AL124" i="74"/>
  <c r="AK124" i="74"/>
  <c r="AJ124" i="74"/>
  <c r="AI124" i="74"/>
  <c r="AH124" i="74"/>
  <c r="AG124" i="74"/>
  <c r="AF124" i="74"/>
  <c r="AE124" i="74"/>
  <c r="AD124" i="74"/>
  <c r="AC124" i="74"/>
  <c r="A124" i="74"/>
  <c r="AO123" i="74"/>
  <c r="AM123" i="74"/>
  <c r="AL123" i="74"/>
  <c r="AK123" i="74"/>
  <c r="AJ123" i="74"/>
  <c r="AI123" i="74"/>
  <c r="AH123" i="74"/>
  <c r="AG123" i="74"/>
  <c r="AF123" i="74"/>
  <c r="AE123" i="74"/>
  <c r="AD123" i="74"/>
  <c r="AC123" i="74"/>
  <c r="A123" i="74"/>
  <c r="AO122" i="74"/>
  <c r="AM122" i="74"/>
  <c r="AL122" i="74"/>
  <c r="AK122" i="74"/>
  <c r="AJ122" i="74"/>
  <c r="AI122" i="74"/>
  <c r="AH122" i="74"/>
  <c r="AG122" i="74"/>
  <c r="AF122" i="74"/>
  <c r="AE122" i="74"/>
  <c r="AD122" i="74"/>
  <c r="AC122" i="74"/>
  <c r="A122" i="74"/>
  <c r="AO121" i="74"/>
  <c r="AM121" i="74"/>
  <c r="AL121" i="74"/>
  <c r="AK121" i="74"/>
  <c r="AJ121" i="74"/>
  <c r="AI121" i="74"/>
  <c r="AH121" i="74"/>
  <c r="AG121" i="74"/>
  <c r="AF121" i="74"/>
  <c r="AE121" i="74"/>
  <c r="AD121" i="74"/>
  <c r="AC121" i="74"/>
  <c r="N121" i="74"/>
  <c r="N205" i="74" s="1"/>
  <c r="M121" i="74"/>
  <c r="M205" i="74" s="1"/>
  <c r="L121" i="74"/>
  <c r="K121" i="74"/>
  <c r="K128" i="74" s="1"/>
  <c r="A121" i="74"/>
  <c r="AO120" i="74"/>
  <c r="AM120" i="74"/>
  <c r="AL120" i="74"/>
  <c r="AK120" i="74"/>
  <c r="AJ120" i="74"/>
  <c r="AI120" i="74"/>
  <c r="AH120" i="74"/>
  <c r="AG120" i="74"/>
  <c r="AF120" i="74"/>
  <c r="AE120" i="74"/>
  <c r="AD120" i="74"/>
  <c r="AC120" i="74"/>
  <c r="A120" i="74"/>
  <c r="AO119" i="74"/>
  <c r="AM119" i="74"/>
  <c r="AL119" i="74"/>
  <c r="AK119" i="74"/>
  <c r="AJ119" i="74"/>
  <c r="AI119" i="74"/>
  <c r="AH119" i="74"/>
  <c r="AG119" i="74"/>
  <c r="AF119" i="74"/>
  <c r="AE119" i="74"/>
  <c r="AD119" i="74"/>
  <c r="AC119" i="74"/>
  <c r="N119" i="74"/>
  <c r="N312" i="74" s="1"/>
  <c r="M119" i="74"/>
  <c r="M312" i="74" s="1"/>
  <c r="L119" i="74"/>
  <c r="L312" i="74" s="1"/>
  <c r="K119" i="74"/>
  <c r="K312" i="74" s="1"/>
  <c r="A119" i="74"/>
  <c r="AO118" i="74"/>
  <c r="AM118" i="74"/>
  <c r="AL118" i="74"/>
  <c r="AK118" i="74"/>
  <c r="AJ118" i="74"/>
  <c r="AI118" i="74"/>
  <c r="AH118" i="74"/>
  <c r="AG118" i="74"/>
  <c r="AF118" i="74"/>
  <c r="AE118" i="74"/>
  <c r="AD118" i="74"/>
  <c r="AC118" i="74"/>
  <c r="A118" i="74"/>
  <c r="AO117" i="74"/>
  <c r="AM117" i="74"/>
  <c r="AL117" i="74"/>
  <c r="AK117" i="74"/>
  <c r="AJ117" i="74"/>
  <c r="AI117" i="74"/>
  <c r="AH117" i="74"/>
  <c r="AG117" i="74"/>
  <c r="AF117" i="74"/>
  <c r="AE117" i="74"/>
  <c r="AD117" i="74"/>
  <c r="AC117" i="74"/>
  <c r="A117" i="74"/>
  <c r="AO116" i="74"/>
  <c r="AM116" i="74"/>
  <c r="AL116" i="74"/>
  <c r="AK116" i="74"/>
  <c r="AJ116" i="74"/>
  <c r="AI116" i="74"/>
  <c r="AH116" i="74"/>
  <c r="AG116" i="74"/>
  <c r="AF116" i="74"/>
  <c r="AE116" i="74"/>
  <c r="AD116" i="74"/>
  <c r="AC116" i="74"/>
  <c r="A116" i="74"/>
  <c r="AO115" i="74"/>
  <c r="AM115" i="74"/>
  <c r="AL115" i="74"/>
  <c r="AK115" i="74"/>
  <c r="AJ115" i="74"/>
  <c r="AI115" i="74"/>
  <c r="AH115" i="74"/>
  <c r="AG115" i="74"/>
  <c r="AF115" i="74"/>
  <c r="AE115" i="74"/>
  <c r="AD115" i="74"/>
  <c r="AC115" i="74"/>
  <c r="A115" i="74"/>
  <c r="AO114" i="74"/>
  <c r="AM114" i="74"/>
  <c r="AL114" i="74"/>
  <c r="AK114" i="74"/>
  <c r="AJ114" i="74"/>
  <c r="AI114" i="74"/>
  <c r="AH114" i="74"/>
  <c r="AG114" i="74"/>
  <c r="AF114" i="74"/>
  <c r="AE114" i="74"/>
  <c r="AD114" i="74"/>
  <c r="AC114" i="74"/>
  <c r="N114" i="74"/>
  <c r="M114" i="74"/>
  <c r="L114" i="74"/>
  <c r="K114" i="74"/>
  <c r="A114" i="74"/>
  <c r="AO113" i="74"/>
  <c r="AM113" i="74"/>
  <c r="AL113" i="74"/>
  <c r="AK113" i="74"/>
  <c r="AJ113" i="74"/>
  <c r="AI113" i="74"/>
  <c r="AH113" i="74"/>
  <c r="AG113" i="74"/>
  <c r="AF113" i="74"/>
  <c r="AE113" i="74"/>
  <c r="AD113" i="74"/>
  <c r="AC113" i="74"/>
  <c r="A113" i="74"/>
  <c r="AO112" i="74"/>
  <c r="AM112" i="74"/>
  <c r="AL112" i="74"/>
  <c r="AK112" i="74"/>
  <c r="AJ112" i="74"/>
  <c r="AI112" i="74"/>
  <c r="AH112" i="74"/>
  <c r="AG112" i="74"/>
  <c r="AF112" i="74"/>
  <c r="AE112" i="74"/>
  <c r="AD112" i="74"/>
  <c r="AC112" i="74"/>
  <c r="A112" i="74"/>
  <c r="A111" i="74"/>
  <c r="A110" i="74"/>
  <c r="AO109" i="74"/>
  <c r="AM109" i="74"/>
  <c r="AL109" i="74"/>
  <c r="AK109" i="74"/>
  <c r="AJ109" i="74"/>
  <c r="AI109" i="74"/>
  <c r="AH109" i="74"/>
  <c r="AG109" i="74"/>
  <c r="AF109" i="74"/>
  <c r="AE109" i="74"/>
  <c r="AD109" i="74"/>
  <c r="AC109" i="74"/>
  <c r="A109" i="74"/>
  <c r="A108" i="74"/>
  <c r="A107" i="74"/>
  <c r="A106" i="74"/>
  <c r="A105" i="74"/>
  <c r="A104" i="74"/>
  <c r="A103" i="74"/>
  <c r="A102" i="74"/>
  <c r="A101" i="74"/>
  <c r="AO100" i="74"/>
  <c r="AM100" i="74"/>
  <c r="AL100" i="74"/>
  <c r="AK100" i="74"/>
  <c r="AJ100" i="74"/>
  <c r="AI100" i="74"/>
  <c r="AH100" i="74"/>
  <c r="AG100" i="74"/>
  <c r="AF100" i="74"/>
  <c r="AE100" i="74"/>
  <c r="AD100" i="74"/>
  <c r="AC100" i="74"/>
  <c r="A100" i="74"/>
  <c r="AO99" i="74"/>
  <c r="AM99" i="74"/>
  <c r="AL99" i="74"/>
  <c r="AK99" i="74"/>
  <c r="AJ99" i="74"/>
  <c r="AI99" i="74"/>
  <c r="AH99" i="74"/>
  <c r="AG99" i="74"/>
  <c r="AF99" i="74"/>
  <c r="AE99" i="74"/>
  <c r="AD99" i="74"/>
  <c r="AC99" i="74"/>
  <c r="A99" i="74"/>
  <c r="AO98" i="74"/>
  <c r="AM98" i="74"/>
  <c r="AL98" i="74"/>
  <c r="AK98" i="74"/>
  <c r="AJ98" i="74"/>
  <c r="AI98" i="74"/>
  <c r="AH98" i="74"/>
  <c r="AG98" i="74"/>
  <c r="AF98" i="74"/>
  <c r="AE98" i="74"/>
  <c r="AD98" i="74"/>
  <c r="AC98" i="74"/>
  <c r="A98" i="74"/>
  <c r="AO97" i="74"/>
  <c r="AM97" i="74"/>
  <c r="AL97" i="74"/>
  <c r="AK97" i="74"/>
  <c r="AJ97" i="74"/>
  <c r="AI97" i="74"/>
  <c r="AH97" i="74"/>
  <c r="AG97" i="74"/>
  <c r="AF97" i="74"/>
  <c r="AE97" i="74"/>
  <c r="AD97" i="74"/>
  <c r="AC97" i="74"/>
  <c r="A97" i="74"/>
  <c r="AO96" i="74"/>
  <c r="AM96" i="74"/>
  <c r="AL96" i="74"/>
  <c r="AK96" i="74"/>
  <c r="AJ96" i="74"/>
  <c r="AI96" i="74"/>
  <c r="AH96" i="74"/>
  <c r="AG96" i="74"/>
  <c r="AF96" i="74"/>
  <c r="AE96" i="74"/>
  <c r="AD96" i="74"/>
  <c r="AC96" i="74"/>
  <c r="A96" i="74"/>
  <c r="AO95" i="74"/>
  <c r="AM95" i="74"/>
  <c r="AL95" i="74"/>
  <c r="AK95" i="74"/>
  <c r="AJ95" i="74"/>
  <c r="AI95" i="74"/>
  <c r="AH95" i="74"/>
  <c r="AG95" i="74"/>
  <c r="AF95" i="74"/>
  <c r="AE95" i="74"/>
  <c r="AD95" i="74"/>
  <c r="AC95" i="74"/>
  <c r="A95" i="74"/>
  <c r="AO94" i="74"/>
  <c r="AM94" i="74"/>
  <c r="AL94" i="74"/>
  <c r="AK94" i="74"/>
  <c r="AJ94" i="74"/>
  <c r="AI94" i="74"/>
  <c r="AH94" i="74"/>
  <c r="AG94" i="74"/>
  <c r="AF94" i="74"/>
  <c r="AE94" i="74"/>
  <c r="AD94" i="74"/>
  <c r="AC94" i="74"/>
  <c r="A94" i="74"/>
  <c r="AO93" i="74"/>
  <c r="AM93" i="74"/>
  <c r="AL93" i="74"/>
  <c r="AK93" i="74"/>
  <c r="AJ93" i="74"/>
  <c r="AI93" i="74"/>
  <c r="AH93" i="74"/>
  <c r="AG93" i="74"/>
  <c r="AF93" i="74"/>
  <c r="AE93" i="74"/>
  <c r="AD93" i="74"/>
  <c r="AC93" i="74"/>
  <c r="A93" i="74"/>
  <c r="AO92" i="74"/>
  <c r="AM92" i="74"/>
  <c r="AL92" i="74"/>
  <c r="AK92" i="74"/>
  <c r="AJ92" i="74"/>
  <c r="AI92" i="74"/>
  <c r="AH92" i="74"/>
  <c r="AG92" i="74"/>
  <c r="AF92" i="74"/>
  <c r="AE92" i="74"/>
  <c r="AD92" i="74"/>
  <c r="AC92" i="74"/>
  <c r="A92" i="74"/>
  <c r="AO91" i="74"/>
  <c r="AM91" i="74"/>
  <c r="AL91" i="74"/>
  <c r="AK91" i="74"/>
  <c r="AJ91" i="74"/>
  <c r="AI91" i="74"/>
  <c r="AH91" i="74"/>
  <c r="AG91" i="74"/>
  <c r="AF91" i="74"/>
  <c r="AE91" i="74"/>
  <c r="AD91" i="74"/>
  <c r="AC91" i="74"/>
  <c r="A91" i="74"/>
  <c r="N90" i="74"/>
  <c r="M90" i="74"/>
  <c r="L90" i="74"/>
  <c r="K90" i="74"/>
  <c r="J90" i="74"/>
  <c r="A90" i="74"/>
  <c r="AF89" i="74"/>
  <c r="N89" i="74"/>
  <c r="M89" i="74"/>
  <c r="L89" i="74"/>
  <c r="K89" i="74"/>
  <c r="J89" i="74"/>
  <c r="A89" i="74"/>
  <c r="AF88" i="74"/>
  <c r="N88" i="74"/>
  <c r="M88" i="74"/>
  <c r="L88" i="74"/>
  <c r="K88" i="74"/>
  <c r="J88" i="74"/>
  <c r="A88" i="74"/>
  <c r="AO87" i="74"/>
  <c r="AM87" i="74"/>
  <c r="AL87" i="74"/>
  <c r="AK87" i="74"/>
  <c r="AJ87" i="74"/>
  <c r="AI87" i="74"/>
  <c r="AH87" i="74"/>
  <c r="AG87" i="74"/>
  <c r="AF87" i="74"/>
  <c r="AE87" i="74"/>
  <c r="AD87" i="74"/>
  <c r="AC87" i="74"/>
  <c r="A87" i="74"/>
  <c r="A86" i="74"/>
  <c r="AO85" i="74"/>
  <c r="AM85" i="74"/>
  <c r="AL85" i="74"/>
  <c r="AK85" i="74"/>
  <c r="AJ85" i="74"/>
  <c r="AI85" i="74"/>
  <c r="AH85" i="74"/>
  <c r="AG85" i="74"/>
  <c r="AF85" i="74"/>
  <c r="AE85" i="74"/>
  <c r="AD85" i="74"/>
  <c r="AC85" i="74"/>
  <c r="A85" i="74"/>
  <c r="AO84" i="74"/>
  <c r="AM84" i="74"/>
  <c r="AL84" i="74"/>
  <c r="AK84" i="74"/>
  <c r="AJ84" i="74"/>
  <c r="AI84" i="74"/>
  <c r="AH84" i="74"/>
  <c r="AG84" i="74"/>
  <c r="AF84" i="74"/>
  <c r="AE84" i="74"/>
  <c r="AD84" i="74"/>
  <c r="AC84" i="74"/>
  <c r="M84" i="74"/>
  <c r="M266" i="74" s="1"/>
  <c r="M267" i="74" s="1"/>
  <c r="M268" i="74" s="1"/>
  <c r="K84" i="74"/>
  <c r="K266" i="74" s="1"/>
  <c r="A84" i="74"/>
  <c r="AO83" i="74"/>
  <c r="AM83" i="74"/>
  <c r="AL83" i="74"/>
  <c r="AK83" i="74"/>
  <c r="AJ83" i="74"/>
  <c r="AI83" i="74"/>
  <c r="AH83" i="74"/>
  <c r="AG83" i="74"/>
  <c r="AF83" i="74"/>
  <c r="AE83" i="74"/>
  <c r="AD83" i="74"/>
  <c r="AC83" i="74"/>
  <c r="A83" i="74"/>
  <c r="AO82" i="74"/>
  <c r="AM82" i="74"/>
  <c r="AL82" i="74"/>
  <c r="AK82" i="74"/>
  <c r="AJ82" i="74"/>
  <c r="AI82" i="74"/>
  <c r="AH82" i="74"/>
  <c r="AG82" i="74"/>
  <c r="AF82" i="74"/>
  <c r="AE82" i="74"/>
  <c r="AD82" i="74"/>
  <c r="AC82" i="74"/>
  <c r="A82" i="74"/>
  <c r="AO81" i="74"/>
  <c r="AM81" i="74"/>
  <c r="AL81" i="74"/>
  <c r="AK81" i="74"/>
  <c r="AJ81" i="74"/>
  <c r="AI81" i="74"/>
  <c r="AH81" i="74"/>
  <c r="AG81" i="74"/>
  <c r="AF81" i="74"/>
  <c r="AE81" i="74"/>
  <c r="AD81" i="74"/>
  <c r="AC81" i="74"/>
  <c r="A81" i="74"/>
  <c r="AO80" i="74"/>
  <c r="AM80" i="74"/>
  <c r="AL80" i="74"/>
  <c r="AK80" i="74"/>
  <c r="AJ80" i="74"/>
  <c r="AI80" i="74"/>
  <c r="AH80" i="74"/>
  <c r="AG80" i="74"/>
  <c r="AF80" i="74"/>
  <c r="AE80" i="74"/>
  <c r="AD80" i="74"/>
  <c r="AC80" i="74"/>
  <c r="A80" i="74"/>
  <c r="AO79" i="74"/>
  <c r="AM79" i="74"/>
  <c r="AL79" i="74"/>
  <c r="AK79" i="74"/>
  <c r="AJ79" i="74"/>
  <c r="AI79" i="74"/>
  <c r="AH79" i="74"/>
  <c r="AG79" i="74"/>
  <c r="AF79" i="74"/>
  <c r="AE79" i="74"/>
  <c r="AD79" i="74"/>
  <c r="AC79" i="74"/>
  <c r="A79" i="74"/>
  <c r="AO78" i="74"/>
  <c r="AM78" i="74"/>
  <c r="AL78" i="74"/>
  <c r="AK78" i="74"/>
  <c r="AJ78" i="74"/>
  <c r="AI78" i="74"/>
  <c r="AH78" i="74"/>
  <c r="AG78" i="74"/>
  <c r="AF78" i="74"/>
  <c r="AE78" i="74"/>
  <c r="AD78" i="74"/>
  <c r="AC78" i="74"/>
  <c r="A78" i="74"/>
  <c r="AO77" i="74"/>
  <c r="AM77" i="74"/>
  <c r="AL77" i="74"/>
  <c r="AK77" i="74"/>
  <c r="AJ77" i="74"/>
  <c r="AI77" i="74"/>
  <c r="AH77" i="74"/>
  <c r="AG77" i="74"/>
  <c r="AF77" i="74"/>
  <c r="AE77" i="74"/>
  <c r="AD77" i="74"/>
  <c r="AC77" i="74"/>
  <c r="N77" i="74"/>
  <c r="M77" i="74"/>
  <c r="L77" i="74"/>
  <c r="K77" i="74"/>
  <c r="J77" i="74"/>
  <c r="I77" i="74"/>
  <c r="H77" i="74"/>
  <c r="G77" i="74"/>
  <c r="F77" i="74"/>
  <c r="E77" i="74"/>
  <c r="A77" i="74"/>
  <c r="AO76" i="74"/>
  <c r="AM76" i="74"/>
  <c r="AL76" i="74"/>
  <c r="AK76" i="74"/>
  <c r="AJ76" i="74"/>
  <c r="AI76" i="74"/>
  <c r="AH76" i="74"/>
  <c r="AG76" i="74"/>
  <c r="AF76" i="74"/>
  <c r="AE76" i="74"/>
  <c r="AD76" i="74"/>
  <c r="AC76" i="74"/>
  <c r="A76" i="74"/>
  <c r="AO75" i="74"/>
  <c r="AM75" i="74"/>
  <c r="AL75" i="74"/>
  <c r="AK75" i="74"/>
  <c r="AJ75" i="74"/>
  <c r="AI75" i="74"/>
  <c r="AH75" i="74"/>
  <c r="AG75" i="74"/>
  <c r="AF75" i="74"/>
  <c r="AE75" i="74"/>
  <c r="AD75" i="74"/>
  <c r="AC75" i="74"/>
  <c r="A75" i="74"/>
  <c r="AO74" i="74"/>
  <c r="AM74" i="74"/>
  <c r="AL74" i="74"/>
  <c r="AK74" i="74"/>
  <c r="AJ74" i="74"/>
  <c r="AI74" i="74"/>
  <c r="AH74" i="74"/>
  <c r="AG74" i="74"/>
  <c r="AF74" i="74"/>
  <c r="AE74" i="74"/>
  <c r="AD74" i="74"/>
  <c r="AC74" i="74"/>
  <c r="A74" i="74"/>
  <c r="A73" i="74"/>
  <c r="AO72" i="74"/>
  <c r="AM72" i="74"/>
  <c r="AL72" i="74"/>
  <c r="AK72" i="74"/>
  <c r="AJ72" i="74"/>
  <c r="AI72" i="74"/>
  <c r="AH72" i="74"/>
  <c r="AG72" i="74"/>
  <c r="AF72" i="74"/>
  <c r="AE72" i="74"/>
  <c r="AD72" i="74"/>
  <c r="AC72" i="74"/>
  <c r="A72" i="74"/>
  <c r="N71" i="74"/>
  <c r="M71" i="74"/>
  <c r="L71" i="74"/>
  <c r="K71" i="74"/>
  <c r="J71" i="74"/>
  <c r="I71" i="74"/>
  <c r="H71" i="74"/>
  <c r="G71" i="74"/>
  <c r="F71" i="74"/>
  <c r="E71" i="74"/>
  <c r="AO70" i="74"/>
  <c r="AM70" i="74"/>
  <c r="AL70" i="74"/>
  <c r="AK70" i="74"/>
  <c r="AJ70" i="74"/>
  <c r="AI70" i="74"/>
  <c r="AH70" i="74"/>
  <c r="AG70" i="74"/>
  <c r="AF70" i="74"/>
  <c r="AE70" i="74"/>
  <c r="AD70" i="74"/>
  <c r="AC70" i="74"/>
  <c r="N70" i="74"/>
  <c r="K70" i="74"/>
  <c r="A70" i="74"/>
  <c r="AG69" i="74"/>
  <c r="M69" i="74"/>
  <c r="K69" i="74"/>
  <c r="A69" i="74"/>
  <c r="AO68" i="74"/>
  <c r="AM68" i="74"/>
  <c r="AL68" i="74"/>
  <c r="AK68" i="74"/>
  <c r="AJ68" i="74"/>
  <c r="AI68" i="74"/>
  <c r="AH68" i="74"/>
  <c r="AG68" i="74"/>
  <c r="AF68" i="74"/>
  <c r="AE68" i="74"/>
  <c r="AD68" i="74"/>
  <c r="AC68" i="74"/>
  <c r="N68" i="74"/>
  <c r="N84" i="74" s="1"/>
  <c r="N266" i="74" s="1"/>
  <c r="N267" i="74" s="1"/>
  <c r="N268" i="74" s="1"/>
  <c r="M68" i="74"/>
  <c r="L68" i="74"/>
  <c r="L220" i="74" s="1"/>
  <c r="L224" i="74" s="1"/>
  <c r="L225" i="74" s="1"/>
  <c r="L226" i="74" s="1"/>
  <c r="K68" i="74"/>
  <c r="A68" i="74"/>
  <c r="AO67" i="74"/>
  <c r="AM67" i="74"/>
  <c r="AL67" i="74"/>
  <c r="AK67" i="74"/>
  <c r="AJ67" i="74"/>
  <c r="AI67" i="74"/>
  <c r="AH67" i="74"/>
  <c r="AG67" i="74"/>
  <c r="AF67" i="74"/>
  <c r="AE67" i="74"/>
  <c r="AD67" i="74"/>
  <c r="AC67" i="74"/>
  <c r="A67" i="74"/>
  <c r="AO66" i="74"/>
  <c r="AM66" i="74"/>
  <c r="AL66" i="74"/>
  <c r="AK66" i="74"/>
  <c r="AJ66" i="74"/>
  <c r="AI66" i="74"/>
  <c r="AH66" i="74"/>
  <c r="AG66" i="74"/>
  <c r="AF66" i="74"/>
  <c r="AE66" i="74"/>
  <c r="AD66" i="74"/>
  <c r="AC66" i="74"/>
  <c r="A66" i="74"/>
  <c r="AO65" i="74"/>
  <c r="AM65" i="74"/>
  <c r="AL65" i="74"/>
  <c r="AK65" i="74"/>
  <c r="AJ65" i="74"/>
  <c r="AI65" i="74"/>
  <c r="AH65" i="74"/>
  <c r="AG65" i="74"/>
  <c r="AF65" i="74"/>
  <c r="AE65" i="74"/>
  <c r="AD65" i="74"/>
  <c r="AC65" i="74"/>
  <c r="A65" i="74"/>
  <c r="A64" i="74"/>
  <c r="AO63" i="74"/>
  <c r="AM63" i="74"/>
  <c r="AL63" i="74"/>
  <c r="AK63" i="74"/>
  <c r="AJ63" i="74"/>
  <c r="AI63" i="74"/>
  <c r="AH63" i="74"/>
  <c r="AG63" i="74"/>
  <c r="AF63" i="74"/>
  <c r="AE63" i="74"/>
  <c r="AD63" i="74"/>
  <c r="AC63" i="74"/>
  <c r="A63" i="74"/>
  <c r="AO62" i="74"/>
  <c r="AM62" i="74"/>
  <c r="AL62" i="74"/>
  <c r="AK62" i="74"/>
  <c r="AJ62" i="74"/>
  <c r="AI62" i="74"/>
  <c r="AH62" i="74"/>
  <c r="AG62" i="74"/>
  <c r="AF62" i="74"/>
  <c r="AE62" i="74"/>
  <c r="AD62" i="74"/>
  <c r="AC62" i="74"/>
  <c r="A62" i="74"/>
  <c r="AO61" i="74"/>
  <c r="AM61" i="74"/>
  <c r="AL61" i="74"/>
  <c r="AK61" i="74"/>
  <c r="AJ61" i="74"/>
  <c r="AI61" i="74"/>
  <c r="AH61" i="74"/>
  <c r="AG61" i="74"/>
  <c r="AF61" i="74"/>
  <c r="AE61" i="74"/>
  <c r="AD61" i="74"/>
  <c r="AC61" i="74"/>
  <c r="N61" i="74"/>
  <c r="M61" i="74"/>
  <c r="L61" i="74"/>
  <c r="K61" i="74"/>
  <c r="A61" i="74"/>
  <c r="AO60" i="74"/>
  <c r="AM60" i="74"/>
  <c r="AL60" i="74"/>
  <c r="AK60" i="74"/>
  <c r="AJ60" i="74"/>
  <c r="AI60" i="74"/>
  <c r="AH60" i="74"/>
  <c r="AG60" i="74"/>
  <c r="AF60" i="74"/>
  <c r="AE60" i="74"/>
  <c r="AD60" i="74"/>
  <c r="AC60" i="74"/>
  <c r="A60" i="74"/>
  <c r="AO59" i="74"/>
  <c r="AM59" i="74"/>
  <c r="AL59" i="74"/>
  <c r="AK59" i="74"/>
  <c r="AJ59" i="74"/>
  <c r="AI59" i="74"/>
  <c r="AH59" i="74"/>
  <c r="AG59" i="74"/>
  <c r="AF59" i="74"/>
  <c r="AE59" i="74"/>
  <c r="AD59" i="74"/>
  <c r="AC59" i="74"/>
  <c r="A59" i="74"/>
  <c r="AG58" i="74"/>
  <c r="AF58" i="74"/>
  <c r="N58" i="74"/>
  <c r="K58" i="74"/>
  <c r="A58" i="74"/>
  <c r="AO57" i="74"/>
  <c r="AM57" i="74"/>
  <c r="AL57" i="74"/>
  <c r="AK57" i="74"/>
  <c r="AJ57" i="74"/>
  <c r="AI57" i="74"/>
  <c r="AH57" i="74"/>
  <c r="AG57" i="74"/>
  <c r="AF57" i="74"/>
  <c r="AE57" i="74"/>
  <c r="AD57" i="74"/>
  <c r="AC57" i="74"/>
  <c r="N57" i="74"/>
  <c r="N283" i="74" s="1"/>
  <c r="N284" i="74" s="1"/>
  <c r="M57" i="74"/>
  <c r="L57" i="74"/>
  <c r="L283" i="74" s="1"/>
  <c r="K57" i="74"/>
  <c r="K283" i="74" s="1"/>
  <c r="E57" i="74"/>
  <c r="S67" i="74" s="1"/>
  <c r="A57" i="74"/>
  <c r="AO56" i="74"/>
  <c r="AM56" i="74"/>
  <c r="AL56" i="74"/>
  <c r="AK56" i="74"/>
  <c r="AJ56" i="74"/>
  <c r="AI56" i="74"/>
  <c r="AH56" i="74"/>
  <c r="AG56" i="74"/>
  <c r="AF56" i="74"/>
  <c r="AE56" i="74"/>
  <c r="AD56" i="74"/>
  <c r="AC56" i="74"/>
  <c r="A56" i="74"/>
  <c r="AO55" i="74"/>
  <c r="AM55" i="74"/>
  <c r="AL55" i="74"/>
  <c r="AK55" i="74"/>
  <c r="AJ55" i="74"/>
  <c r="AI55" i="74"/>
  <c r="AH55" i="74"/>
  <c r="AG55" i="74"/>
  <c r="AF55" i="74"/>
  <c r="AE55" i="74"/>
  <c r="AD55" i="74"/>
  <c r="AC55" i="74"/>
  <c r="A55" i="74"/>
  <c r="AF54" i="74"/>
  <c r="A54" i="74"/>
  <c r="AO53" i="74"/>
  <c r="AM53" i="74"/>
  <c r="AL53" i="74"/>
  <c r="AK53" i="74"/>
  <c r="AJ53" i="74"/>
  <c r="AI53" i="74"/>
  <c r="AH53" i="74"/>
  <c r="AG53" i="74"/>
  <c r="AF53" i="74"/>
  <c r="AE53" i="74"/>
  <c r="AD53" i="74"/>
  <c r="AC53" i="74"/>
  <c r="A53" i="74"/>
  <c r="AO52" i="74"/>
  <c r="AM52" i="74"/>
  <c r="AL52" i="74"/>
  <c r="AK52" i="74"/>
  <c r="AJ52" i="74"/>
  <c r="AI52" i="74"/>
  <c r="AH52" i="74"/>
  <c r="AG52" i="74"/>
  <c r="AF52" i="74"/>
  <c r="AE52" i="74"/>
  <c r="AD52" i="74"/>
  <c r="AC52" i="74"/>
  <c r="A52" i="74"/>
  <c r="AO51" i="74"/>
  <c r="AM51" i="74"/>
  <c r="AL51" i="74"/>
  <c r="AK51" i="74"/>
  <c r="AJ51" i="74"/>
  <c r="AI51" i="74"/>
  <c r="AH51" i="74"/>
  <c r="AG51" i="74"/>
  <c r="AF51" i="74"/>
  <c r="AE51" i="74"/>
  <c r="AD51" i="74"/>
  <c r="AC51" i="74"/>
  <c r="A51" i="74"/>
  <c r="AO50" i="74"/>
  <c r="AM50" i="74"/>
  <c r="AL50" i="74"/>
  <c r="AK50" i="74"/>
  <c r="AJ50" i="74"/>
  <c r="AI50" i="74"/>
  <c r="AH50" i="74"/>
  <c r="AG50" i="74"/>
  <c r="AF50" i="74"/>
  <c r="AE50" i="74"/>
  <c r="AD50" i="74"/>
  <c r="AC50" i="74"/>
  <c r="N50" i="74"/>
  <c r="M50" i="74"/>
  <c r="L50" i="74"/>
  <c r="K50" i="74"/>
  <c r="A50" i="74"/>
  <c r="AO49" i="74"/>
  <c r="AM49" i="74"/>
  <c r="AL49" i="74"/>
  <c r="AK49" i="74"/>
  <c r="AJ49" i="74"/>
  <c r="AI49" i="74"/>
  <c r="AH49" i="74"/>
  <c r="AG49" i="74"/>
  <c r="AF49" i="74"/>
  <c r="AE49" i="74"/>
  <c r="AD49" i="74"/>
  <c r="AC49" i="74"/>
  <c r="A49" i="74"/>
  <c r="A48" i="74"/>
  <c r="AO47" i="74"/>
  <c r="AM47" i="74"/>
  <c r="AL47" i="74"/>
  <c r="AK47" i="74"/>
  <c r="AJ47" i="74"/>
  <c r="AI47" i="74"/>
  <c r="AH47" i="74"/>
  <c r="AG47" i="74"/>
  <c r="AF47" i="74"/>
  <c r="AE47" i="74"/>
  <c r="AD47" i="74"/>
  <c r="AC47" i="74"/>
  <c r="A47" i="74"/>
  <c r="AO46" i="74"/>
  <c r="AM46" i="74"/>
  <c r="AL46" i="74"/>
  <c r="AK46" i="74"/>
  <c r="AJ46" i="74"/>
  <c r="AI46" i="74"/>
  <c r="AH46" i="74"/>
  <c r="AG46" i="74"/>
  <c r="AF46" i="74"/>
  <c r="AE46" i="74"/>
  <c r="AD46" i="74"/>
  <c r="AC46" i="74"/>
  <c r="A46" i="74"/>
  <c r="AO45" i="74"/>
  <c r="AM45" i="74"/>
  <c r="AL45" i="74"/>
  <c r="AK45" i="74"/>
  <c r="AJ45" i="74"/>
  <c r="AI45" i="74"/>
  <c r="AH45" i="74"/>
  <c r="AG45" i="74"/>
  <c r="AF45" i="74"/>
  <c r="AE45" i="74"/>
  <c r="AD45" i="74"/>
  <c r="AC45" i="74"/>
  <c r="A45" i="74"/>
  <c r="A44" i="74"/>
  <c r="A43" i="74"/>
  <c r="A42" i="74"/>
  <c r="A41" i="74"/>
  <c r="A40" i="74"/>
  <c r="N39" i="74"/>
  <c r="M39" i="74"/>
  <c r="L39" i="74"/>
  <c r="K39" i="74"/>
  <c r="J39" i="74"/>
  <c r="A39" i="74"/>
  <c r="E38" i="74"/>
  <c r="E39" i="74" s="1"/>
  <c r="A38" i="74"/>
  <c r="N37" i="74"/>
  <c r="M37" i="74"/>
  <c r="L37" i="74"/>
  <c r="K37" i="74"/>
  <c r="J37" i="74"/>
  <c r="A37" i="74"/>
  <c r="E36" i="74"/>
  <c r="E37" i="74" s="1"/>
  <c r="A36" i="74"/>
  <c r="N35" i="74"/>
  <c r="M35" i="74"/>
  <c r="L35" i="74"/>
  <c r="K35" i="74"/>
  <c r="A35" i="74"/>
  <c r="A34" i="74"/>
  <c r="AO33" i="74"/>
  <c r="AM33" i="74"/>
  <c r="AL33" i="74"/>
  <c r="AK33" i="74"/>
  <c r="AJ33" i="74"/>
  <c r="AI33" i="74"/>
  <c r="AH33" i="74"/>
  <c r="AG33" i="74"/>
  <c r="AF33" i="74"/>
  <c r="AE33" i="74"/>
  <c r="AD33" i="74"/>
  <c r="AC33" i="74"/>
  <c r="A33" i="74"/>
  <c r="AO32" i="74"/>
  <c r="AM32" i="74"/>
  <c r="AL32" i="74"/>
  <c r="AK32" i="74"/>
  <c r="AJ32" i="74"/>
  <c r="AI32" i="74"/>
  <c r="AH32" i="74"/>
  <c r="AG32" i="74"/>
  <c r="AF32" i="74"/>
  <c r="AE32" i="74"/>
  <c r="AD32" i="74"/>
  <c r="AC32" i="74"/>
  <c r="N32" i="74"/>
  <c r="M32" i="74"/>
  <c r="L32" i="74"/>
  <c r="K32" i="74"/>
  <c r="J32" i="74"/>
  <c r="E32" i="74"/>
  <c r="A32" i="74"/>
  <c r="AO31" i="74"/>
  <c r="AM31" i="74"/>
  <c r="AL31" i="74"/>
  <c r="AK31" i="74"/>
  <c r="AJ31" i="74"/>
  <c r="AI31" i="74"/>
  <c r="AH31" i="74"/>
  <c r="AG31" i="74"/>
  <c r="AF31" i="74"/>
  <c r="AE31" i="74"/>
  <c r="AD31" i="74"/>
  <c r="AC31" i="74"/>
  <c r="A31" i="74"/>
  <c r="AO30" i="74"/>
  <c r="AM30" i="74"/>
  <c r="AL30" i="74"/>
  <c r="AK30" i="74"/>
  <c r="AJ30" i="74"/>
  <c r="AI30" i="74"/>
  <c r="AH30" i="74"/>
  <c r="AG30" i="74"/>
  <c r="AF30" i="74"/>
  <c r="AE30" i="74"/>
  <c r="AD30" i="74"/>
  <c r="AC30" i="74"/>
  <c r="A30" i="74"/>
  <c r="AO29" i="74"/>
  <c r="AN29" i="74"/>
  <c r="AM29" i="74"/>
  <c r="AL29" i="74"/>
  <c r="AK29" i="74"/>
  <c r="AJ29" i="74"/>
  <c r="AI29" i="74"/>
  <c r="AH29" i="74"/>
  <c r="AG29" i="74"/>
  <c r="AF29" i="74"/>
  <c r="AE29" i="74"/>
  <c r="AD29" i="74"/>
  <c r="AC29" i="74"/>
  <c r="N29" i="74"/>
  <c r="M29" i="74"/>
  <c r="L29" i="74"/>
  <c r="K29" i="74"/>
  <c r="A29" i="74"/>
  <c r="AO28" i="74"/>
  <c r="AN28" i="74"/>
  <c r="AM28" i="74"/>
  <c r="AL28" i="74"/>
  <c r="AK28" i="74"/>
  <c r="AJ28" i="74"/>
  <c r="AI28" i="74"/>
  <c r="AH28" i="74"/>
  <c r="AG28" i="74"/>
  <c r="AF28" i="74"/>
  <c r="AE28" i="74"/>
  <c r="AD28" i="74"/>
  <c r="AC28" i="74"/>
  <c r="A28" i="74"/>
  <c r="AO27" i="74"/>
  <c r="AN27" i="74"/>
  <c r="AM27" i="74"/>
  <c r="AL27" i="74"/>
  <c r="AK27" i="74"/>
  <c r="AJ27" i="74"/>
  <c r="AI27" i="74"/>
  <c r="AH27" i="74"/>
  <c r="AG27" i="74"/>
  <c r="AF27" i="74"/>
  <c r="AE27" i="74"/>
  <c r="AD27" i="74"/>
  <c r="AC27" i="74"/>
  <c r="A27" i="74"/>
  <c r="AO26" i="74"/>
  <c r="AN26" i="74"/>
  <c r="AM26" i="74"/>
  <c r="AL26" i="74"/>
  <c r="AK26" i="74"/>
  <c r="AJ26" i="74"/>
  <c r="AI26" i="74"/>
  <c r="AH26" i="74"/>
  <c r="AG26" i="74"/>
  <c r="AF26" i="74"/>
  <c r="AE26" i="74"/>
  <c r="AD26" i="74"/>
  <c r="AC26" i="74"/>
  <c r="A26" i="74"/>
  <c r="AO25" i="74"/>
  <c r="AN25" i="74"/>
  <c r="AM25" i="74"/>
  <c r="AL25" i="74"/>
  <c r="AK25" i="74"/>
  <c r="AJ25" i="74"/>
  <c r="AI25" i="74"/>
  <c r="AH25" i="74"/>
  <c r="AG25" i="74"/>
  <c r="AF25" i="74"/>
  <c r="AE25" i="74"/>
  <c r="AD25" i="74"/>
  <c r="AC25" i="74"/>
  <c r="A25" i="74"/>
  <c r="AO24" i="74"/>
  <c r="AN24" i="74"/>
  <c r="AM24" i="74"/>
  <c r="AL24" i="74"/>
  <c r="AK24" i="74"/>
  <c r="AJ24" i="74"/>
  <c r="AI24" i="74"/>
  <c r="AH24" i="74"/>
  <c r="AG24" i="74"/>
  <c r="AF24" i="74"/>
  <c r="AE24" i="74"/>
  <c r="AD24" i="74"/>
  <c r="AC24" i="74"/>
  <c r="A24" i="74"/>
  <c r="AO23" i="74"/>
  <c r="AN23" i="74"/>
  <c r="AM23" i="74"/>
  <c r="AL23" i="74"/>
  <c r="AK23" i="74"/>
  <c r="AJ23" i="74"/>
  <c r="AI23" i="74"/>
  <c r="AH23" i="74"/>
  <c r="AG23" i="74"/>
  <c r="AF23" i="74"/>
  <c r="AE23" i="74"/>
  <c r="AD23" i="74"/>
  <c r="AC23" i="74"/>
  <c r="A23" i="74"/>
  <c r="AO22" i="74"/>
  <c r="AN22" i="74"/>
  <c r="AM22" i="74"/>
  <c r="AL22" i="74"/>
  <c r="AK22" i="74"/>
  <c r="AJ22" i="74"/>
  <c r="AI22" i="74"/>
  <c r="AH22" i="74"/>
  <c r="AG22" i="74"/>
  <c r="AF22" i="74"/>
  <c r="AE22" i="74"/>
  <c r="AD22" i="74"/>
  <c r="AC22" i="74"/>
  <c r="A22" i="74"/>
  <c r="AO21" i="74"/>
  <c r="AN21" i="74"/>
  <c r="AM21" i="74"/>
  <c r="AL21" i="74"/>
  <c r="AK21" i="74"/>
  <c r="AJ21" i="74"/>
  <c r="AI21" i="74"/>
  <c r="AH21" i="74"/>
  <c r="AG21" i="74"/>
  <c r="AF21" i="74"/>
  <c r="AE21" i="74"/>
  <c r="AD21" i="74"/>
  <c r="AC21" i="74"/>
  <c r="A21" i="74"/>
  <c r="AO20" i="74"/>
  <c r="AN20" i="74"/>
  <c r="AM20" i="74"/>
  <c r="AL20" i="74"/>
  <c r="AK20" i="74"/>
  <c r="AJ20" i="74"/>
  <c r="AI20" i="74"/>
  <c r="AH20" i="74"/>
  <c r="AG20" i="74"/>
  <c r="AF20" i="74"/>
  <c r="AE20" i="74"/>
  <c r="AD20" i="74"/>
  <c r="AC20" i="74"/>
  <c r="A20" i="74"/>
  <c r="AO19" i="74"/>
  <c r="AN19" i="74"/>
  <c r="AM19" i="74"/>
  <c r="AL19" i="74"/>
  <c r="AK19" i="74"/>
  <c r="AJ19" i="74"/>
  <c r="AI19" i="74"/>
  <c r="AH19" i="74"/>
  <c r="AG19" i="74"/>
  <c r="AF19" i="74"/>
  <c r="AE19" i="74"/>
  <c r="AD19" i="74"/>
  <c r="AC19" i="74"/>
  <c r="E19" i="74"/>
  <c r="A19" i="74"/>
  <c r="AO18" i="74"/>
  <c r="AN18" i="74"/>
  <c r="AM18" i="74"/>
  <c r="AL18" i="74"/>
  <c r="AK18" i="74"/>
  <c r="AJ18" i="74"/>
  <c r="AI18" i="74"/>
  <c r="AH18" i="74"/>
  <c r="AG18" i="74"/>
  <c r="AF18" i="74"/>
  <c r="AE18" i="74"/>
  <c r="AD18" i="74"/>
  <c r="AC18" i="74"/>
  <c r="E18" i="74"/>
  <c r="A18" i="74"/>
  <c r="AO17" i="74"/>
  <c r="AN17" i="74"/>
  <c r="AM17" i="74"/>
  <c r="AL17" i="74"/>
  <c r="AK17" i="74"/>
  <c r="AJ17" i="74"/>
  <c r="AI17" i="74"/>
  <c r="AH17" i="74"/>
  <c r="AG17" i="74"/>
  <c r="AF17" i="74"/>
  <c r="AE17" i="74"/>
  <c r="AD17" i="74"/>
  <c r="AC17" i="74"/>
  <c r="E17" i="74"/>
  <c r="A17" i="74"/>
  <c r="AO16" i="74"/>
  <c r="AN16" i="74"/>
  <c r="AM16" i="74"/>
  <c r="AL16" i="74"/>
  <c r="AK16" i="74"/>
  <c r="AJ16" i="74"/>
  <c r="AI16" i="74"/>
  <c r="AH16" i="74"/>
  <c r="AG16" i="74"/>
  <c r="AF16" i="74"/>
  <c r="AE16" i="74"/>
  <c r="AD16" i="74"/>
  <c r="AC16" i="74"/>
  <c r="A16" i="74"/>
  <c r="AO15" i="74"/>
  <c r="AN15" i="74"/>
  <c r="AM15" i="74"/>
  <c r="AL15" i="74"/>
  <c r="AK15" i="74"/>
  <c r="AJ15" i="74"/>
  <c r="AI15" i="74"/>
  <c r="AH15" i="74"/>
  <c r="AG15" i="74"/>
  <c r="AF15" i="74"/>
  <c r="AE15" i="74"/>
  <c r="AD15" i="74"/>
  <c r="AC15" i="74"/>
  <c r="A15" i="74"/>
  <c r="AO14" i="74"/>
  <c r="AN14" i="74"/>
  <c r="AM14" i="74"/>
  <c r="AL14" i="74"/>
  <c r="AK14" i="74"/>
  <c r="AJ14" i="74"/>
  <c r="AI14" i="74"/>
  <c r="AH14" i="74"/>
  <c r="AG14" i="74"/>
  <c r="AF14" i="74"/>
  <c r="AE14" i="74"/>
  <c r="AD14" i="74"/>
  <c r="AC14" i="74"/>
  <c r="A14" i="74"/>
  <c r="AO13" i="74"/>
  <c r="AN13" i="74"/>
  <c r="AM13" i="74"/>
  <c r="AL13" i="74"/>
  <c r="AK13" i="74"/>
  <c r="AJ13" i="74"/>
  <c r="AI13" i="74"/>
  <c r="AH13" i="74"/>
  <c r="AG13" i="74"/>
  <c r="AF13" i="74"/>
  <c r="AE13" i="74"/>
  <c r="AD13" i="74"/>
  <c r="AC13" i="74"/>
  <c r="A13" i="74"/>
  <c r="AO12" i="74"/>
  <c r="AN12" i="74"/>
  <c r="AM12" i="74"/>
  <c r="AL12" i="74"/>
  <c r="AK12" i="74"/>
  <c r="AJ12" i="74"/>
  <c r="AI12" i="74"/>
  <c r="AH12" i="74"/>
  <c r="AG12" i="74"/>
  <c r="AF12" i="74"/>
  <c r="AE12" i="74"/>
  <c r="AD12" i="74"/>
  <c r="AC12" i="74"/>
  <c r="A12" i="74"/>
  <c r="AO11" i="74"/>
  <c r="AN11" i="74"/>
  <c r="AM11" i="74"/>
  <c r="AL11" i="74"/>
  <c r="AK11" i="74"/>
  <c r="AJ11" i="74"/>
  <c r="AI11" i="74"/>
  <c r="AH11" i="74"/>
  <c r="AG11" i="74"/>
  <c r="AF11" i="74"/>
  <c r="AE11" i="74"/>
  <c r="AD11" i="74"/>
  <c r="AC11" i="74"/>
  <c r="A11" i="74"/>
  <c r="AO10" i="74"/>
  <c r="AN10" i="74"/>
  <c r="AM10" i="74"/>
  <c r="AL10" i="74"/>
  <c r="AK10" i="74"/>
  <c r="AJ10" i="74"/>
  <c r="AI10" i="74"/>
  <c r="AH10" i="74"/>
  <c r="AG10" i="74"/>
  <c r="AF10" i="74"/>
  <c r="AE10" i="74"/>
  <c r="AD10" i="74"/>
  <c r="AC10" i="74"/>
  <c r="A10" i="74"/>
  <c r="AO9" i="74"/>
  <c r="AN9" i="74"/>
  <c r="AM9" i="74"/>
  <c r="AL9" i="74"/>
  <c r="AK9" i="74"/>
  <c r="AJ9" i="74"/>
  <c r="AI9" i="74"/>
  <c r="AH9" i="74"/>
  <c r="AG9" i="74"/>
  <c r="AF9" i="74"/>
  <c r="AE9" i="74"/>
  <c r="AD9" i="74"/>
  <c r="AC9" i="74"/>
  <c r="A9" i="74"/>
  <c r="AO8" i="74"/>
  <c r="AN8" i="74"/>
  <c r="AM8" i="74"/>
  <c r="AL8" i="74"/>
  <c r="AK8" i="74"/>
  <c r="AJ8" i="74"/>
  <c r="AI8" i="74"/>
  <c r="AH8" i="74"/>
  <c r="AG8" i="74"/>
  <c r="AF8" i="74"/>
  <c r="AE8" i="74"/>
  <c r="AD8" i="74"/>
  <c r="AC8" i="74"/>
  <c r="A8" i="74"/>
  <c r="A7" i="74"/>
  <c r="X6" i="74"/>
  <c r="W6" i="74"/>
  <c r="V6" i="74"/>
  <c r="U6" i="74"/>
  <c r="T6" i="74"/>
  <c r="S6" i="74"/>
  <c r="A6" i="74"/>
  <c r="A5" i="74"/>
  <c r="Z4" i="74" a="1"/>
  <c r="Z4" i="74" s="1"/>
  <c r="E4" i="74"/>
  <c r="A4" i="74"/>
  <c r="S3" i="74"/>
  <c r="F3" i="74"/>
  <c r="A3" i="74"/>
  <c r="D2" i="74"/>
  <c r="A2" i="74"/>
  <c r="A1" i="74"/>
  <c r="H164" i="62"/>
  <c r="G23" i="13"/>
  <c r="G27" i="13"/>
  <c r="F144" i="74" l="1"/>
  <c r="F196" i="74"/>
  <c r="K134" i="74"/>
  <c r="K129" i="74"/>
  <c r="K195" i="74" s="1"/>
  <c r="M355" i="74"/>
  <c r="M199" i="74" s="1"/>
  <c r="M197" i="74"/>
  <c r="N314" i="74"/>
  <c r="N315" i="74" s="1"/>
  <c r="N313" i="74"/>
  <c r="N316" i="74" s="1"/>
  <c r="E399" i="74"/>
  <c r="F400" i="74" s="1"/>
  <c r="E402" i="74"/>
  <c r="E5" i="74"/>
  <c r="S5" i="74" s="1"/>
  <c r="S4" i="74"/>
  <c r="F4" i="74"/>
  <c r="S81" i="74"/>
  <c r="S51" i="74"/>
  <c r="S83" i="74"/>
  <c r="S66" i="74"/>
  <c r="E58" i="74"/>
  <c r="S58" i="74" s="1"/>
  <c r="S56" i="74"/>
  <c r="S53" i="74"/>
  <c r="S80" i="74"/>
  <c r="S76" i="74"/>
  <c r="E283" i="74"/>
  <c r="S82" i="74"/>
  <c r="S65" i="74"/>
  <c r="S57" i="74"/>
  <c r="S55" i="74"/>
  <c r="S52" i="74"/>
  <c r="S79" i="74"/>
  <c r="S75" i="74"/>
  <c r="M58" i="74"/>
  <c r="M283" i="74"/>
  <c r="M284" i="74" s="1"/>
  <c r="L205" i="74"/>
  <c r="L128" i="74"/>
  <c r="N129" i="74"/>
  <c r="N195" i="74" s="1"/>
  <c r="N125" i="74"/>
  <c r="N134" i="74"/>
  <c r="N433" i="74"/>
  <c r="N290" i="74" s="1"/>
  <c r="N431" i="74"/>
  <c r="K125" i="74"/>
  <c r="F403" i="74"/>
  <c r="T3" i="74"/>
  <c r="G3" i="74"/>
  <c r="N297" i="74"/>
  <c r="N159" i="74"/>
  <c r="N303" i="74" s="1"/>
  <c r="N165" i="74"/>
  <c r="N166" i="74" s="1"/>
  <c r="N324" i="74"/>
  <c r="N328" i="74" s="1"/>
  <c r="N336" i="74" s="1"/>
  <c r="N331" i="74"/>
  <c r="N334" i="74" s="1"/>
  <c r="N337" i="74" s="1"/>
  <c r="F324" i="74"/>
  <c r="F331" i="74"/>
  <c r="F334" i="74" s="1"/>
  <c r="F337" i="74" s="1"/>
  <c r="S77" i="74"/>
  <c r="M86" i="74"/>
  <c r="E413" i="74"/>
  <c r="E421" i="74"/>
  <c r="H418" i="74"/>
  <c r="G417" i="74"/>
  <c r="E404" i="74"/>
  <c r="E410" i="74" s="1"/>
  <c r="F416" i="74"/>
  <c r="E415" i="74"/>
  <c r="E406" i="74"/>
  <c r="M413" i="74"/>
  <c r="M421" i="74"/>
  <c r="M411" i="74"/>
  <c r="N416" i="74"/>
  <c r="M415" i="74"/>
  <c r="M406" i="74"/>
  <c r="J334" i="74"/>
  <c r="J337" i="74" s="1"/>
  <c r="L383" i="74"/>
  <c r="L386" i="74" s="1"/>
  <c r="M365" i="74"/>
  <c r="E365" i="74"/>
  <c r="E368" i="74" s="1"/>
  <c r="K383" i="74"/>
  <c r="K386" i="74" s="1"/>
  <c r="L365" i="74"/>
  <c r="J383" i="74"/>
  <c r="J386" i="74" s="1"/>
  <c r="K365" i="74"/>
  <c r="I383" i="74"/>
  <c r="I386" i="74" s="1"/>
  <c r="J365" i="74"/>
  <c r="H383" i="74"/>
  <c r="H386" i="74" s="1"/>
  <c r="I365" i="74"/>
  <c r="G383" i="74"/>
  <c r="G386" i="74" s="1"/>
  <c r="H365" i="74"/>
  <c r="N383" i="74"/>
  <c r="N386" i="74" s="1"/>
  <c r="F383" i="74"/>
  <c r="F386" i="74" s="1"/>
  <c r="G365" i="74"/>
  <c r="G368" i="74" s="1"/>
  <c r="M383" i="74"/>
  <c r="M386" i="74" s="1"/>
  <c r="E383" i="74"/>
  <c r="E386" i="74" s="1"/>
  <c r="N365" i="74"/>
  <c r="F365" i="74"/>
  <c r="F368" i="74" s="1"/>
  <c r="K206" i="74"/>
  <c r="K220" i="74"/>
  <c r="K224" i="74" s="1"/>
  <c r="K225" i="74" s="1"/>
  <c r="K226" i="74" s="1"/>
  <c r="N69" i="74"/>
  <c r="G324" i="74"/>
  <c r="G331" i="74"/>
  <c r="N86" i="74"/>
  <c r="M134" i="74"/>
  <c r="I158" i="74"/>
  <c r="N243" i="74"/>
  <c r="L376" i="74"/>
  <c r="L380" i="74"/>
  <c r="L378" i="74"/>
  <c r="L227" i="74"/>
  <c r="H324" i="74"/>
  <c r="H331" i="74"/>
  <c r="H334" i="74" s="1"/>
  <c r="H337" i="74" s="1"/>
  <c r="J196" i="74"/>
  <c r="J158" i="74"/>
  <c r="M220" i="74"/>
  <c r="M224" i="74" s="1"/>
  <c r="M225" i="74" s="1"/>
  <c r="M226" i="74" s="1"/>
  <c r="M206" i="74"/>
  <c r="I331" i="74"/>
  <c r="I324" i="74"/>
  <c r="K196" i="74"/>
  <c r="K158" i="74"/>
  <c r="M165" i="74"/>
  <c r="M166" i="74" s="1"/>
  <c r="M297" i="74"/>
  <c r="K236" i="74"/>
  <c r="K288" i="74"/>
  <c r="K289" i="74" s="1"/>
  <c r="K432" i="74" s="1"/>
  <c r="K237" i="74" s="1"/>
  <c r="L58" i="74"/>
  <c r="N220" i="74"/>
  <c r="N224" i="74" s="1"/>
  <c r="N225" i="74" s="1"/>
  <c r="N226" i="74" s="1"/>
  <c r="N206" i="74"/>
  <c r="L70" i="74"/>
  <c r="J331" i="74"/>
  <c r="J324" i="74"/>
  <c r="L196" i="74"/>
  <c r="L158" i="74"/>
  <c r="L288" i="74"/>
  <c r="L289" i="74" s="1"/>
  <c r="L432" i="74" s="1"/>
  <c r="L237" i="74" s="1"/>
  <c r="M70" i="74"/>
  <c r="K331" i="74"/>
  <c r="K334" i="74" s="1"/>
  <c r="K337" i="74" s="1"/>
  <c r="K324" i="74"/>
  <c r="K314" i="74"/>
  <c r="K315" i="74" s="1"/>
  <c r="K313" i="74"/>
  <c r="J415" i="74"/>
  <c r="J406" i="74"/>
  <c r="J413" i="74"/>
  <c r="J421" i="74"/>
  <c r="M418" i="74"/>
  <c r="L417" i="74"/>
  <c r="K416" i="74"/>
  <c r="K284" i="74"/>
  <c r="M288" i="74"/>
  <c r="M289" i="74" s="1"/>
  <c r="M432" i="74" s="1"/>
  <c r="M237" i="74" s="1"/>
  <c r="L331" i="74"/>
  <c r="L324" i="74"/>
  <c r="L328" i="74" s="1"/>
  <c r="K86" i="74"/>
  <c r="L313" i="74"/>
  <c r="L314" i="74"/>
  <c r="L315" i="74" s="1"/>
  <c r="K415" i="74"/>
  <c r="K406" i="74"/>
  <c r="K413" i="74"/>
  <c r="K421" i="74"/>
  <c r="K422" i="74" s="1"/>
  <c r="K244" i="74" s="1"/>
  <c r="N418" i="74"/>
  <c r="M417" i="74"/>
  <c r="L416" i="74"/>
  <c r="K267" i="74"/>
  <c r="K268" i="74" s="1"/>
  <c r="L284" i="74"/>
  <c r="N288" i="74"/>
  <c r="N289" i="74" s="1"/>
  <c r="N432" i="74" s="1"/>
  <c r="N237" i="74" s="1"/>
  <c r="L69" i="74"/>
  <c r="E324" i="74"/>
  <c r="E331" i="74"/>
  <c r="M324" i="74"/>
  <c r="M331" i="74"/>
  <c r="L84" i="74"/>
  <c r="L266" i="74" s="1"/>
  <c r="L267" i="74" s="1"/>
  <c r="L268" i="74" s="1"/>
  <c r="L86" i="74"/>
  <c r="M313" i="74"/>
  <c r="M314" i="74"/>
  <c r="M315" i="74" s="1"/>
  <c r="L206" i="74"/>
  <c r="K328" i="74"/>
  <c r="K336" i="74" s="1"/>
  <c r="E234" i="74"/>
  <c r="L334" i="74"/>
  <c r="L337" i="74" s="1"/>
  <c r="J249" i="74"/>
  <c r="M328" i="74"/>
  <c r="E334" i="74"/>
  <c r="E337" i="74" s="1"/>
  <c r="M334" i="74"/>
  <c r="M337" i="74" s="1"/>
  <c r="J420" i="74"/>
  <c r="K420" i="74"/>
  <c r="L413" i="74"/>
  <c r="L421" i="74"/>
  <c r="N417" i="74"/>
  <c r="M416" i="74"/>
  <c r="L415" i="74"/>
  <c r="L406" i="74"/>
  <c r="G334" i="74"/>
  <c r="G337" i="74" s="1"/>
  <c r="L420" i="74"/>
  <c r="E420" i="74"/>
  <c r="E423" i="74"/>
  <c r="M420" i="74"/>
  <c r="I334" i="74"/>
  <c r="I337" i="74" s="1"/>
  <c r="L28" i="46"/>
  <c r="K28" i="46"/>
  <c r="J28" i="46"/>
  <c r="I28" i="46"/>
  <c r="G50" i="38"/>
  <c r="H50" i="38"/>
  <c r="I50" i="38"/>
  <c r="J50" i="38"/>
  <c r="K50" i="38"/>
  <c r="L50" i="38"/>
  <c r="M50" i="38"/>
  <c r="N50" i="38"/>
  <c r="O50" i="38"/>
  <c r="P50" i="38"/>
  <c r="Q50" i="38"/>
  <c r="F50" i="38"/>
  <c r="L30" i="13"/>
  <c r="L29" i="13"/>
  <c r="K30" i="13"/>
  <c r="K29" i="13"/>
  <c r="K28" i="13"/>
  <c r="J30" i="13"/>
  <c r="J29" i="13"/>
  <c r="J28" i="13"/>
  <c r="J27" i="13"/>
  <c r="I29" i="13"/>
  <c r="I28" i="13"/>
  <c r="I27" i="13"/>
  <c r="I26" i="13"/>
  <c r="H28" i="13"/>
  <c r="H27" i="13"/>
  <c r="H26" i="13"/>
  <c r="H25" i="13"/>
  <c r="G26" i="13"/>
  <c r="G25" i="13"/>
  <c r="G24" i="13"/>
  <c r="L28" i="13"/>
  <c r="L27" i="13"/>
  <c r="L26" i="13"/>
  <c r="L25" i="13"/>
  <c r="L24" i="13"/>
  <c r="L23" i="13"/>
  <c r="L22" i="13"/>
  <c r="K27" i="13"/>
  <c r="K26" i="13"/>
  <c r="J26" i="13"/>
  <c r="J25" i="13"/>
  <c r="I25" i="13"/>
  <c r="G22" i="13"/>
  <c r="C13" i="72"/>
  <c r="C14" i="72" s="1"/>
  <c r="D8" i="72"/>
  <c r="E8" i="72"/>
  <c r="F8" i="72"/>
  <c r="G8" i="72"/>
  <c r="H8" i="72"/>
  <c r="C8" i="72"/>
  <c r="D11" i="72"/>
  <c r="D12" i="72" s="1"/>
  <c r="D18" i="72" s="1"/>
  <c r="H11" i="46" s="1"/>
  <c r="E11" i="72"/>
  <c r="E12" i="72" s="1"/>
  <c r="E18" i="72" s="1"/>
  <c r="I11" i="46" s="1"/>
  <c r="I26" i="46" s="1"/>
  <c r="F11" i="72"/>
  <c r="F12" i="72" s="1"/>
  <c r="F18" i="72" s="1"/>
  <c r="J11" i="46" s="1"/>
  <c r="G11" i="72"/>
  <c r="G12" i="72" s="1"/>
  <c r="G18" i="72" s="1"/>
  <c r="K11" i="46" s="1"/>
  <c r="H11" i="72"/>
  <c r="H12" i="72" s="1"/>
  <c r="H18" i="72" s="1"/>
  <c r="L11" i="46" s="1"/>
  <c r="C11" i="72"/>
  <c r="C12" i="72" s="1"/>
  <c r="C18" i="72" s="1"/>
  <c r="G11" i="46" s="1"/>
  <c r="G34" i="46"/>
  <c r="H40" i="47"/>
  <c r="I40" i="47"/>
  <c r="J40" i="47"/>
  <c r="K40" i="47"/>
  <c r="L40" i="47"/>
  <c r="G40" i="47"/>
  <c r="H25" i="34"/>
  <c r="I25" i="34"/>
  <c r="J25" i="34"/>
  <c r="K25" i="34"/>
  <c r="G25" i="34"/>
  <c r="E64" i="13"/>
  <c r="G149" i="74" l="1"/>
  <c r="M316" i="74"/>
  <c r="L316" i="74"/>
  <c r="L170" i="74"/>
  <c r="L92" i="74"/>
  <c r="M376" i="74"/>
  <c r="M380" i="74"/>
  <c r="M378" i="74"/>
  <c r="N377" i="74"/>
  <c r="M227" i="74"/>
  <c r="N408" i="74"/>
  <c r="M407" i="74"/>
  <c r="N407" i="74"/>
  <c r="M92" i="74"/>
  <c r="M170" i="74"/>
  <c r="L129" i="74"/>
  <c r="L195" i="74" s="1"/>
  <c r="L125" i="74"/>
  <c r="L134" i="74"/>
  <c r="M336" i="74"/>
  <c r="N409" i="74"/>
  <c r="M408" i="74"/>
  <c r="L407" i="74"/>
  <c r="J425" i="74"/>
  <c r="J237" i="74" s="1"/>
  <c r="L433" i="74"/>
  <c r="L290" i="74" s="1"/>
  <c r="L431" i="74"/>
  <c r="T4" i="74"/>
  <c r="F5" i="74"/>
  <c r="T5" i="74" s="1"/>
  <c r="G4" i="74"/>
  <c r="J257" i="74"/>
  <c r="E249" i="74"/>
  <c r="E236" i="74"/>
  <c r="K170" i="74"/>
  <c r="K92" i="74"/>
  <c r="K316" i="74"/>
  <c r="L165" i="74"/>
  <c r="L166" i="74" s="1"/>
  <c r="L297" i="74"/>
  <c r="L159" i="74"/>
  <c r="L303" i="74" s="1"/>
  <c r="M377" i="74"/>
  <c r="M433" i="74"/>
  <c r="M290" i="74" s="1"/>
  <c r="M431" i="74"/>
  <c r="E405" i="74"/>
  <c r="E411" i="74" s="1"/>
  <c r="F402" i="74"/>
  <c r="M409" i="74"/>
  <c r="L408" i="74"/>
  <c r="K407" i="74"/>
  <c r="N421" i="74"/>
  <c r="N422" i="74" s="1"/>
  <c r="N244" i="74" s="1"/>
  <c r="N411" i="74"/>
  <c r="N415" i="74"/>
  <c r="N406" i="74"/>
  <c r="N410" i="74" s="1"/>
  <c r="N413" i="74"/>
  <c r="L377" i="74"/>
  <c r="K376" i="74"/>
  <c r="K380" i="74"/>
  <c r="K378" i="74"/>
  <c r="K227" i="74"/>
  <c r="E375" i="74"/>
  <c r="M354" i="74"/>
  <c r="M350" i="74"/>
  <c r="M348" i="74"/>
  <c r="M198" i="74"/>
  <c r="M304" i="74"/>
  <c r="M305" i="74" s="1"/>
  <c r="M306" i="74" s="1"/>
  <c r="M160" i="74"/>
  <c r="M298" i="74"/>
  <c r="M299" i="74" s="1"/>
  <c r="M300" i="74" s="1"/>
  <c r="M140" i="74"/>
  <c r="L336" i="74"/>
  <c r="K433" i="74"/>
  <c r="K290" i="74" s="1"/>
  <c r="K431" i="74"/>
  <c r="N381" i="74"/>
  <c r="N228" i="74" s="1"/>
  <c r="N363" i="74"/>
  <c r="N213" i="74" s="1"/>
  <c r="N209" i="74"/>
  <c r="N210" i="74" s="1"/>
  <c r="N211" i="74" s="1"/>
  <c r="K381" i="74"/>
  <c r="K228" i="74" s="1"/>
  <c r="K363" i="74"/>
  <c r="K213" i="74" s="1"/>
  <c r="K209" i="74"/>
  <c r="K210" i="74" s="1"/>
  <c r="K211" i="74" s="1"/>
  <c r="M422" i="74"/>
  <c r="M244" i="74" s="1"/>
  <c r="E422" i="74"/>
  <c r="E244" i="74" s="1"/>
  <c r="E425" i="74"/>
  <c r="E237" i="74" s="1"/>
  <c r="G403" i="74"/>
  <c r="U3" i="74"/>
  <c r="H3" i="74"/>
  <c r="F401" i="74"/>
  <c r="G400" i="74"/>
  <c r="L381" i="74"/>
  <c r="L228" i="74" s="1"/>
  <c r="L363" i="74"/>
  <c r="L213" i="74" s="1"/>
  <c r="L209" i="74"/>
  <c r="L210" i="74" s="1"/>
  <c r="L211" i="74" s="1"/>
  <c r="L422" i="74"/>
  <c r="L244" i="74" s="1"/>
  <c r="N376" i="74"/>
  <c r="N380" i="74"/>
  <c r="N378" i="74"/>
  <c r="N227" i="74"/>
  <c r="N298" i="74"/>
  <c r="N299" i="74" s="1"/>
  <c r="N300" i="74" s="1"/>
  <c r="N304" i="74"/>
  <c r="N305" i="74" s="1"/>
  <c r="N306" i="74" s="1"/>
  <c r="N140" i="74"/>
  <c r="N160" i="74"/>
  <c r="K355" i="74"/>
  <c r="K199" i="74" s="1"/>
  <c r="K197" i="74"/>
  <c r="N355" i="74"/>
  <c r="N199" i="74" s="1"/>
  <c r="N197" i="74"/>
  <c r="K297" i="74"/>
  <c r="K165" i="74"/>
  <c r="K166" i="74" s="1"/>
  <c r="K159" i="74"/>
  <c r="K303" i="74" s="1"/>
  <c r="M381" i="74"/>
  <c r="M228" i="74" s="1"/>
  <c r="M363" i="74"/>
  <c r="M213" i="74" s="1"/>
  <c r="M209" i="74"/>
  <c r="M210" i="74" s="1"/>
  <c r="M211" i="74" s="1"/>
  <c r="J159" i="74"/>
  <c r="J165" i="74"/>
  <c r="J166" i="74" s="1"/>
  <c r="J297" i="74"/>
  <c r="N420" i="74"/>
  <c r="I165" i="74"/>
  <c r="I166" i="74" s="1"/>
  <c r="I297" i="74"/>
  <c r="I159" i="74"/>
  <c r="N170" i="74"/>
  <c r="N92" i="74"/>
  <c r="H409" i="74"/>
  <c r="G408" i="74"/>
  <c r="F407" i="74"/>
  <c r="K298" i="74"/>
  <c r="K299" i="74" s="1"/>
  <c r="K300" i="74" s="1"/>
  <c r="K304" i="74"/>
  <c r="K305" i="74" s="1"/>
  <c r="K306" i="74" s="1"/>
  <c r="K160" i="74"/>
  <c r="K140" i="74"/>
  <c r="J26" i="46"/>
  <c r="J25" i="46"/>
  <c r="J31" i="46"/>
  <c r="H31" i="46"/>
  <c r="H26" i="46"/>
  <c r="H25" i="46"/>
  <c r="K25" i="46"/>
  <c r="K31" i="46"/>
  <c r="K26" i="46"/>
  <c r="L31" i="46"/>
  <c r="L26" i="46"/>
  <c r="L25" i="46"/>
  <c r="I31" i="46"/>
  <c r="I25" i="46"/>
  <c r="D13" i="72"/>
  <c r="D14" i="72" s="1"/>
  <c r="D19" i="72" s="1"/>
  <c r="C19" i="72"/>
  <c r="C20" i="72" s="1"/>
  <c r="G16" i="46" s="1"/>
  <c r="I11" i="18"/>
  <c r="H11" i="18"/>
  <c r="G11" i="18"/>
  <c r="F11" i="18"/>
  <c r="G472" i="62"/>
  <c r="F472" i="62"/>
  <c r="E472" i="62"/>
  <c r="D472" i="62"/>
  <c r="C472" i="62"/>
  <c r="A2" i="71"/>
  <c r="A57" i="13"/>
  <c r="F158" i="74" l="1"/>
  <c r="G144" i="74"/>
  <c r="G196" i="74"/>
  <c r="H149" i="74"/>
  <c r="G158" i="74"/>
  <c r="M410" i="74"/>
  <c r="L410" i="74"/>
  <c r="K423" i="74"/>
  <c r="K424" i="74"/>
  <c r="L424" i="74"/>
  <c r="L423" i="74"/>
  <c r="M423" i="74"/>
  <c r="M424" i="74"/>
  <c r="H403" i="74"/>
  <c r="I3" i="74"/>
  <c r="V3" i="74"/>
  <c r="H368" i="74"/>
  <c r="M174" i="74"/>
  <c r="M282" i="74"/>
  <c r="N385" i="74"/>
  <c r="N367" i="74"/>
  <c r="N384" i="74"/>
  <c r="N366" i="74"/>
  <c r="N362" i="74"/>
  <c r="N387" i="74"/>
  <c r="N369" i="74"/>
  <c r="N361" i="74"/>
  <c r="N212" i="74"/>
  <c r="J265" i="74"/>
  <c r="L298" i="74"/>
  <c r="L299" i="74" s="1"/>
  <c r="L300" i="74" s="1"/>
  <c r="L304" i="74"/>
  <c r="L305" i="74" s="1"/>
  <c r="L306" i="74" s="1"/>
  <c r="L140" i="74"/>
  <c r="L160" i="74"/>
  <c r="M352" i="74"/>
  <c r="N354" i="74"/>
  <c r="N350" i="74"/>
  <c r="N348" i="74"/>
  <c r="N351" i="74" s="1"/>
  <c r="N198" i="74"/>
  <c r="H400" i="74"/>
  <c r="G401" i="74"/>
  <c r="G5" i="74"/>
  <c r="U5" i="74" s="1"/>
  <c r="U4" i="74"/>
  <c r="H4" i="74"/>
  <c r="N174" i="74"/>
  <c r="N282" i="74"/>
  <c r="L355" i="74"/>
  <c r="L199" i="74" s="1"/>
  <c r="L197" i="74"/>
  <c r="N424" i="74"/>
  <c r="N423" i="74"/>
  <c r="K282" i="74"/>
  <c r="K174" i="74"/>
  <c r="I303" i="74"/>
  <c r="J303" i="74"/>
  <c r="K354" i="74"/>
  <c r="K350" i="74"/>
  <c r="K348" i="74"/>
  <c r="K198" i="74"/>
  <c r="F375" i="74"/>
  <c r="M369" i="74"/>
  <c r="M361" i="74"/>
  <c r="M385" i="74"/>
  <c r="M367" i="74"/>
  <c r="M384" i="74"/>
  <c r="M366" i="74"/>
  <c r="M362" i="74"/>
  <c r="M387" i="74"/>
  <c r="M212" i="74"/>
  <c r="K366" i="74"/>
  <c r="K362" i="74"/>
  <c r="K387" i="74"/>
  <c r="K360" i="74"/>
  <c r="K369" i="74"/>
  <c r="K385" i="74"/>
  <c r="K367" i="74"/>
  <c r="K384" i="74"/>
  <c r="K358" i="74"/>
  <c r="K212" i="74"/>
  <c r="L282" i="74"/>
  <c r="L174" i="74"/>
  <c r="L387" i="74"/>
  <c r="L369" i="74"/>
  <c r="L370" i="74" s="1"/>
  <c r="L361" i="74"/>
  <c r="L385" i="74"/>
  <c r="L367" i="74"/>
  <c r="L384" i="74"/>
  <c r="L366" i="74"/>
  <c r="L362" i="74"/>
  <c r="L212" i="74"/>
  <c r="E251" i="74"/>
  <c r="E252" i="74" s="1"/>
  <c r="E257" i="74"/>
  <c r="D20" i="72"/>
  <c r="H16" i="46" s="1"/>
  <c r="E13" i="72"/>
  <c r="E14" i="72" s="1"/>
  <c r="A56" i="13"/>
  <c r="G297" i="74" l="1"/>
  <c r="G159" i="74"/>
  <c r="G165" i="74"/>
  <c r="G166" i="74" s="1"/>
  <c r="H196" i="74"/>
  <c r="I144" i="74"/>
  <c r="H144" i="74"/>
  <c r="H158" i="74"/>
  <c r="F165" i="74"/>
  <c r="F166" i="74" s="1"/>
  <c r="F297" i="74"/>
  <c r="F159" i="74"/>
  <c r="E158" i="74"/>
  <c r="M370" i="74"/>
  <c r="L388" i="74"/>
  <c r="M388" i="74"/>
  <c r="M287" i="74"/>
  <c r="K287" i="74"/>
  <c r="H401" i="74"/>
  <c r="I400" i="74"/>
  <c r="N370" i="74"/>
  <c r="N287" i="74"/>
  <c r="V4" i="74"/>
  <c r="I4" i="74"/>
  <c r="H5" i="74"/>
  <c r="V5" i="74" s="1"/>
  <c r="N388" i="74"/>
  <c r="L287" i="74"/>
  <c r="N353" i="74"/>
  <c r="N352" i="74"/>
  <c r="I403" i="74"/>
  <c r="W3" i="74"/>
  <c r="J3" i="74"/>
  <c r="I368" i="74"/>
  <c r="E259" i="74"/>
  <c r="E260" i="74" s="1"/>
  <c r="E265" i="74"/>
  <c r="E267" i="74" s="1"/>
  <c r="E268" i="74" s="1"/>
  <c r="K352" i="74"/>
  <c r="L351" i="74"/>
  <c r="L354" i="74"/>
  <c r="L350" i="74"/>
  <c r="L348" i="74"/>
  <c r="L198" i="74"/>
  <c r="F13" i="72"/>
  <c r="G13" i="72" s="1"/>
  <c r="E15" i="72"/>
  <c r="E19" i="72"/>
  <c r="A5" i="71"/>
  <c r="G303" i="74" l="1"/>
  <c r="H165" i="74"/>
  <c r="H166" i="74" s="1"/>
  <c r="H297" i="74"/>
  <c r="H159" i="74"/>
  <c r="F303" i="74"/>
  <c r="E297" i="74"/>
  <c r="E159" i="74"/>
  <c r="E165" i="74"/>
  <c r="E166" i="74" s="1"/>
  <c r="I5" i="74"/>
  <c r="W5" i="74" s="1"/>
  <c r="J4" i="74"/>
  <c r="W4" i="74"/>
  <c r="I401" i="74"/>
  <c r="J400" i="74"/>
  <c r="J403" i="74"/>
  <c r="K3" i="74"/>
  <c r="X3" i="74"/>
  <c r="J368" i="74"/>
  <c r="L353" i="74"/>
  <c r="L352" i="74"/>
  <c r="M351" i="74"/>
  <c r="M353" i="74"/>
  <c r="F14" i="72"/>
  <c r="F15" i="72" s="1"/>
  <c r="E20" i="72"/>
  <c r="I16" i="46" s="1"/>
  <c r="H13" i="72"/>
  <c r="H14" i="72" s="1"/>
  <c r="G14" i="72"/>
  <c r="A76" i="13"/>
  <c r="A27" i="66"/>
  <c r="A55" i="13"/>
  <c r="A58" i="13"/>
  <c r="A54" i="13"/>
  <c r="H303" i="74" l="1"/>
  <c r="E303" i="74"/>
  <c r="K403" i="74"/>
  <c r="L3" i="74"/>
  <c r="K368" i="74"/>
  <c r="X4" i="74"/>
  <c r="K4" i="74"/>
  <c r="J5" i="74"/>
  <c r="X5" i="74" s="1"/>
  <c r="J401" i="74"/>
  <c r="K400" i="74"/>
  <c r="F19" i="72"/>
  <c r="H15" i="72"/>
  <c r="H19" i="72"/>
  <c r="G15" i="72"/>
  <c r="G19" i="72"/>
  <c r="A2" i="68"/>
  <c r="H16" i="69"/>
  <c r="J15" i="69"/>
  <c r="J16" i="69" s="1"/>
  <c r="I15" i="69"/>
  <c r="I16" i="69" s="1"/>
  <c r="H15" i="69"/>
  <c r="G15" i="69"/>
  <c r="G16" i="69" s="1"/>
  <c r="F15" i="69"/>
  <c r="F16" i="69" s="1"/>
  <c r="J14" i="69"/>
  <c r="K14" i="69" s="1"/>
  <c r="K15" i="69" s="1"/>
  <c r="K16" i="69" s="1"/>
  <c r="A5" i="69"/>
  <c r="A33" i="18"/>
  <c r="A34" i="18"/>
  <c r="A35" i="18"/>
  <c r="A36" i="18"/>
  <c r="A37" i="18"/>
  <c r="A38" i="18"/>
  <c r="A39" i="18"/>
  <c r="A40" i="18"/>
  <c r="A39" i="13"/>
  <c r="K401" i="74" l="1"/>
  <c r="L400" i="74"/>
  <c r="L4" i="74"/>
  <c r="K5" i="74"/>
  <c r="L403" i="74"/>
  <c r="M3" i="74"/>
  <c r="L368" i="74"/>
  <c r="G20" i="72"/>
  <c r="K16" i="46" s="1"/>
  <c r="H20" i="72"/>
  <c r="L16" i="46" s="1"/>
  <c r="F20" i="72"/>
  <c r="J16" i="46" s="1"/>
  <c r="A123" i="61"/>
  <c r="A121" i="61"/>
  <c r="A118" i="61"/>
  <c r="A129" i="61"/>
  <c r="A128" i="61"/>
  <c r="A127" i="61"/>
  <c r="A126" i="61"/>
  <c r="A125" i="61"/>
  <c r="A124" i="61"/>
  <c r="A122" i="61"/>
  <c r="A120" i="61"/>
  <c r="A119" i="61"/>
  <c r="A117" i="61"/>
  <c r="A116" i="61"/>
  <c r="A115" i="61"/>
  <c r="A114" i="61"/>
  <c r="A113" i="61"/>
  <c r="A112" i="61"/>
  <c r="A111" i="61"/>
  <c r="A110" i="61"/>
  <c r="A141" i="61"/>
  <c r="A38" i="46"/>
  <c r="M403" i="74" l="1"/>
  <c r="N3" i="74"/>
  <c r="M368" i="74"/>
  <c r="L5" i="74"/>
  <c r="M4" i="74"/>
  <c r="L401" i="74"/>
  <c r="M400" i="74"/>
  <c r="K169" i="74"/>
  <c r="K171" i="74" s="1"/>
  <c r="A34" i="62"/>
  <c r="A33" i="62"/>
  <c r="A32" i="62"/>
  <c r="A31" i="62"/>
  <c r="M5" i="74" l="1"/>
  <c r="N4" i="74"/>
  <c r="N5" i="74" s="1"/>
  <c r="K177" i="74"/>
  <c r="L169" i="74"/>
  <c r="L171" i="74" s="1"/>
  <c r="N403" i="74"/>
  <c r="N368" i="74"/>
  <c r="M401" i="74"/>
  <c r="N400" i="74"/>
  <c r="N401" i="74" s="1"/>
  <c r="K173" i="74"/>
  <c r="K175" i="74" s="1"/>
  <c r="A39" i="39"/>
  <c r="A73" i="13"/>
  <c r="C64" i="13"/>
  <c r="C63" i="13"/>
  <c r="C62" i="13"/>
  <c r="C61" i="13"/>
  <c r="A51" i="13"/>
  <c r="A52" i="18"/>
  <c r="L177" i="74" l="1"/>
  <c r="M169" i="74"/>
  <c r="M171" i="74" s="1"/>
  <c r="L173" i="74"/>
  <c r="L175" i="74" s="1"/>
  <c r="K179" i="74"/>
  <c r="K180" i="74" s="1"/>
  <c r="B71" i="67"/>
  <c r="A71" i="67"/>
  <c r="B70" i="67"/>
  <c r="A70" i="67"/>
  <c r="B69" i="67"/>
  <c r="A69" i="67"/>
  <c r="B68" i="67"/>
  <c r="A68" i="67"/>
  <c r="B67" i="67"/>
  <c r="B66" i="67"/>
  <c r="B65" i="67"/>
  <c r="B64" i="67"/>
  <c r="B62" i="67"/>
  <c r="B61" i="67"/>
  <c r="B60" i="67"/>
  <c r="B59" i="67"/>
  <c r="B58" i="67"/>
  <c r="B57" i="67"/>
  <c r="B56" i="67"/>
  <c r="B55" i="67"/>
  <c r="B54" i="67"/>
  <c r="B53" i="67"/>
  <c r="B52" i="67"/>
  <c r="M173" i="74" l="1"/>
  <c r="M175" i="74" s="1"/>
  <c r="L179" i="74"/>
  <c r="L180" i="74" s="1"/>
  <c r="N169" i="74"/>
  <c r="N171" i="74" s="1"/>
  <c r="N177" i="74" s="1"/>
  <c r="M177" i="74"/>
  <c r="F17" i="18"/>
  <c r="A141" i="13"/>
  <c r="N173" i="74" l="1"/>
  <c r="N175" i="74" s="1"/>
  <c r="N179" i="74" s="1"/>
  <c r="N180" i="74" s="1"/>
  <c r="M179" i="74"/>
  <c r="M180" i="74" s="1"/>
  <c r="A60" i="18"/>
  <c r="A21" i="38"/>
  <c r="E63" i="13"/>
  <c r="E62" i="13"/>
  <c r="A18" i="62"/>
  <c r="A17" i="62"/>
  <c r="A16" i="62"/>
  <c r="A64" i="18" l="1"/>
  <c r="A65" i="18"/>
  <c r="A66" i="18"/>
  <c r="A67" i="18"/>
  <c r="A68" i="18"/>
  <c r="A69" i="18"/>
  <c r="A70" i="18"/>
  <c r="A71" i="18"/>
  <c r="A72" i="18"/>
  <c r="A63" i="18"/>
  <c r="A62" i="18"/>
  <c r="A61" i="18"/>
  <c r="A59" i="18"/>
  <c r="A58" i="18"/>
  <c r="A57" i="18"/>
  <c r="A124" i="13"/>
  <c r="A96" i="13"/>
  <c r="O311" i="35" l="1"/>
  <c r="N311" i="35"/>
  <c r="M311" i="35"/>
  <c r="O310" i="35"/>
  <c r="N310" i="35"/>
  <c r="O309" i="35"/>
  <c r="N309" i="35"/>
  <c r="O308" i="35"/>
  <c r="P308" i="35" s="1"/>
  <c r="N308" i="35"/>
  <c r="M310" i="35"/>
  <c r="M309" i="35"/>
  <c r="M308" i="35"/>
  <c r="P311" i="35" l="1"/>
  <c r="A5" i="68"/>
  <c r="P310" i="35" l="1"/>
  <c r="P309" i="35"/>
  <c r="A40" i="13" l="1"/>
  <c r="A41" i="13"/>
  <c r="A42" i="13"/>
  <c r="A43" i="13"/>
  <c r="A44" i="13"/>
  <c r="A45" i="13"/>
  <c r="A46" i="13"/>
  <c r="A47" i="13"/>
  <c r="A48" i="13"/>
  <c r="A49" i="13"/>
  <c r="A50" i="13"/>
  <c r="A52" i="13"/>
  <c r="A53" i="13"/>
  <c r="G471" i="62" l="1"/>
  <c r="G464" i="62"/>
  <c r="F471" i="62"/>
  <c r="F464" i="62"/>
  <c r="E471" i="62"/>
  <c r="E464" i="62"/>
  <c r="D471" i="62"/>
  <c r="D464" i="62"/>
  <c r="C471" i="62"/>
  <c r="C464" i="62"/>
  <c r="C448" i="62"/>
  <c r="A448" i="62"/>
  <c r="A447" i="62"/>
  <c r="A446" i="62"/>
  <c r="G467" i="62" l="1"/>
  <c r="F467" i="62"/>
  <c r="E467" i="62"/>
  <c r="D467" i="62"/>
  <c r="C467" i="62"/>
  <c r="A197" i="61" l="1"/>
  <c r="A198" i="61"/>
  <c r="A13" i="67" l="1"/>
  <c r="A12" i="67" l="1"/>
  <c r="A11" i="67"/>
  <c r="A10" i="67"/>
  <c r="A9"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B93" i="67"/>
  <c r="A93" i="67"/>
  <c r="B92" i="67"/>
  <c r="A92" i="67"/>
  <c r="A91" i="67"/>
  <c r="A90" i="67"/>
  <c r="A89" i="67"/>
  <c r="C88" i="67"/>
  <c r="A88" i="67"/>
  <c r="A87" i="67"/>
  <c r="F86" i="67"/>
  <c r="A86" i="67"/>
  <c r="A85" i="67"/>
  <c r="A84" i="67"/>
  <c r="A83" i="67"/>
  <c r="A82" i="67"/>
  <c r="A81" i="67"/>
  <c r="A80" i="67"/>
  <c r="A79" i="67"/>
  <c r="A78" i="67"/>
  <c r="A77" i="67"/>
  <c r="A76" i="67"/>
  <c r="A75" i="67"/>
  <c r="A74" i="67"/>
  <c r="A73" i="67"/>
  <c r="A72"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F19" i="67"/>
  <c r="A19" i="67"/>
  <c r="A18" i="67"/>
  <c r="A17" i="67"/>
  <c r="A16" i="67"/>
  <c r="A15" i="67"/>
  <c r="A14" i="67"/>
  <c r="A73" i="18"/>
  <c r="A23" i="39" l="1"/>
  <c r="E61" i="13"/>
  <c r="A14" i="13" l="1"/>
  <c r="A117" i="13"/>
  <c r="F140" i="13"/>
  <c r="F142" i="13" s="1"/>
  <c r="F35" i="18" s="1"/>
  <c r="F23" i="18"/>
  <c r="F61" i="67" s="1"/>
  <c r="L112" i="13"/>
  <c r="K112" i="13"/>
  <c r="J112" i="13"/>
  <c r="I112" i="13"/>
  <c r="H112" i="13"/>
  <c r="G112" i="13"/>
  <c r="A112" i="13"/>
  <c r="A111" i="13"/>
  <c r="A110" i="13"/>
  <c r="A140" i="13"/>
  <c r="A121" i="13"/>
  <c r="A83" i="13"/>
  <c r="A84" i="13"/>
  <c r="A74" i="13"/>
  <c r="D106" i="35"/>
  <c r="G77" i="13"/>
  <c r="G111" i="13" s="1"/>
  <c r="G85" i="13"/>
  <c r="A68" i="13"/>
  <c r="A67" i="13"/>
  <c r="G87" i="13"/>
  <c r="C66" i="13"/>
  <c r="C67" i="13" s="1"/>
  <c r="E66" i="13"/>
  <c r="G23" i="18" l="1"/>
  <c r="G61" i="67" s="1"/>
  <c r="F14" i="18"/>
  <c r="G86" i="13"/>
  <c r="L33" i="18"/>
  <c r="L71" i="67" s="1"/>
  <c r="K33" i="18"/>
  <c r="K71" i="67" s="1"/>
  <c r="J33" i="18"/>
  <c r="J71" i="67" s="1"/>
  <c r="I33" i="18"/>
  <c r="I71" i="67" s="1"/>
  <c r="H33" i="18"/>
  <c r="H71" i="67" s="1"/>
  <c r="G33" i="18"/>
  <c r="G71" i="67" s="1"/>
  <c r="F33" i="18"/>
  <c r="F71" i="67" s="1"/>
  <c r="A139" i="61"/>
  <c r="A138" i="61"/>
  <c r="A137" i="61"/>
  <c r="A136" i="61"/>
  <c r="A135" i="61"/>
  <c r="A134" i="61"/>
  <c r="A133" i="61"/>
  <c r="C33" i="18" l="1"/>
  <c r="D33" i="18"/>
  <c r="A21" i="45" l="1"/>
  <c r="A11" i="18" l="1"/>
  <c r="A56" i="38"/>
  <c r="A55" i="38"/>
  <c r="A36" i="46" l="1"/>
  <c r="A37" i="46"/>
  <c r="A39" i="46"/>
  <c r="A37" i="39"/>
  <c r="A36" i="39"/>
  <c r="A35" i="39"/>
  <c r="A34" i="39"/>
  <c r="A33" i="39"/>
  <c r="L100" i="61" l="1"/>
  <c r="K100" i="61"/>
  <c r="J100" i="61"/>
  <c r="I100" i="61"/>
  <c r="H100" i="61"/>
  <c r="G100" i="61"/>
  <c r="G99" i="61"/>
  <c r="H99" i="61"/>
  <c r="I99" i="61"/>
  <c r="J99" i="61"/>
  <c r="K99" i="61"/>
  <c r="L99" i="61"/>
  <c r="A132" i="61"/>
  <c r="A69" i="13"/>
  <c r="A66" i="13"/>
  <c r="A65" i="13"/>
  <c r="A64" i="13"/>
  <c r="A63" i="13"/>
  <c r="A62" i="13"/>
  <c r="A61" i="13"/>
  <c r="A60" i="13"/>
  <c r="A59" i="13"/>
  <c r="A25" i="39" l="1"/>
  <c r="A24" i="39"/>
  <c r="A21" i="39"/>
  <c r="A22" i="39"/>
  <c r="A131" i="61" l="1"/>
  <c r="A130" i="61"/>
  <c r="B25" i="18" l="1"/>
  <c r="B63" i="67" s="1"/>
  <c r="L25" i="18"/>
  <c r="L63" i="67" s="1"/>
  <c r="K25" i="18"/>
  <c r="K63" i="67" s="1"/>
  <c r="J25" i="18"/>
  <c r="J63" i="67" s="1"/>
  <c r="I25" i="18"/>
  <c r="I63" i="67" s="1"/>
  <c r="H25" i="18"/>
  <c r="H63" i="67" s="1"/>
  <c r="G25" i="18"/>
  <c r="F25" i="18"/>
  <c r="A25" i="18"/>
  <c r="C131" i="13"/>
  <c r="A143" i="13"/>
  <c r="A142" i="13"/>
  <c r="A139" i="13"/>
  <c r="A138" i="13"/>
  <c r="A137" i="13"/>
  <c r="A136" i="13"/>
  <c r="A135" i="13"/>
  <c r="A134" i="13"/>
  <c r="A133" i="13"/>
  <c r="A132" i="13"/>
  <c r="A131" i="13"/>
  <c r="G78" i="62"/>
  <c r="A63" i="45"/>
  <c r="D25" i="18" l="1"/>
  <c r="C25" i="18"/>
  <c r="D49" i="13" l="1"/>
  <c r="A40" i="39"/>
  <c r="E39" i="39"/>
  <c r="A38" i="39"/>
  <c r="A32" i="39"/>
  <c r="A31" i="39"/>
  <c r="A30" i="39"/>
  <c r="A29" i="39"/>
  <c r="A28" i="39"/>
  <c r="A27" i="39"/>
  <c r="A26" i="39"/>
  <c r="A20" i="39"/>
  <c r="A19" i="39"/>
  <c r="A18" i="39"/>
  <c r="A17" i="39"/>
  <c r="A16" i="39"/>
  <c r="A15" i="39"/>
  <c r="A14" i="39"/>
  <c r="A13" i="39"/>
  <c r="A12" i="39"/>
  <c r="A11" i="39"/>
  <c r="A70" i="38"/>
  <c r="A69" i="38"/>
  <c r="Q13" i="38"/>
  <c r="P13" i="38"/>
  <c r="O13" i="38"/>
  <c r="N13" i="38"/>
  <c r="M13" i="38"/>
  <c r="K13" i="38"/>
  <c r="J13" i="38"/>
  <c r="I13" i="38"/>
  <c r="H13" i="38"/>
  <c r="G13" i="38"/>
  <c r="A65" i="38"/>
  <c r="A64" i="38"/>
  <c r="A54" i="38"/>
  <c r="A53" i="38"/>
  <c r="A60" i="38"/>
  <c r="A31" i="34"/>
  <c r="A30" i="34"/>
  <c r="A29" i="34"/>
  <c r="A28" i="34"/>
  <c r="A78" i="61"/>
  <c r="A100" i="61"/>
  <c r="A101" i="61"/>
  <c r="A99" i="61"/>
  <c r="F68" i="38" l="1"/>
  <c r="G68" i="38" l="1"/>
  <c r="A25" i="66"/>
  <c r="A24" i="66"/>
  <c r="A23" i="66"/>
  <c r="A22" i="66"/>
  <c r="A21" i="66"/>
  <c r="A20" i="66"/>
  <c r="A19" i="66"/>
  <c r="A18" i="66"/>
  <c r="A17" i="66"/>
  <c r="A16" i="66"/>
  <c r="A15" i="66"/>
  <c r="A14" i="66"/>
  <c r="A13" i="66"/>
  <c r="A12" i="66"/>
  <c r="A11" i="66"/>
  <c r="A10" i="66"/>
  <c r="A9" i="66"/>
  <c r="B77" i="13" l="1"/>
  <c r="B109" i="35"/>
  <c r="G32" i="35" l="1"/>
  <c r="D116" i="35" l="1"/>
  <c r="D115" i="35" s="1"/>
  <c r="C82" i="13" s="1"/>
  <c r="C77" i="13" l="1"/>
  <c r="B25" i="52"/>
  <c r="B87" i="38"/>
  <c r="F26" i="35"/>
  <c r="F25" i="35"/>
  <c r="F24" i="35"/>
  <c r="F23" i="35"/>
  <c r="F22" i="35"/>
  <c r="F21" i="35"/>
  <c r="F15" i="18" l="1"/>
  <c r="F53" i="67" s="1"/>
  <c r="F52" i="67"/>
  <c r="A108" i="13"/>
  <c r="A118" i="13"/>
  <c r="A116" i="13"/>
  <c r="A115" i="13"/>
  <c r="A114" i="13"/>
  <c r="A113" i="13"/>
  <c r="A109" i="13"/>
  <c r="A91" i="13"/>
  <c r="A90" i="13"/>
  <c r="A89" i="13"/>
  <c r="A88" i="13"/>
  <c r="A87" i="13"/>
  <c r="A86" i="13"/>
  <c r="A85" i="13"/>
  <c r="A82" i="13"/>
  <c r="C104" i="13"/>
  <c r="C113" i="13"/>
  <c r="A98" i="13"/>
  <c r="A97" i="13"/>
  <c r="A95" i="13"/>
  <c r="A94" i="13"/>
  <c r="A93" i="13"/>
  <c r="A92" i="13"/>
  <c r="A81" i="13"/>
  <c r="A80" i="13"/>
  <c r="A79" i="13"/>
  <c r="A78" i="13"/>
  <c r="A77" i="13"/>
  <c r="A75" i="13"/>
  <c r="A72" i="13"/>
  <c r="A71" i="13"/>
  <c r="A70" i="13"/>
  <c r="E37" i="35"/>
  <c r="E36" i="35"/>
  <c r="E35" i="35"/>
  <c r="E34" i="35"/>
  <c r="E33" i="35"/>
  <c r="E32" i="35"/>
  <c r="J32" i="35" s="1"/>
  <c r="D78" i="13"/>
  <c r="B80" i="13"/>
  <c r="B79" i="13"/>
  <c r="B78" i="13"/>
  <c r="G78" i="13" l="1"/>
  <c r="D79" i="13"/>
  <c r="D80" i="13"/>
  <c r="H85" i="13"/>
  <c r="I85" i="13" s="1"/>
  <c r="J85" i="13" s="1"/>
  <c r="K85" i="13" s="1"/>
  <c r="L85" i="13" s="1"/>
  <c r="H86" i="13"/>
  <c r="I86" i="13" s="1"/>
  <c r="J86" i="13" s="1"/>
  <c r="K86" i="13" s="1"/>
  <c r="L86" i="13" s="1"/>
  <c r="H87" i="13"/>
  <c r="I87" i="13" s="1"/>
  <c r="J87" i="13" s="1"/>
  <c r="K87" i="13" s="1"/>
  <c r="L87" i="13" s="1"/>
  <c r="G80" i="13" l="1"/>
  <c r="G79" i="13"/>
  <c r="K64" i="35"/>
  <c r="K63" i="35"/>
  <c r="K62" i="35"/>
  <c r="K61" i="35"/>
  <c r="G110" i="13" l="1"/>
  <c r="C26" i="38" s="1"/>
  <c r="K65" i="35"/>
  <c r="D56" i="35" l="1"/>
  <c r="D16" i="35"/>
  <c r="D112" i="35" l="1"/>
  <c r="D111" i="35"/>
  <c r="D110" i="35"/>
  <c r="D109" i="35"/>
  <c r="D108" i="35"/>
  <c r="D107" i="35"/>
  <c r="A106" i="13"/>
  <c r="I112" i="35"/>
  <c r="H112" i="35"/>
  <c r="G112" i="35"/>
  <c r="F112" i="35"/>
  <c r="I111" i="35"/>
  <c r="H111" i="35"/>
  <c r="G111" i="35"/>
  <c r="F111" i="35"/>
  <c r="I110" i="35"/>
  <c r="H110" i="35"/>
  <c r="G110" i="35"/>
  <c r="F110" i="35"/>
  <c r="I109" i="35"/>
  <c r="H109" i="35"/>
  <c r="G109" i="35"/>
  <c r="F109" i="35"/>
  <c r="I108" i="35"/>
  <c r="H108" i="35"/>
  <c r="G108" i="35"/>
  <c r="F108" i="35"/>
  <c r="I107" i="35"/>
  <c r="H107" i="35"/>
  <c r="G107" i="35"/>
  <c r="F107" i="35"/>
  <c r="B112" i="35"/>
  <c r="B111" i="35"/>
  <c r="B110" i="35"/>
  <c r="B108" i="35"/>
  <c r="B107" i="35"/>
  <c r="E112" i="35"/>
  <c r="E111" i="35"/>
  <c r="E110" i="35"/>
  <c r="E109" i="35"/>
  <c r="E108" i="35"/>
  <c r="E107" i="35"/>
  <c r="I100" i="35"/>
  <c r="H100" i="35"/>
  <c r="G100" i="35"/>
  <c r="F100" i="35"/>
  <c r="C79" i="35"/>
  <c r="C102" i="35"/>
  <c r="A108" i="35"/>
  <c r="A109" i="35" s="1"/>
  <c r="A110" i="35" s="1"/>
  <c r="A111" i="35" s="1"/>
  <c r="A112" i="35" s="1"/>
  <c r="C93" i="35"/>
  <c r="I92" i="35"/>
  <c r="H92" i="35"/>
  <c r="G92" i="35"/>
  <c r="F92" i="35"/>
  <c r="I91" i="35"/>
  <c r="H91" i="35"/>
  <c r="G91" i="35"/>
  <c r="F91" i="35"/>
  <c r="I90" i="35"/>
  <c r="H90" i="35"/>
  <c r="G90" i="35"/>
  <c r="F90" i="35"/>
  <c r="I87" i="35"/>
  <c r="H87" i="35"/>
  <c r="G87" i="35"/>
  <c r="I86" i="35"/>
  <c r="H86" i="35"/>
  <c r="G86" i="35"/>
  <c r="F86" i="35"/>
  <c r="F87" i="35"/>
  <c r="E92" i="35"/>
  <c r="E91" i="35"/>
  <c r="E90" i="35"/>
  <c r="E87" i="35"/>
  <c r="E86" i="35"/>
  <c r="B91" i="35"/>
  <c r="B90" i="35"/>
  <c r="B89" i="35"/>
  <c r="B88" i="35"/>
  <c r="B87" i="35"/>
  <c r="B86" i="35"/>
  <c r="A87" i="35"/>
  <c r="A88" i="35" s="1"/>
  <c r="A89" i="35" s="1"/>
  <c r="A90" i="35" s="1"/>
  <c r="A91" i="35" s="1"/>
  <c r="E79" i="35"/>
  <c r="E98" i="35" s="1"/>
  <c r="C81" i="13" l="1"/>
  <c r="D81" i="13" s="1"/>
  <c r="J109" i="35"/>
  <c r="J112" i="35"/>
  <c r="J108" i="35"/>
  <c r="J111" i="35"/>
  <c r="J107" i="35"/>
  <c r="J92" i="35"/>
  <c r="J91" i="35"/>
  <c r="J86" i="35"/>
  <c r="J110" i="35" l="1"/>
  <c r="J90" i="35"/>
  <c r="J87" i="35"/>
  <c r="H81" i="35"/>
  <c r="G81" i="35"/>
  <c r="I81" i="35"/>
  <c r="F81" i="35"/>
  <c r="H79" i="35"/>
  <c r="G79" i="35"/>
  <c r="I79" i="35"/>
  <c r="F79" i="35"/>
  <c r="H98" i="35" l="1"/>
  <c r="I98" i="35"/>
  <c r="F98" i="35"/>
  <c r="G98" i="35"/>
  <c r="J79" i="35"/>
  <c r="I260" i="35"/>
  <c r="H260" i="35"/>
  <c r="G260" i="35"/>
  <c r="F260" i="35"/>
  <c r="E260" i="35"/>
  <c r="I259" i="35"/>
  <c r="H259" i="35"/>
  <c r="G259" i="35"/>
  <c r="F259" i="35"/>
  <c r="E259" i="35"/>
  <c r="E238" i="35" s="1"/>
  <c r="I258" i="35"/>
  <c r="H258" i="35"/>
  <c r="G258" i="35"/>
  <c r="F258" i="35"/>
  <c r="E258" i="35"/>
  <c r="E237" i="35" s="1"/>
  <c r="I257" i="35"/>
  <c r="H257" i="35"/>
  <c r="G257" i="35"/>
  <c r="F257" i="35"/>
  <c r="E257" i="35"/>
  <c r="I256" i="35"/>
  <c r="H256" i="35"/>
  <c r="G256" i="35"/>
  <c r="F256" i="35"/>
  <c r="E256" i="35"/>
  <c r="I255" i="35"/>
  <c r="H255" i="35"/>
  <c r="G255" i="35"/>
  <c r="F255" i="35"/>
  <c r="E255" i="35"/>
  <c r="E234" i="35" s="1"/>
  <c r="E16" i="35"/>
  <c r="D113" i="35" s="1"/>
  <c r="B299" i="35"/>
  <c r="B298" i="35"/>
  <c r="B297" i="35"/>
  <c r="D296" i="35"/>
  <c r="B296" i="35"/>
  <c r="D295" i="35"/>
  <c r="B295" i="35"/>
  <c r="A295" i="35"/>
  <c r="A296" i="35" s="1"/>
  <c r="A297" i="35" s="1"/>
  <c r="A298" i="35" s="1"/>
  <c r="A299" i="35" s="1"/>
  <c r="D294" i="35"/>
  <c r="B294" i="35"/>
  <c r="B289" i="35"/>
  <c r="B288" i="35"/>
  <c r="B287" i="35"/>
  <c r="D286" i="35"/>
  <c r="B286" i="35"/>
  <c r="D285" i="35"/>
  <c r="B285" i="35"/>
  <c r="A285" i="35"/>
  <c r="A286" i="35" s="1"/>
  <c r="A287" i="35" s="1"/>
  <c r="A288" i="35" s="1"/>
  <c r="A289" i="35" s="1"/>
  <c r="D284" i="35"/>
  <c r="B284" i="35"/>
  <c r="I278" i="35"/>
  <c r="H278" i="35"/>
  <c r="G278" i="35"/>
  <c r="F278" i="35"/>
  <c r="E278" i="35"/>
  <c r="B276" i="35"/>
  <c r="B275" i="35"/>
  <c r="B274" i="35"/>
  <c r="D273" i="35"/>
  <c r="B273" i="35"/>
  <c r="D272" i="35"/>
  <c r="B272" i="35"/>
  <c r="A272" i="35"/>
  <c r="A273" i="35" s="1"/>
  <c r="A274" i="35" s="1"/>
  <c r="A275" i="35" s="1"/>
  <c r="A276" i="35" s="1"/>
  <c r="D271" i="35"/>
  <c r="B271" i="35"/>
  <c r="D33" i="35"/>
  <c r="F33" i="35" s="1"/>
  <c r="D37" i="35"/>
  <c r="F37" i="35" s="1"/>
  <c r="D36" i="35"/>
  <c r="F36" i="35" s="1"/>
  <c r="D35" i="35"/>
  <c r="F35" i="35" s="1"/>
  <c r="D34" i="35"/>
  <c r="D32" i="35"/>
  <c r="F34" i="35" l="1"/>
  <c r="G44" i="35"/>
  <c r="H44" i="35" s="1"/>
  <c r="G41" i="35"/>
  <c r="H41" i="35" s="1"/>
  <c r="G43" i="35"/>
  <c r="H43" i="35" s="1"/>
  <c r="G42" i="35"/>
  <c r="H42" i="35" s="1"/>
  <c r="F32" i="35"/>
  <c r="H32" i="35"/>
  <c r="I32" i="35" s="1"/>
  <c r="I80" i="35"/>
  <c r="K79" i="35"/>
  <c r="G80" i="35"/>
  <c r="I113" i="35"/>
  <c r="I114" i="35" s="1"/>
  <c r="D90" i="35"/>
  <c r="J98" i="35"/>
  <c r="D89" i="35"/>
  <c r="D86" i="35"/>
  <c r="D91" i="35"/>
  <c r="D88" i="35"/>
  <c r="D87" i="35"/>
  <c r="D259" i="35"/>
  <c r="G113" i="35"/>
  <c r="G114" i="35" s="1"/>
  <c r="D92" i="35"/>
  <c r="E85" i="35"/>
  <c r="E89" i="35"/>
  <c r="J80" i="35"/>
  <c r="E80" i="35"/>
  <c r="F80" i="35"/>
  <c r="H80" i="35"/>
  <c r="H261" i="35"/>
  <c r="D236" i="35"/>
  <c r="D248" i="35"/>
  <c r="D237" i="35"/>
  <c r="D245" i="35"/>
  <c r="D249" i="35"/>
  <c r="D257" i="35"/>
  <c r="D256" i="35"/>
  <c r="D234" i="35"/>
  <c r="D238" i="35"/>
  <c r="D246" i="35"/>
  <c r="D250" i="35"/>
  <c r="D258" i="35"/>
  <c r="F261" i="35"/>
  <c r="J256" i="35"/>
  <c r="J260" i="35"/>
  <c r="D260" i="35"/>
  <c r="J278" i="35"/>
  <c r="D235" i="35"/>
  <c r="D239" i="35"/>
  <c r="D247" i="35"/>
  <c r="D255" i="35"/>
  <c r="G261" i="35"/>
  <c r="J257" i="35"/>
  <c r="J258" i="35"/>
  <c r="E235" i="35"/>
  <c r="E239" i="35"/>
  <c r="J255" i="35"/>
  <c r="I261" i="35"/>
  <c r="J259" i="35"/>
  <c r="E236" i="35"/>
  <c r="E261" i="35"/>
  <c r="E240" i="35" l="1"/>
  <c r="F88" i="35"/>
  <c r="G88" i="35"/>
  <c r="I88" i="35"/>
  <c r="H88" i="35"/>
  <c r="E88" i="35"/>
  <c r="E93" i="35" s="1"/>
  <c r="E94" i="35" s="1"/>
  <c r="G99" i="35"/>
  <c r="F99" i="35"/>
  <c r="H113" i="35"/>
  <c r="H114" i="35" s="1"/>
  <c r="I89" i="35"/>
  <c r="F89" i="35"/>
  <c r="G89" i="35"/>
  <c r="H89" i="35"/>
  <c r="H93" i="35" s="1"/>
  <c r="H94" i="35" s="1"/>
  <c r="F113" i="35"/>
  <c r="F114" i="35" s="1"/>
  <c r="I99" i="35"/>
  <c r="H99" i="35"/>
  <c r="E113" i="35"/>
  <c r="J99" i="35"/>
  <c r="E99" i="35"/>
  <c r="E106" i="35"/>
  <c r="E263" i="35"/>
  <c r="J261" i="35"/>
  <c r="G93" i="35" l="1"/>
  <c r="G94" i="35" s="1"/>
  <c r="F93" i="35"/>
  <c r="F94" i="35" s="1"/>
  <c r="F95" i="35" s="1"/>
  <c r="I93" i="35"/>
  <c r="I94" i="35" s="1"/>
  <c r="I95" i="35" s="1"/>
  <c r="J88" i="35"/>
  <c r="E95" i="35"/>
  <c r="G95" i="35"/>
  <c r="H95" i="35"/>
  <c r="J89" i="35"/>
  <c r="J113" i="35"/>
  <c r="E114" i="35"/>
  <c r="J114" i="35" s="1"/>
  <c r="D202" i="35"/>
  <c r="D201" i="35"/>
  <c r="D200" i="35"/>
  <c r="D199" i="35"/>
  <c r="D198" i="35"/>
  <c r="D197" i="35"/>
  <c r="D215" i="35"/>
  <c r="D214" i="35"/>
  <c r="D213" i="35"/>
  <c r="D212" i="35"/>
  <c r="D211" i="35"/>
  <c r="D210" i="35"/>
  <c r="I225" i="35"/>
  <c r="H225" i="35"/>
  <c r="G225" i="35"/>
  <c r="F225" i="35"/>
  <c r="E225" i="35"/>
  <c r="I224" i="35"/>
  <c r="H224" i="35"/>
  <c r="G224" i="35"/>
  <c r="F224" i="35"/>
  <c r="E224" i="35"/>
  <c r="E201" i="35" s="1"/>
  <c r="I223" i="35"/>
  <c r="H223" i="35"/>
  <c r="G223" i="35"/>
  <c r="F223" i="35"/>
  <c r="E223" i="35"/>
  <c r="E200" i="35" s="1"/>
  <c r="I222" i="35"/>
  <c r="H222" i="35"/>
  <c r="G222" i="35"/>
  <c r="F222" i="35"/>
  <c r="E222" i="35"/>
  <c r="E199" i="35" s="1"/>
  <c r="I221" i="35"/>
  <c r="H221" i="35"/>
  <c r="G221" i="35"/>
  <c r="F221" i="35"/>
  <c r="E221" i="35"/>
  <c r="E198" i="35" s="1"/>
  <c r="I220" i="35"/>
  <c r="H220" i="35"/>
  <c r="G220" i="35"/>
  <c r="E220" i="35"/>
  <c r="E197" i="35" s="1"/>
  <c r="D225" i="35"/>
  <c r="D224" i="35"/>
  <c r="D223" i="35"/>
  <c r="D222" i="35"/>
  <c r="D221" i="35"/>
  <c r="D220" i="35"/>
  <c r="F220" i="35" s="1"/>
  <c r="B260" i="35"/>
  <c r="B259" i="35"/>
  <c r="B258" i="35"/>
  <c r="B257" i="35"/>
  <c r="B256" i="35"/>
  <c r="B255" i="35"/>
  <c r="B250" i="35"/>
  <c r="B249" i="35"/>
  <c r="B248" i="35"/>
  <c r="B247" i="35"/>
  <c r="B246" i="35"/>
  <c r="B245" i="35"/>
  <c r="B239" i="35"/>
  <c r="B238" i="35"/>
  <c r="B237" i="35"/>
  <c r="B236" i="35"/>
  <c r="B235" i="35"/>
  <c r="B234" i="35"/>
  <c r="B225" i="35"/>
  <c r="B224" i="35"/>
  <c r="B223" i="35"/>
  <c r="B222" i="35"/>
  <c r="B221" i="35"/>
  <c r="B220" i="35"/>
  <c r="B215" i="35"/>
  <c r="B214" i="35"/>
  <c r="B213" i="35"/>
  <c r="B212" i="35"/>
  <c r="B211" i="35"/>
  <c r="B210" i="35"/>
  <c r="B202" i="35"/>
  <c r="B201" i="35"/>
  <c r="B200" i="35"/>
  <c r="B199" i="35"/>
  <c r="B198" i="35"/>
  <c r="B197" i="35"/>
  <c r="B188" i="35"/>
  <c r="B187" i="35"/>
  <c r="B186" i="35"/>
  <c r="B185" i="35"/>
  <c r="B184" i="35"/>
  <c r="B183" i="35"/>
  <c r="B178" i="35"/>
  <c r="B177" i="35"/>
  <c r="B176" i="35"/>
  <c r="B175" i="35"/>
  <c r="B174" i="35"/>
  <c r="B173" i="35"/>
  <c r="B167" i="35"/>
  <c r="B166" i="35"/>
  <c r="B165" i="35"/>
  <c r="B164" i="35"/>
  <c r="B163" i="35"/>
  <c r="B162" i="35"/>
  <c r="B153" i="35"/>
  <c r="B152" i="35"/>
  <c r="B151" i="35"/>
  <c r="B150" i="35"/>
  <c r="B149" i="35"/>
  <c r="B148" i="35"/>
  <c r="B143" i="35"/>
  <c r="B142" i="35"/>
  <c r="B141" i="35"/>
  <c r="B140" i="35"/>
  <c r="B139" i="35"/>
  <c r="B138" i="35"/>
  <c r="B132" i="35"/>
  <c r="B131" i="35"/>
  <c r="B130" i="35"/>
  <c r="B129" i="35"/>
  <c r="B128" i="35"/>
  <c r="B127" i="35"/>
  <c r="A256" i="35"/>
  <c r="A257" i="35" s="1"/>
  <c r="A258" i="35" s="1"/>
  <c r="A259" i="35" s="1"/>
  <c r="A260" i="35" s="1"/>
  <c r="A246" i="35"/>
  <c r="A247" i="35" s="1"/>
  <c r="A248" i="35" s="1"/>
  <c r="A249" i="35" s="1"/>
  <c r="A250" i="35" s="1"/>
  <c r="A235" i="35"/>
  <c r="A236" i="35" s="1"/>
  <c r="A237" i="35" s="1"/>
  <c r="A238" i="35" s="1"/>
  <c r="A239" i="35" s="1"/>
  <c r="A221" i="35"/>
  <c r="A222" i="35" s="1"/>
  <c r="A223" i="35" s="1"/>
  <c r="A224" i="35" s="1"/>
  <c r="A225" i="35" s="1"/>
  <c r="A211" i="35"/>
  <c r="A212" i="35" s="1"/>
  <c r="A213" i="35" s="1"/>
  <c r="A214" i="35" s="1"/>
  <c r="A215" i="35" s="1"/>
  <c r="A198" i="35"/>
  <c r="A199" i="35" s="1"/>
  <c r="A200" i="35" s="1"/>
  <c r="A201" i="35" s="1"/>
  <c r="A202" i="35" s="1"/>
  <c r="I188" i="35"/>
  <c r="H188" i="35"/>
  <c r="G188" i="35"/>
  <c r="F188" i="35"/>
  <c r="E188" i="35"/>
  <c r="I187" i="35"/>
  <c r="H187" i="35"/>
  <c r="G187" i="35"/>
  <c r="F187" i="35"/>
  <c r="E187" i="35"/>
  <c r="I186" i="35"/>
  <c r="H186" i="35"/>
  <c r="G186" i="35"/>
  <c r="F186" i="35"/>
  <c r="E186" i="35"/>
  <c r="I185" i="35"/>
  <c r="H185" i="35"/>
  <c r="G185" i="35"/>
  <c r="F185" i="35"/>
  <c r="E185" i="35"/>
  <c r="I184" i="35"/>
  <c r="H184" i="35"/>
  <c r="G184" i="35"/>
  <c r="F184" i="35"/>
  <c r="E184" i="35"/>
  <c r="A184" i="35"/>
  <c r="A185" i="35" s="1"/>
  <c r="A186" i="35" s="1"/>
  <c r="A187" i="35" s="1"/>
  <c r="A188" i="35" s="1"/>
  <c r="I183" i="35"/>
  <c r="H183" i="35"/>
  <c r="G183" i="35"/>
  <c r="F183" i="35"/>
  <c r="E183" i="35"/>
  <c r="I179" i="35"/>
  <c r="H179" i="35"/>
  <c r="G179" i="35"/>
  <c r="F179" i="35"/>
  <c r="J178" i="35"/>
  <c r="J177" i="35"/>
  <c r="J176" i="35"/>
  <c r="J175" i="35"/>
  <c r="J174" i="35"/>
  <c r="A174" i="35"/>
  <c r="A175" i="35" s="1"/>
  <c r="A176" i="35" s="1"/>
  <c r="A177" i="35" s="1"/>
  <c r="A178" i="35" s="1"/>
  <c r="J173" i="35"/>
  <c r="I168" i="35"/>
  <c r="H168" i="35"/>
  <c r="G168" i="35"/>
  <c r="F168" i="35"/>
  <c r="E168" i="35"/>
  <c r="J167" i="35"/>
  <c r="J166" i="35"/>
  <c r="J165" i="35"/>
  <c r="J164" i="35"/>
  <c r="J163" i="35"/>
  <c r="A163" i="35"/>
  <c r="A164" i="35" s="1"/>
  <c r="A165" i="35" s="1"/>
  <c r="A166" i="35" s="1"/>
  <c r="A167" i="35" s="1"/>
  <c r="J162" i="35"/>
  <c r="I133" i="35"/>
  <c r="I204" i="35" s="1"/>
  <c r="I296" i="35" s="1"/>
  <c r="H133" i="35"/>
  <c r="H204" i="35" s="1"/>
  <c r="H296" i="35" s="1"/>
  <c r="G133" i="35"/>
  <c r="G204" i="35" s="1"/>
  <c r="G296" i="35" s="1"/>
  <c r="E133" i="35"/>
  <c r="E204" i="35" s="1"/>
  <c r="E296" i="35" s="1"/>
  <c r="F133" i="35"/>
  <c r="F204" i="35" s="1"/>
  <c r="F296" i="35" s="1"/>
  <c r="J127" i="35"/>
  <c r="I153" i="35"/>
  <c r="H153" i="35"/>
  <c r="G153" i="35"/>
  <c r="F153" i="35"/>
  <c r="E153" i="35"/>
  <c r="I152" i="35"/>
  <c r="H152" i="35"/>
  <c r="G152" i="35"/>
  <c r="F152" i="35"/>
  <c r="E152" i="35"/>
  <c r="I151" i="35"/>
  <c r="H151" i="35"/>
  <c r="G151" i="35"/>
  <c r="F151" i="35"/>
  <c r="E151" i="35"/>
  <c r="I172" i="35" s="1"/>
  <c r="I150" i="35"/>
  <c r="H150" i="35"/>
  <c r="G150" i="35"/>
  <c r="F150" i="35"/>
  <c r="E150" i="35"/>
  <c r="H172" i="35" s="1"/>
  <c r="I149" i="35"/>
  <c r="H149" i="35"/>
  <c r="G149" i="35"/>
  <c r="F149" i="35"/>
  <c r="E149" i="35"/>
  <c r="G172" i="35" s="1"/>
  <c r="I148" i="35"/>
  <c r="H148" i="35"/>
  <c r="G148" i="35"/>
  <c r="F148" i="35"/>
  <c r="E148" i="35"/>
  <c r="F172" i="35" s="1"/>
  <c r="A149" i="35"/>
  <c r="A150" i="35" s="1"/>
  <c r="A151" i="35" s="1"/>
  <c r="A152" i="35" s="1"/>
  <c r="A153" i="35" s="1"/>
  <c r="A139" i="35"/>
  <c r="A140" i="35" s="1"/>
  <c r="A141" i="35" s="1"/>
  <c r="A142" i="35" s="1"/>
  <c r="A143" i="35" s="1"/>
  <c r="A128" i="35"/>
  <c r="A129" i="35" s="1"/>
  <c r="A130" i="35" s="1"/>
  <c r="A131" i="35" s="1"/>
  <c r="A132" i="35" s="1"/>
  <c r="J132" i="35"/>
  <c r="J131" i="35"/>
  <c r="J130" i="35"/>
  <c r="J129" i="35"/>
  <c r="J128" i="35"/>
  <c r="J143" i="35"/>
  <c r="J142" i="35"/>
  <c r="J141" i="35"/>
  <c r="J140" i="35"/>
  <c r="J139" i="35"/>
  <c r="J138" i="35"/>
  <c r="I144" i="35"/>
  <c r="H144" i="35"/>
  <c r="G144" i="35"/>
  <c r="F144" i="35"/>
  <c r="I137" i="35"/>
  <c r="I209" i="35" s="1"/>
  <c r="H137" i="35"/>
  <c r="H209" i="35" s="1"/>
  <c r="F137" i="35"/>
  <c r="F209" i="35" s="1"/>
  <c r="G137" i="35"/>
  <c r="G209" i="35" s="1"/>
  <c r="G411" i="35"/>
  <c r="J400" i="35"/>
  <c r="J93" i="35" l="1"/>
  <c r="J94" i="35" s="1"/>
  <c r="J95" i="35" s="1"/>
  <c r="J296" i="35"/>
  <c r="E273" i="35"/>
  <c r="J273" i="35" s="1"/>
  <c r="I210" i="35"/>
  <c r="I197" i="35" s="1"/>
  <c r="I211" i="35"/>
  <c r="I198" i="35" s="1"/>
  <c r="I212" i="35"/>
  <c r="I283" i="35" s="1"/>
  <c r="I213" i="35"/>
  <c r="I214" i="35"/>
  <c r="I215" i="35"/>
  <c r="I250" i="35"/>
  <c r="I239" i="35" s="1"/>
  <c r="I246" i="35"/>
  <c r="I235" i="35" s="1"/>
  <c r="I245" i="35"/>
  <c r="I249" i="35"/>
  <c r="I238" i="35" s="1"/>
  <c r="I248" i="35"/>
  <c r="I237" i="35" s="1"/>
  <c r="I247" i="35"/>
  <c r="I236" i="35" s="1"/>
  <c r="G246" i="35"/>
  <c r="G235" i="35" s="1"/>
  <c r="G250" i="35"/>
  <c r="G239" i="35" s="1"/>
  <c r="G210" i="35"/>
  <c r="G197" i="35" s="1"/>
  <c r="G211" i="35"/>
  <c r="G198" i="35" s="1"/>
  <c r="G212" i="35"/>
  <c r="G199" i="35" s="1"/>
  <c r="G213" i="35"/>
  <c r="G214" i="35"/>
  <c r="G215" i="35"/>
  <c r="G248" i="35"/>
  <c r="G237" i="35" s="1"/>
  <c r="G249" i="35"/>
  <c r="G238" i="35" s="1"/>
  <c r="G245" i="35"/>
  <c r="G247" i="35"/>
  <c r="G236" i="35" s="1"/>
  <c r="H250" i="35"/>
  <c r="H239" i="35" s="1"/>
  <c r="H249" i="35"/>
  <c r="H238" i="35" s="1"/>
  <c r="H247" i="35"/>
  <c r="H236" i="35" s="1"/>
  <c r="H246" i="35"/>
  <c r="H235" i="35" s="1"/>
  <c r="H245" i="35"/>
  <c r="H210" i="35"/>
  <c r="H197" i="35" s="1"/>
  <c r="H211" i="35"/>
  <c r="H212" i="35"/>
  <c r="H213" i="35"/>
  <c r="H214" i="35"/>
  <c r="H215" i="35"/>
  <c r="H248" i="35"/>
  <c r="H237" i="35" s="1"/>
  <c r="F246" i="35"/>
  <c r="F210" i="35"/>
  <c r="F211" i="35"/>
  <c r="F212" i="35"/>
  <c r="F213" i="35"/>
  <c r="F214" i="35"/>
  <c r="F215" i="35"/>
  <c r="F249" i="35"/>
  <c r="F245" i="35"/>
  <c r="F250" i="35"/>
  <c r="F247" i="35"/>
  <c r="F248" i="35"/>
  <c r="D287" i="35"/>
  <c r="D297" i="35"/>
  <c r="D274" i="35"/>
  <c r="H298" i="35"/>
  <c r="D298" i="35"/>
  <c r="G298" i="35"/>
  <c r="D288" i="35"/>
  <c r="D275" i="35"/>
  <c r="F298" i="35"/>
  <c r="I298" i="35"/>
  <c r="E298" i="35"/>
  <c r="E275" i="35" s="1"/>
  <c r="I299" i="35"/>
  <c r="E299" i="35"/>
  <c r="D276" i="35"/>
  <c r="G299" i="35"/>
  <c r="D289" i="35"/>
  <c r="F299" i="35"/>
  <c r="H299" i="35"/>
  <c r="D299" i="35"/>
  <c r="H244" i="35"/>
  <c r="I244" i="35"/>
  <c r="G244" i="35"/>
  <c r="G285" i="35"/>
  <c r="H189" i="35"/>
  <c r="H191" i="35" s="1"/>
  <c r="J185" i="35"/>
  <c r="I189" i="35"/>
  <c r="I191" i="35" s="1"/>
  <c r="H198" i="35"/>
  <c r="J204" i="35"/>
  <c r="F244" i="35"/>
  <c r="J144" i="35"/>
  <c r="J152" i="35"/>
  <c r="J225" i="35"/>
  <c r="E226" i="35"/>
  <c r="E228" i="35" s="1"/>
  <c r="J149" i="35"/>
  <c r="J222" i="35"/>
  <c r="J183" i="35"/>
  <c r="E189" i="35"/>
  <c r="E191" i="35" s="1"/>
  <c r="J168" i="35"/>
  <c r="D48" i="35" s="1"/>
  <c r="J186" i="35"/>
  <c r="F189" i="35"/>
  <c r="J187" i="35"/>
  <c r="G189" i="35"/>
  <c r="G191" i="35" s="1"/>
  <c r="J184" i="35"/>
  <c r="J188" i="35"/>
  <c r="J224" i="35"/>
  <c r="G226" i="35"/>
  <c r="J223" i="35"/>
  <c r="J221" i="35"/>
  <c r="I226" i="35"/>
  <c r="H226" i="35"/>
  <c r="F226" i="35"/>
  <c r="J220" i="35"/>
  <c r="J179" i="35"/>
  <c r="I154" i="35"/>
  <c r="I156" i="35" s="1"/>
  <c r="G154" i="35"/>
  <c r="G156" i="35" s="1"/>
  <c r="J133" i="35"/>
  <c r="D47" i="35" s="1"/>
  <c r="J151" i="35"/>
  <c r="F154" i="35"/>
  <c r="F156" i="35" s="1"/>
  <c r="H154" i="35"/>
  <c r="H156" i="35" s="1"/>
  <c r="E154" i="35"/>
  <c r="E156" i="35" s="1"/>
  <c r="J153" i="35"/>
  <c r="J150" i="35"/>
  <c r="J148" i="35"/>
  <c r="I199" i="35" l="1"/>
  <c r="G283" i="35"/>
  <c r="J212" i="35"/>
  <c r="D49" i="35"/>
  <c r="J214" i="35"/>
  <c r="J210" i="35"/>
  <c r="F216" i="35"/>
  <c r="J245" i="35"/>
  <c r="F234" i="35"/>
  <c r="F251" i="35"/>
  <c r="F235" i="35"/>
  <c r="J235" i="35" s="1"/>
  <c r="J246" i="35"/>
  <c r="J213" i="35"/>
  <c r="H251" i="35"/>
  <c r="H263" i="35" s="1"/>
  <c r="H234" i="35"/>
  <c r="H240" i="35" s="1"/>
  <c r="I234" i="35"/>
  <c r="I240" i="35" s="1"/>
  <c r="I251" i="35"/>
  <c r="I263" i="35" s="1"/>
  <c r="I216" i="35"/>
  <c r="F239" i="35"/>
  <c r="J239" i="35" s="1"/>
  <c r="J250" i="35"/>
  <c r="F197" i="35"/>
  <c r="J197" i="35" s="1"/>
  <c r="J248" i="35"/>
  <c r="F237" i="35"/>
  <c r="J237" i="35" s="1"/>
  <c r="F238" i="35"/>
  <c r="J238" i="35" s="1"/>
  <c r="J249" i="35"/>
  <c r="H216" i="35"/>
  <c r="F236" i="35"/>
  <c r="J236" i="35" s="1"/>
  <c r="J247" i="35"/>
  <c r="J215" i="35"/>
  <c r="J211" i="35"/>
  <c r="G234" i="35"/>
  <c r="G240" i="35" s="1"/>
  <c r="G251" i="35"/>
  <c r="G263" i="35" s="1"/>
  <c r="G216" i="35"/>
  <c r="E202" i="35"/>
  <c r="I200" i="35"/>
  <c r="I284" i="35"/>
  <c r="H201" i="35"/>
  <c r="H285" i="35"/>
  <c r="F200" i="35"/>
  <c r="F284" i="35"/>
  <c r="F201" i="35"/>
  <c r="F285" i="35"/>
  <c r="G200" i="35"/>
  <c r="G284" i="35"/>
  <c r="G201" i="35"/>
  <c r="F199" i="35"/>
  <c r="F283" i="35"/>
  <c r="H200" i="35"/>
  <c r="H284" i="35"/>
  <c r="I201" i="35"/>
  <c r="I285" i="35"/>
  <c r="H199" i="35"/>
  <c r="H283" i="35"/>
  <c r="J189" i="35"/>
  <c r="F191" i="35"/>
  <c r="J191" i="35" s="1"/>
  <c r="H289" i="35"/>
  <c r="H276" i="35" s="1"/>
  <c r="G289" i="35"/>
  <c r="G276" i="35" s="1"/>
  <c r="I289" i="35"/>
  <c r="I276" i="35" s="1"/>
  <c r="F289" i="35"/>
  <c r="H288" i="35"/>
  <c r="H275" i="35" s="1"/>
  <c r="G288" i="35"/>
  <c r="G275" i="35" s="1"/>
  <c r="I288" i="35"/>
  <c r="I275" i="35" s="1"/>
  <c r="F288" i="35"/>
  <c r="J299" i="35"/>
  <c r="E276" i="35"/>
  <c r="J276" i="35" s="1"/>
  <c r="J298" i="35"/>
  <c r="F198" i="35"/>
  <c r="J156" i="35"/>
  <c r="J154" i="35"/>
  <c r="J226" i="35"/>
  <c r="J216" i="35" l="1"/>
  <c r="J234" i="35"/>
  <c r="F240" i="35"/>
  <c r="J240" i="35" s="1"/>
  <c r="J251" i="35"/>
  <c r="F263" i="35"/>
  <c r="J263" i="35" s="1"/>
  <c r="J201" i="35"/>
  <c r="E294" i="35"/>
  <c r="E271" i="35" s="1"/>
  <c r="E203" i="35"/>
  <c r="J200" i="35"/>
  <c r="J199" i="35"/>
  <c r="J284" i="35"/>
  <c r="J285" i="35"/>
  <c r="F275" i="35"/>
  <c r="J275" i="35" s="1"/>
  <c r="J288" i="35"/>
  <c r="J289" i="35"/>
  <c r="F276" i="35"/>
  <c r="J198" i="35"/>
  <c r="E205" i="35" l="1"/>
  <c r="E297" i="35" s="1"/>
  <c r="E274" i="35" s="1"/>
  <c r="E295" i="35"/>
  <c r="E272" i="35" l="1"/>
  <c r="E277" i="35" s="1"/>
  <c r="E300" i="35"/>
  <c r="J300" i="35" l="1"/>
  <c r="E302" i="35"/>
  <c r="J302" i="35" s="1"/>
  <c r="E279" i="35"/>
  <c r="J277" i="35"/>
  <c r="J279" i="35" s="1"/>
  <c r="A44" i="41" l="1"/>
  <c r="A43" i="41"/>
  <c r="A50" i="41"/>
  <c r="A49" i="41"/>
  <c r="A48" i="41"/>
  <c r="A47" i="41"/>
  <c r="A46" i="41"/>
  <c r="A193" i="61" l="1"/>
  <c r="A194" i="61"/>
  <c r="A195" i="61"/>
  <c r="A196" i="61"/>
  <c r="F17" i="46"/>
  <c r="F21" i="46" s="1"/>
  <c r="F20" i="46" s="1"/>
  <c r="F14" i="46"/>
  <c r="A44" i="38"/>
  <c r="F23" i="46" l="1"/>
  <c r="F41" i="46" s="1"/>
  <c r="B253" i="62"/>
  <c r="B252" i="62"/>
  <c r="B251" i="62"/>
  <c r="B250" i="62"/>
  <c r="B246" i="62"/>
  <c r="B245" i="62"/>
  <c r="B244" i="62"/>
  <c r="B242" i="62"/>
  <c r="B243" i="62"/>
  <c r="F11" i="52" l="1"/>
  <c r="A15" i="45" l="1"/>
  <c r="L14" i="46" l="1"/>
  <c r="K14" i="46"/>
  <c r="J14" i="46"/>
  <c r="I14" i="46"/>
  <c r="H14" i="46"/>
  <c r="G14" i="46"/>
  <c r="A14" i="46"/>
  <c r="A13" i="46"/>
  <c r="A23" i="45"/>
  <c r="A22" i="45"/>
  <c r="A20" i="45"/>
  <c r="A19" i="45"/>
  <c r="A18" i="45"/>
  <c r="A17" i="45"/>
  <c r="A42" i="45"/>
  <c r="A43" i="45"/>
  <c r="A44" i="45"/>
  <c r="A45" i="45"/>
  <c r="A46" i="45"/>
  <c r="A47" i="45"/>
  <c r="A69" i="41"/>
  <c r="A68" i="41"/>
  <c r="A67" i="41"/>
  <c r="A66" i="41"/>
  <c r="A65" i="41"/>
  <c r="A64" i="41"/>
  <c r="A63" i="41"/>
  <c r="A62" i="41"/>
  <c r="A61" i="41"/>
  <c r="A60" i="41"/>
  <c r="A45" i="41"/>
  <c r="A42" i="41"/>
  <c r="A41" i="41"/>
  <c r="A40" i="41"/>
  <c r="A39" i="41"/>
  <c r="A38" i="41"/>
  <c r="A37" i="41"/>
  <c r="A36" i="41"/>
  <c r="A35" i="41"/>
  <c r="A79" i="45" l="1"/>
  <c r="A78" i="45"/>
  <c r="A77" i="45"/>
  <c r="A76" i="45"/>
  <c r="A75" i="45"/>
  <c r="A74" i="45"/>
  <c r="A73" i="45"/>
  <c r="A72" i="45"/>
  <c r="A71" i="45"/>
  <c r="A70" i="45"/>
  <c r="A69" i="45"/>
  <c r="A68" i="45"/>
  <c r="A67" i="45"/>
  <c r="A66" i="45"/>
  <c r="A65" i="45"/>
  <c r="A64" i="45"/>
  <c r="A62" i="45"/>
  <c r="A61" i="45"/>
  <c r="A60" i="45"/>
  <c r="A59" i="45"/>
  <c r="A58" i="45"/>
  <c r="A57" i="45"/>
  <c r="A56" i="45"/>
  <c r="A55" i="45"/>
  <c r="A54" i="45"/>
  <c r="A53" i="45"/>
  <c r="A52" i="45"/>
  <c r="A51" i="45"/>
  <c r="A50" i="45"/>
  <c r="A49" i="45"/>
  <c r="A48" i="45"/>
  <c r="A41" i="45"/>
  <c r="A40" i="45"/>
  <c r="A39" i="45"/>
  <c r="A38" i="45"/>
  <c r="A37" i="45"/>
  <c r="A36" i="45"/>
  <c r="A35" i="45"/>
  <c r="A34" i="45"/>
  <c r="A33" i="45"/>
  <c r="A32" i="45"/>
  <c r="A31" i="45"/>
  <c r="A30" i="45"/>
  <c r="A29" i="45"/>
  <c r="A28" i="45"/>
  <c r="A27" i="45"/>
  <c r="A26" i="45"/>
  <c r="A25" i="45"/>
  <c r="A24" i="45"/>
  <c r="A16" i="45"/>
  <c r="A14" i="45"/>
  <c r="A13" i="45"/>
  <c r="A12" i="45"/>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5" i="46"/>
  <c r="A34" i="46"/>
  <c r="A33" i="46"/>
  <c r="A32" i="46"/>
  <c r="A31" i="46"/>
  <c r="A30" i="46"/>
  <c r="A29" i="46"/>
  <c r="A28" i="46"/>
  <c r="A27" i="46"/>
  <c r="A26" i="46"/>
  <c r="A25" i="46"/>
  <c r="A24" i="46"/>
  <c r="A23" i="46"/>
  <c r="A22" i="46"/>
  <c r="A21" i="46"/>
  <c r="A20" i="46"/>
  <c r="A19" i="46"/>
  <c r="A18" i="46"/>
  <c r="A17" i="46"/>
  <c r="A16" i="46"/>
  <c r="A11" i="46"/>
  <c r="A10" i="46"/>
  <c r="A9" i="46"/>
  <c r="B28" i="52"/>
  <c r="B27" i="52"/>
  <c r="B26" i="52"/>
  <c r="B24" i="52"/>
  <c r="B23" i="52"/>
  <c r="B22" i="52"/>
  <c r="B21" i="52"/>
  <c r="B20" i="52"/>
  <c r="B19" i="52"/>
  <c r="B18" i="52"/>
  <c r="B17" i="52"/>
  <c r="B16" i="52"/>
  <c r="B15" i="52"/>
  <c r="B14" i="52"/>
  <c r="B13" i="52"/>
  <c r="B12" i="52"/>
  <c r="B11" i="52"/>
  <c r="B10" i="52"/>
  <c r="B9" i="52"/>
  <c r="A81" i="18"/>
  <c r="A80" i="18"/>
  <c r="A79" i="18"/>
  <c r="A78" i="18"/>
  <c r="A77" i="18"/>
  <c r="A76" i="18"/>
  <c r="A75" i="18"/>
  <c r="A74" i="18"/>
  <c r="A56" i="18"/>
  <c r="A55" i="18"/>
  <c r="A54" i="18"/>
  <c r="A53" i="18"/>
  <c r="A51" i="18"/>
  <c r="A50" i="18"/>
  <c r="A49" i="18"/>
  <c r="A48" i="18"/>
  <c r="A47" i="18"/>
  <c r="A46" i="18"/>
  <c r="A45" i="18"/>
  <c r="A44" i="18"/>
  <c r="A43" i="18"/>
  <c r="A42" i="18"/>
  <c r="A41" i="18"/>
  <c r="A32" i="18"/>
  <c r="A31" i="18"/>
  <c r="A30" i="18"/>
  <c r="A29" i="18"/>
  <c r="A28" i="18"/>
  <c r="A27" i="18"/>
  <c r="A26" i="18"/>
  <c r="A24" i="18"/>
  <c r="A23" i="18"/>
  <c r="A22" i="18"/>
  <c r="A21" i="18"/>
  <c r="A20" i="18"/>
  <c r="A19" i="18"/>
  <c r="A18" i="18"/>
  <c r="A17" i="18"/>
  <c r="A16" i="18"/>
  <c r="A15" i="18"/>
  <c r="A14" i="18"/>
  <c r="A13" i="18"/>
  <c r="A12" i="18"/>
  <c r="A10" i="18"/>
  <c r="A9" i="18"/>
  <c r="A31" i="41"/>
  <c r="A30" i="41"/>
  <c r="A29" i="41"/>
  <c r="A28" i="41"/>
  <c r="A27" i="41"/>
  <c r="A26" i="41"/>
  <c r="A25" i="41"/>
  <c r="A24" i="41"/>
  <c r="A23" i="41"/>
  <c r="A22" i="41"/>
  <c r="A21" i="41"/>
  <c r="A20" i="41"/>
  <c r="A19" i="41"/>
  <c r="A18" i="41"/>
  <c r="A17" i="41"/>
  <c r="A16" i="41"/>
  <c r="A15" i="41"/>
  <c r="A14" i="41"/>
  <c r="A13" i="41"/>
  <c r="A12" i="41"/>
  <c r="A11" i="41"/>
  <c r="A10" i="41"/>
  <c r="A48" i="38"/>
  <c r="A47" i="38"/>
  <c r="A46" i="38"/>
  <c r="A45" i="38"/>
  <c r="A43" i="38"/>
  <c r="A42" i="38"/>
  <c r="A41" i="38"/>
  <c r="A40" i="38"/>
  <c r="A39" i="38"/>
  <c r="A38" i="38"/>
  <c r="A37" i="38"/>
  <c r="A36" i="38"/>
  <c r="A35" i="38"/>
  <c r="A34" i="38"/>
  <c r="A33" i="38"/>
  <c r="A32" i="38"/>
  <c r="A31" i="38"/>
  <c r="A30" i="38"/>
  <c r="A29" i="38"/>
  <c r="A28" i="38"/>
  <c r="A27" i="38"/>
  <c r="A26" i="38"/>
  <c r="A25" i="38"/>
  <c r="A24" i="38"/>
  <c r="A23" i="38"/>
  <c r="A22" i="38"/>
  <c r="A20" i="38"/>
  <c r="A19" i="38"/>
  <c r="A18" i="38"/>
  <c r="A17" i="38"/>
  <c r="A16" i="38"/>
  <c r="A192" i="61"/>
  <c r="A191" i="61"/>
  <c r="A190" i="61"/>
  <c r="A189" i="61"/>
  <c r="A188" i="61"/>
  <c r="A187" i="61"/>
  <c r="A186" i="61"/>
  <c r="A185" i="61"/>
  <c r="A184" i="61"/>
  <c r="A183" i="61"/>
  <c r="A182" i="61"/>
  <c r="A181" i="61"/>
  <c r="A180" i="61"/>
  <c r="A179" i="61"/>
  <c r="A178" i="61"/>
  <c r="A177" i="61"/>
  <c r="A176" i="61"/>
  <c r="A175" i="61"/>
  <c r="A174" i="61"/>
  <c r="A173" i="61"/>
  <c r="A172" i="61"/>
  <c r="A171" i="61"/>
  <c r="A170" i="61"/>
  <c r="A169" i="61"/>
  <c r="A168" i="61"/>
  <c r="A167" i="61"/>
  <c r="A166" i="61"/>
  <c r="A165" i="61"/>
  <c r="A164" i="61"/>
  <c r="A163" i="61"/>
  <c r="A162" i="61"/>
  <c r="A161" i="61"/>
  <c r="A160" i="61"/>
  <c r="A159" i="61"/>
  <c r="A158" i="61"/>
  <c r="A157" i="61"/>
  <c r="A156" i="61"/>
  <c r="A155" i="61"/>
  <c r="A154" i="61"/>
  <c r="A153" i="61"/>
  <c r="A152" i="61"/>
  <c r="A151" i="61"/>
  <c r="A150" i="61"/>
  <c r="A149" i="61"/>
  <c r="A148" i="61"/>
  <c r="A147" i="61"/>
  <c r="A146" i="61"/>
  <c r="A145" i="61"/>
  <c r="A144" i="61"/>
  <c r="A143" i="61"/>
  <c r="A142" i="61"/>
  <c r="A140" i="61"/>
  <c r="A109" i="61"/>
  <c r="A108" i="61"/>
  <c r="A107" i="61"/>
  <c r="A106" i="61"/>
  <c r="A105" i="61"/>
  <c r="A104" i="61"/>
  <c r="A103" i="61"/>
  <c r="A102" i="61"/>
  <c r="A98" i="61"/>
  <c r="A97" i="61"/>
  <c r="A96" i="61"/>
  <c r="A95" i="61"/>
  <c r="A94" i="61"/>
  <c r="A93" i="61"/>
  <c r="A92" i="61"/>
  <c r="A91" i="61"/>
  <c r="A90" i="61"/>
  <c r="A89" i="61"/>
  <c r="A88" i="61"/>
  <c r="A87" i="61"/>
  <c r="A86" i="61"/>
  <c r="A85" i="61"/>
  <c r="A84" i="61"/>
  <c r="A83" i="61"/>
  <c r="A82" i="61"/>
  <c r="A81" i="61"/>
  <c r="A80" i="61"/>
  <c r="A79" i="61"/>
  <c r="A77" i="61"/>
  <c r="A76" i="61"/>
  <c r="A75" i="61"/>
  <c r="A74" i="61"/>
  <c r="A73" i="61"/>
  <c r="A72" i="61"/>
  <c r="A71" i="61"/>
  <c r="A70" i="61"/>
  <c r="A69" i="61"/>
  <c r="A68" i="61"/>
  <c r="A67" i="61"/>
  <c r="A66" i="61"/>
  <c r="A65" i="61"/>
  <c r="A64" i="61"/>
  <c r="A63" i="61"/>
  <c r="A62" i="61"/>
  <c r="A61" i="61"/>
  <c r="A60" i="61"/>
  <c r="A59" i="61"/>
  <c r="A58" i="61"/>
  <c r="A57" i="61"/>
  <c r="A56" i="61"/>
  <c r="A55" i="61"/>
  <c r="A54" i="61"/>
  <c r="A53" i="61"/>
  <c r="A52" i="61"/>
  <c r="A51" i="61"/>
  <c r="A50" i="61"/>
  <c r="A49" i="61"/>
  <c r="A48" i="61"/>
  <c r="A47" i="61"/>
  <c r="A46" i="61"/>
  <c r="A45" i="61"/>
  <c r="A44" i="61"/>
  <c r="A43" i="61"/>
  <c r="A42" i="61"/>
  <c r="A41" i="61"/>
  <c r="A40" i="61"/>
  <c r="A39" i="61"/>
  <c r="A38" i="61"/>
  <c r="A37" i="61"/>
  <c r="A36" i="61"/>
  <c r="A35" i="61"/>
  <c r="A34" i="61"/>
  <c r="A33" i="61"/>
  <c r="A32" i="61"/>
  <c r="A31" i="61"/>
  <c r="A30" i="61"/>
  <c r="A29" i="61"/>
  <c r="A28" i="61"/>
  <c r="A27" i="61"/>
  <c r="A26" i="61"/>
  <c r="A25" i="61"/>
  <c r="A24" i="61"/>
  <c r="A23" i="61"/>
  <c r="A22" i="61"/>
  <c r="A21" i="61"/>
  <c r="A20" i="61"/>
  <c r="A19" i="61"/>
  <c r="A18" i="61"/>
  <c r="A17" i="61"/>
  <c r="A16" i="61"/>
  <c r="A15" i="61"/>
  <c r="A14" i="61"/>
  <c r="A13" i="61"/>
  <c r="A457" i="62"/>
  <c r="A456" i="62"/>
  <c r="A455" i="62"/>
  <c r="A454" i="62"/>
  <c r="A453" i="62"/>
  <c r="A452" i="62"/>
  <c r="A451"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99" i="62"/>
  <c r="A198" i="62"/>
  <c r="A197" i="62"/>
  <c r="A196" i="62"/>
  <c r="A195" i="62"/>
  <c r="A194" i="62"/>
  <c r="A193" i="62"/>
  <c r="A192" i="62"/>
  <c r="A191" i="62"/>
  <c r="A190" i="62"/>
  <c r="A189" i="62"/>
  <c r="A188" i="62"/>
  <c r="A187" i="62"/>
  <c r="A186" i="62"/>
  <c r="A185" i="62"/>
  <c r="A184" i="62"/>
  <c r="A183" i="62"/>
  <c r="A182" i="62"/>
  <c r="A181" i="62"/>
  <c r="A180" i="62"/>
  <c r="A179" i="62"/>
  <c r="A178" i="62"/>
  <c r="A177" i="62"/>
  <c r="A176" i="62"/>
  <c r="A175" i="62"/>
  <c r="A174" i="62"/>
  <c r="A173" i="62"/>
  <c r="A172" i="62"/>
  <c r="A171" i="62"/>
  <c r="A170" i="62"/>
  <c r="A169" i="62"/>
  <c r="A168" i="62"/>
  <c r="A167" i="62"/>
  <c r="A166" i="62"/>
  <c r="A165" i="62"/>
  <c r="A164" i="62"/>
  <c r="A163" i="62"/>
  <c r="A162" i="62"/>
  <c r="A161" i="62"/>
  <c r="A160" i="62"/>
  <c r="A159" i="62"/>
  <c r="A158" i="62"/>
  <c r="A157" i="62"/>
  <c r="A156" i="62"/>
  <c r="A155" i="62"/>
  <c r="A154" i="62"/>
  <c r="A153" i="62"/>
  <c r="A152" i="62"/>
  <c r="A151" i="62"/>
  <c r="A150" i="62"/>
  <c r="A149" i="62"/>
  <c r="A148" i="62"/>
  <c r="A147" i="62"/>
  <c r="A146" i="62"/>
  <c r="A145" i="62"/>
  <c r="A144" i="62"/>
  <c r="A143" i="62"/>
  <c r="A142" i="62"/>
  <c r="A141" i="62"/>
  <c r="A140" i="62"/>
  <c r="A139" i="62"/>
  <c r="A138" i="62"/>
  <c r="A137" i="62"/>
  <c r="A136" i="62"/>
  <c r="A135" i="62"/>
  <c r="A134" i="62"/>
  <c r="A133" i="62"/>
  <c r="A132" i="62"/>
  <c r="A131" i="62"/>
  <c r="A130" i="62"/>
  <c r="A129" i="62"/>
  <c r="A128" i="62"/>
  <c r="A127" i="62"/>
  <c r="A126" i="62"/>
  <c r="A125" i="62"/>
  <c r="A124" i="62"/>
  <c r="A123" i="62"/>
  <c r="A122" i="62"/>
  <c r="A121" i="62"/>
  <c r="A120" i="62"/>
  <c r="A119" i="62"/>
  <c r="A118" i="62"/>
  <c r="A117" i="62"/>
  <c r="A116" i="62"/>
  <c r="A115" i="62"/>
  <c r="A114" i="62"/>
  <c r="A113" i="62"/>
  <c r="A112" i="62"/>
  <c r="A111" i="62"/>
  <c r="A110" i="62"/>
  <c r="A109"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0" i="62"/>
  <c r="A29" i="62"/>
  <c r="A28" i="62"/>
  <c r="A27" i="62"/>
  <c r="A26" i="62"/>
  <c r="A25" i="62"/>
  <c r="A24" i="62"/>
  <c r="A23" i="62"/>
  <c r="A22" i="62"/>
  <c r="A21" i="62"/>
  <c r="A20" i="62"/>
  <c r="A19" i="62"/>
  <c r="A15" i="62"/>
  <c r="A14" i="62"/>
  <c r="A12" i="34" l="1"/>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27" i="34"/>
  <c r="A26" i="34"/>
  <c r="A25" i="34"/>
  <c r="A24" i="34"/>
  <c r="A23" i="34"/>
  <c r="A22" i="34"/>
  <c r="A21" i="34"/>
  <c r="A20" i="34"/>
  <c r="A19" i="34"/>
  <c r="A18" i="34"/>
  <c r="A17" i="34"/>
  <c r="A16" i="34"/>
  <c r="A15" i="34"/>
  <c r="A14" i="34"/>
  <c r="A13" i="34"/>
  <c r="A11" i="34"/>
  <c r="A10" i="34"/>
  <c r="A130" i="13" l="1"/>
  <c r="A129" i="13"/>
  <c r="A128" i="13"/>
  <c r="A127" i="13"/>
  <c r="A126" i="13"/>
  <c r="A125" i="13"/>
  <c r="A123" i="13"/>
  <c r="A122" i="13"/>
  <c r="A120" i="13"/>
  <c r="A119" i="13"/>
  <c r="A105" i="13"/>
  <c r="A104" i="13"/>
  <c r="A103" i="13"/>
  <c r="A102" i="13"/>
  <c r="A101" i="13"/>
  <c r="A100" i="13"/>
  <c r="A99" i="13"/>
  <c r="A38" i="13"/>
  <c r="A37" i="13"/>
  <c r="A36" i="13"/>
  <c r="A35" i="13"/>
  <c r="A34" i="13"/>
  <c r="A33" i="13"/>
  <c r="A32" i="13"/>
  <c r="A31" i="13"/>
  <c r="A30" i="13"/>
  <c r="A29" i="13"/>
  <c r="A28" i="13"/>
  <c r="A27" i="13"/>
  <c r="A26" i="13"/>
  <c r="A25" i="13"/>
  <c r="A24" i="13"/>
  <c r="A23" i="13"/>
  <c r="A22" i="13"/>
  <c r="A21" i="13"/>
  <c r="A20" i="13"/>
  <c r="A19" i="13"/>
  <c r="A18" i="13"/>
  <c r="A17" i="13"/>
  <c r="A16" i="13"/>
  <c r="A15" i="13"/>
  <c r="A13" i="13"/>
  <c r="A12" i="13"/>
  <c r="A11" i="13"/>
  <c r="E22" i="47" l="1"/>
  <c r="G66" i="61" l="1"/>
  <c r="H66" i="61"/>
  <c r="I66" i="61"/>
  <c r="J66" i="61"/>
  <c r="K66" i="61"/>
  <c r="L66" i="61"/>
  <c r="L35" i="13"/>
  <c r="K35" i="13"/>
  <c r="I30" i="74" s="1"/>
  <c r="J35" i="13"/>
  <c r="H30" i="74" s="1"/>
  <c r="I35" i="13"/>
  <c r="G30" i="74" s="1"/>
  <c r="H35" i="13"/>
  <c r="F30" i="74" s="1"/>
  <c r="A2" i="63"/>
  <c r="A4" i="63"/>
  <c r="I90" i="74" l="1"/>
  <c r="I89" i="74"/>
  <c r="I88" i="74"/>
  <c r="J29" i="74"/>
  <c r="I31" i="74"/>
  <c r="I32" i="74" s="1"/>
  <c r="I241" i="74"/>
  <c r="H31" i="74"/>
  <c r="H241" i="74"/>
  <c r="H90" i="74"/>
  <c r="H32" i="74"/>
  <c r="H89" i="74"/>
  <c r="H88" i="74"/>
  <c r="I29" i="74"/>
  <c r="G31" i="74"/>
  <c r="G89" i="74"/>
  <c r="G88" i="74"/>
  <c r="G241" i="74"/>
  <c r="G32" i="74"/>
  <c r="H29" i="74"/>
  <c r="G90" i="74"/>
  <c r="F241" i="74"/>
  <c r="G29" i="74"/>
  <c r="F29" i="74"/>
  <c r="F88" i="74"/>
  <c r="F90" i="74"/>
  <c r="F31" i="74"/>
  <c r="F32" i="74" s="1"/>
  <c r="F89" i="74"/>
  <c r="L81" i="13"/>
  <c r="L78" i="61"/>
  <c r="M200" i="62"/>
  <c r="M98" i="62"/>
  <c r="L89" i="61"/>
  <c r="M111" i="62"/>
  <c r="K81" i="13"/>
  <c r="K89" i="61"/>
  <c r="K78" i="61"/>
  <c r="L200" i="62"/>
  <c r="L111" i="62"/>
  <c r="L98" i="62"/>
  <c r="J81" i="13"/>
  <c r="J78" i="61"/>
  <c r="K200" i="62"/>
  <c r="K98" i="62"/>
  <c r="J89" i="61"/>
  <c r="K111" i="62"/>
  <c r="I81" i="13"/>
  <c r="I89" i="61"/>
  <c r="I78" i="61"/>
  <c r="J200" i="62"/>
  <c r="J111" i="62"/>
  <c r="J98" i="62"/>
  <c r="H81" i="13"/>
  <c r="H78" i="61"/>
  <c r="I200" i="62"/>
  <c r="I98" i="62"/>
  <c r="H89" i="61"/>
  <c r="I111" i="62"/>
  <c r="H19" i="67"/>
  <c r="H124" i="13"/>
  <c r="K19" i="67"/>
  <c r="K124" i="13"/>
  <c r="L19" i="67"/>
  <c r="L108" i="67" s="1"/>
  <c r="L124" i="13"/>
  <c r="I19" i="67"/>
  <c r="I124" i="13"/>
  <c r="J19" i="67"/>
  <c r="J108" i="67" s="1"/>
  <c r="J124" i="13"/>
  <c r="H47" i="13"/>
  <c r="H44" i="13"/>
  <c r="I107" i="62" s="1"/>
  <c r="H46" i="13"/>
  <c r="H45" i="13"/>
  <c r="K47" i="13"/>
  <c r="K44" i="13"/>
  <c r="L107" i="62" s="1"/>
  <c r="K46" i="13"/>
  <c r="K45" i="13"/>
  <c r="L44" i="13"/>
  <c r="M107" i="62" s="1"/>
  <c r="L47" i="13"/>
  <c r="L45" i="13"/>
  <c r="L46" i="13"/>
  <c r="I44" i="13"/>
  <c r="J107" i="62" s="1"/>
  <c r="I45" i="13"/>
  <c r="I47" i="13"/>
  <c r="I46" i="13"/>
  <c r="J44" i="13"/>
  <c r="K107" i="62" s="1"/>
  <c r="J45" i="13"/>
  <c r="J46" i="13"/>
  <c r="J47" i="13"/>
  <c r="H61" i="13"/>
  <c r="I77" i="13" s="1"/>
  <c r="I111" i="13" s="1"/>
  <c r="I23" i="18" s="1"/>
  <c r="K61" i="13"/>
  <c r="L77" i="13" s="1"/>
  <c r="L111" i="13" s="1"/>
  <c r="L23" i="18" s="1"/>
  <c r="L61" i="13"/>
  <c r="I61" i="13"/>
  <c r="J77" i="13" s="1"/>
  <c r="J111" i="13" s="1"/>
  <c r="J23" i="18" s="1"/>
  <c r="J61" i="13"/>
  <c r="K77" i="13" s="1"/>
  <c r="K111" i="13" s="1"/>
  <c r="K23" i="18" s="1"/>
  <c r="L106" i="13"/>
  <c r="J106" i="13"/>
  <c r="H106" i="13"/>
  <c r="K106" i="13"/>
  <c r="I106" i="13"/>
  <c r="I234" i="74" l="1"/>
  <c r="I36" i="74"/>
  <c r="I242" i="74"/>
  <c r="I235" i="74" s="1"/>
  <c r="I250" i="74" s="1"/>
  <c r="I258" i="74" s="1"/>
  <c r="I266" i="74" s="1"/>
  <c r="I38" i="74"/>
  <c r="H234" i="74"/>
  <c r="H38" i="74"/>
  <c r="H242" i="74"/>
  <c r="H235" i="74" s="1"/>
  <c r="H250" i="74" s="1"/>
  <c r="H258" i="74" s="1"/>
  <c r="H266" i="74" s="1"/>
  <c r="H36" i="74"/>
  <c r="G234" i="74"/>
  <c r="G38" i="74"/>
  <c r="G36" i="74"/>
  <c r="G39" i="74"/>
  <c r="G242" i="74"/>
  <c r="G235" i="74" s="1"/>
  <c r="G250" i="74" s="1"/>
  <c r="G258" i="74" s="1"/>
  <c r="G266" i="74" s="1"/>
  <c r="F242" i="74"/>
  <c r="F235" i="74" s="1"/>
  <c r="F250" i="74" s="1"/>
  <c r="F258" i="74" s="1"/>
  <c r="F266" i="74" s="1"/>
  <c r="F36" i="74"/>
  <c r="F38" i="74"/>
  <c r="F243" i="74"/>
  <c r="F234" i="74"/>
  <c r="L120" i="67"/>
  <c r="H108" i="67"/>
  <c r="H120" i="67"/>
  <c r="I22" i="67"/>
  <c r="J120" i="67"/>
  <c r="K22" i="67"/>
  <c r="J22" i="67"/>
  <c r="L22" i="67"/>
  <c r="I108" i="67"/>
  <c r="I120" i="67"/>
  <c r="K108" i="67"/>
  <c r="K120" i="67"/>
  <c r="J94" i="67"/>
  <c r="I94" i="67"/>
  <c r="K94" i="67"/>
  <c r="L94" i="67"/>
  <c r="M453" i="62"/>
  <c r="M25" i="62" s="1"/>
  <c r="L453" i="62"/>
  <c r="L25" i="62" s="1"/>
  <c r="K453" i="62"/>
  <c r="K25" i="62" s="1"/>
  <c r="H453" i="62"/>
  <c r="H25" i="62" s="1"/>
  <c r="G453" i="62"/>
  <c r="G25" i="62" s="1"/>
  <c r="I43" i="74" l="1"/>
  <c r="I41" i="74"/>
  <c r="I42" i="74"/>
  <c r="I39" i="74"/>
  <c r="I37" i="74"/>
  <c r="J35" i="74"/>
  <c r="I236" i="74"/>
  <c r="I249" i="74"/>
  <c r="I257" i="74" s="1"/>
  <c r="I265" i="74" s="1"/>
  <c r="I243" i="74"/>
  <c r="H37" i="74"/>
  <c r="I35" i="74"/>
  <c r="H42" i="74"/>
  <c r="H43" i="74"/>
  <c r="H41" i="74"/>
  <c r="H39" i="74"/>
  <c r="H243" i="74"/>
  <c r="H236" i="74"/>
  <c r="H249" i="74"/>
  <c r="G37" i="74"/>
  <c r="H35" i="74"/>
  <c r="G41" i="74"/>
  <c r="G43" i="74"/>
  <c r="G42" i="74"/>
  <c r="G236" i="74"/>
  <c r="G249" i="74"/>
  <c r="G243" i="74"/>
  <c r="F249" i="74"/>
  <c r="F236" i="74"/>
  <c r="F42" i="74"/>
  <c r="F41" i="74"/>
  <c r="F43" i="74"/>
  <c r="F420" i="74"/>
  <c r="F406" i="74"/>
  <c r="F413" i="74"/>
  <c r="F421" i="74"/>
  <c r="I418" i="74"/>
  <c r="H417" i="74"/>
  <c r="F404" i="74"/>
  <c r="F410" i="74" s="1"/>
  <c r="G416" i="74"/>
  <c r="F415" i="74"/>
  <c r="F39" i="74"/>
  <c r="G35" i="74"/>
  <c r="F35" i="74"/>
  <c r="F37" i="74"/>
  <c r="L49" i="13"/>
  <c r="K49" i="13"/>
  <c r="J49" i="13"/>
  <c r="H49" i="13"/>
  <c r="I49" i="13"/>
  <c r="L76" i="18"/>
  <c r="K76" i="18"/>
  <c r="J76" i="18"/>
  <c r="I76" i="18"/>
  <c r="H76" i="18"/>
  <c r="G76" i="18"/>
  <c r="F76" i="18"/>
  <c r="L418" i="74" l="1"/>
  <c r="K417" i="74"/>
  <c r="J416" i="74"/>
  <c r="I415" i="74"/>
  <c r="L411" i="74"/>
  <c r="I406" i="74"/>
  <c r="I413" i="74"/>
  <c r="I421" i="74"/>
  <c r="I425" i="74" s="1"/>
  <c r="I237" i="74" s="1"/>
  <c r="I420" i="74"/>
  <c r="H421" i="74"/>
  <c r="H425" i="74" s="1"/>
  <c r="H237" i="74" s="1"/>
  <c r="K418" i="74"/>
  <c r="H413" i="74"/>
  <c r="J417" i="74"/>
  <c r="H415" i="74"/>
  <c r="K411" i="74"/>
  <c r="I416" i="74"/>
  <c r="H406" i="74"/>
  <c r="H420" i="74"/>
  <c r="J251" i="74"/>
  <c r="J252" i="74" s="1"/>
  <c r="H257" i="74"/>
  <c r="J418" i="74"/>
  <c r="I417" i="74"/>
  <c r="J411" i="74"/>
  <c r="H416" i="74"/>
  <c r="G406" i="74"/>
  <c r="G415" i="74"/>
  <c r="G413" i="74"/>
  <c r="G421" i="74"/>
  <c r="H422" i="74" s="1"/>
  <c r="H244" i="74" s="1"/>
  <c r="G420" i="74"/>
  <c r="H411" i="74"/>
  <c r="G257" i="74"/>
  <c r="I251" i="74"/>
  <c r="I252" i="74" s="1"/>
  <c r="I411" i="74"/>
  <c r="I409" i="74"/>
  <c r="H408" i="74"/>
  <c r="F405" i="74"/>
  <c r="F411" i="74" s="1"/>
  <c r="G407" i="74"/>
  <c r="F423" i="74"/>
  <c r="F424" i="74"/>
  <c r="I422" i="74"/>
  <c r="I244" i="74" s="1"/>
  <c r="G422" i="74"/>
  <c r="G244" i="74" s="1"/>
  <c r="F422" i="74"/>
  <c r="F244" i="74" s="1"/>
  <c r="F425" i="74"/>
  <c r="F237" i="74" s="1"/>
  <c r="F257" i="74"/>
  <c r="G251" i="74"/>
  <c r="G252" i="74" s="1"/>
  <c r="H251" i="74"/>
  <c r="H252" i="74" s="1"/>
  <c r="F251" i="74"/>
  <c r="F252" i="74" s="1"/>
  <c r="A51" i="38"/>
  <c r="A52" i="38"/>
  <c r="A57" i="38"/>
  <c r="J407" i="74" l="1"/>
  <c r="L409" i="74"/>
  <c r="K408" i="74"/>
  <c r="K410" i="74" s="1"/>
  <c r="J408" i="74"/>
  <c r="I407" i="74"/>
  <c r="K409" i="74"/>
  <c r="H265" i="74"/>
  <c r="J267" i="74" s="1"/>
  <c r="J268" i="74" s="1"/>
  <c r="J259" i="74"/>
  <c r="J260" i="74" s="1"/>
  <c r="J422" i="74"/>
  <c r="J244" i="74" s="1"/>
  <c r="G425" i="74"/>
  <c r="G237" i="74" s="1"/>
  <c r="J409" i="74"/>
  <c r="G405" i="74"/>
  <c r="I408" i="74"/>
  <c r="I410" i="74" s="1"/>
  <c r="H407" i="74"/>
  <c r="H410" i="74" s="1"/>
  <c r="I259" i="74"/>
  <c r="I260" i="74" s="1"/>
  <c r="G265" i="74"/>
  <c r="I267" i="74" s="1"/>
  <c r="I268" i="74" s="1"/>
  <c r="G410" i="74"/>
  <c r="G424" i="74" s="1"/>
  <c r="H259" i="74"/>
  <c r="H260" i="74" s="1"/>
  <c r="F265" i="74"/>
  <c r="F259" i="74"/>
  <c r="F260" i="74" s="1"/>
  <c r="G259" i="74"/>
  <c r="G260" i="74" s="1"/>
  <c r="F136" i="38"/>
  <c r="J410" i="74" l="1"/>
  <c r="J424" i="74" s="1"/>
  <c r="H423" i="74"/>
  <c r="H424" i="74"/>
  <c r="I424" i="74"/>
  <c r="I423" i="74"/>
  <c r="G423" i="74"/>
  <c r="F267" i="74"/>
  <c r="F268" i="74" s="1"/>
  <c r="H267" i="74"/>
  <c r="H268" i="74" s="1"/>
  <c r="G267" i="74"/>
  <c r="G268" i="74" s="1"/>
  <c r="J453" i="62"/>
  <c r="J25" i="62" s="1"/>
  <c r="I453" i="62"/>
  <c r="I25" i="62" s="1"/>
  <c r="J423" i="74" l="1"/>
  <c r="L29" i="18"/>
  <c r="L67" i="67" s="1"/>
  <c r="K29" i="18"/>
  <c r="K67" i="67" s="1"/>
  <c r="J29" i="18"/>
  <c r="J67" i="67" s="1"/>
  <c r="I29" i="18"/>
  <c r="I67" i="67" s="1"/>
  <c r="H29" i="18"/>
  <c r="H67" i="67" s="1"/>
  <c r="G29" i="18"/>
  <c r="G67" i="67" s="1"/>
  <c r="F29" i="18"/>
  <c r="F67" i="67" s="1"/>
  <c r="C139" i="13"/>
  <c r="C138" i="13"/>
  <c r="C137" i="13"/>
  <c r="C136" i="13"/>
  <c r="C135" i="13"/>
  <c r="C134" i="13"/>
  <c r="C132" i="13"/>
  <c r="C130" i="13"/>
  <c r="F177" i="61"/>
  <c r="F179" i="61" s="1"/>
  <c r="I101" i="67" l="1"/>
  <c r="J101" i="67"/>
  <c r="K101" i="67"/>
  <c r="H101" i="67"/>
  <c r="L101" i="67"/>
  <c r="D29" i="18"/>
  <c r="C29" i="18"/>
  <c r="F192" i="61" l="1"/>
  <c r="L192" i="61"/>
  <c r="K192" i="61"/>
  <c r="J192" i="61"/>
  <c r="I192" i="61"/>
  <c r="H192" i="61"/>
  <c r="G192" i="61"/>
  <c r="C43" i="38" l="1"/>
  <c r="C192" i="61"/>
  <c r="A4" i="66"/>
  <c r="G31" i="46" l="1"/>
  <c r="G32" i="46"/>
  <c r="G30" i="46"/>
  <c r="G25" i="46"/>
  <c r="G29" i="46"/>
  <c r="H29" i="46" s="1"/>
  <c r="I29" i="46" s="1"/>
  <c r="J29" i="46" s="1"/>
  <c r="K29" i="46" s="1"/>
  <c r="L29" i="46" s="1"/>
  <c r="E29" i="46" s="1"/>
  <c r="G28" i="46"/>
  <c r="E28" i="46" l="1"/>
  <c r="E7" i="39"/>
  <c r="I12" i="48"/>
  <c r="G10" i="13"/>
  <c r="F10" i="45" s="1"/>
  <c r="G11" i="13" l="1"/>
  <c r="F140"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66" i="38"/>
  <c r="A68" i="38"/>
  <c r="A67" i="38"/>
  <c r="A63" i="38"/>
  <c r="A62" i="38"/>
  <c r="A61" i="38"/>
  <c r="A59" i="38"/>
  <c r="A58" i="38"/>
  <c r="A50" i="38"/>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H10" i="13" l="1"/>
  <c r="H11" i="13" s="1"/>
  <c r="G15" i="41"/>
  <c r="I10" i="13" l="1"/>
  <c r="I11" i="13" s="1"/>
  <c r="F15" i="41"/>
  <c r="AJ54" i="47" a="1"/>
  <c r="AJ54" i="47" s="1"/>
  <c r="AJ53" i="47" a="1"/>
  <c r="AJ53" i="47" s="1"/>
  <c r="AJ52" i="47" a="1"/>
  <c r="AJ52" i="47" s="1"/>
  <c r="AJ51" i="47" a="1"/>
  <c r="AJ51" i="47" s="1"/>
  <c r="AJ50" i="47" a="1"/>
  <c r="AJ50" i="47" s="1"/>
  <c r="AJ49" i="47" a="1"/>
  <c r="AJ49" i="47" s="1"/>
  <c r="AJ48" i="47" a="1"/>
  <c r="AJ48" i="47" s="1"/>
  <c r="AJ47" i="47" a="1"/>
  <c r="AJ47" i="47" s="1"/>
  <c r="AJ46" i="47" a="1"/>
  <c r="AJ46" i="47" s="1"/>
  <c r="AJ45" i="47" a="1"/>
  <c r="AJ45" i="47" s="1"/>
  <c r="AJ44" i="47" a="1"/>
  <c r="AJ44" i="47" s="1"/>
  <c r="AJ43" i="47" a="1"/>
  <c r="AJ43" i="47" s="1"/>
  <c r="AJ42" i="47" a="1"/>
  <c r="AJ42" i="47" s="1"/>
  <c r="AJ41" i="47" a="1"/>
  <c r="AJ41" i="47" s="1"/>
  <c r="AJ40" i="47" a="1"/>
  <c r="AJ40" i="47" s="1"/>
  <c r="AJ39" i="47" a="1"/>
  <c r="AJ39" i="47" s="1"/>
  <c r="AJ38" i="47" a="1"/>
  <c r="AJ38" i="47" s="1"/>
  <c r="AJ37" i="47" a="1"/>
  <c r="AJ37" i="47" s="1"/>
  <c r="AJ36" i="47" a="1"/>
  <c r="AJ36" i="47" s="1"/>
  <c r="AJ35" i="47" a="1"/>
  <c r="AJ35" i="47" s="1"/>
  <c r="AJ34" i="47" a="1"/>
  <c r="AJ34" i="47" s="1"/>
  <c r="AJ33" i="47" a="1"/>
  <c r="AJ33" i="47" s="1"/>
  <c r="AJ32" i="47" a="1"/>
  <c r="AJ32" i="47" s="1"/>
  <c r="AJ31" i="47" a="1"/>
  <c r="AJ31" i="47" s="1"/>
  <c r="AJ30" i="47" a="1"/>
  <c r="AJ30" i="47" s="1"/>
  <c r="AJ29" i="47" a="1"/>
  <c r="AJ29" i="47" s="1"/>
  <c r="AJ28" i="47" a="1"/>
  <c r="AJ28" i="47" s="1"/>
  <c r="AJ27" i="47" a="1"/>
  <c r="AJ27" i="47" s="1"/>
  <c r="AJ26" i="47" a="1"/>
  <c r="AJ26" i="47" s="1"/>
  <c r="AJ25" i="47" a="1"/>
  <c r="AJ25" i="47" s="1"/>
  <c r="AJ20" i="47" a="1"/>
  <c r="AJ20" i="47" s="1"/>
  <c r="AJ19" i="47" a="1"/>
  <c r="AJ19" i="47" s="1"/>
  <c r="AJ18" i="47" a="1"/>
  <c r="AJ18" i="47" s="1"/>
  <c r="AJ17" i="47" a="1"/>
  <c r="AJ17" i="47" s="1"/>
  <c r="AJ16" i="47" a="1"/>
  <c r="AJ16" i="47" s="1"/>
  <c r="AJ15" i="47" a="1"/>
  <c r="AJ15" i="47" s="1"/>
  <c r="AJ14" i="47" a="1"/>
  <c r="AJ14" i="47" s="1"/>
  <c r="AJ13" i="47" a="1"/>
  <c r="AJ13" i="47" s="1"/>
  <c r="AJ12" i="47" a="1"/>
  <c r="AJ12" i="47" s="1"/>
  <c r="AJ11" i="47" a="1"/>
  <c r="AJ11" i="47" s="1"/>
  <c r="AJ10" i="47" a="1"/>
  <c r="AJ10" i="47" s="1"/>
  <c r="AJ9" i="47" a="1"/>
  <c r="AJ9" i="47" s="1"/>
  <c r="AJ8" i="47" a="1"/>
  <c r="AJ8" i="47" s="1"/>
  <c r="AJ7" i="47" a="1"/>
  <c r="AJ7" i="47" s="1"/>
  <c r="AJ6" i="47" a="1"/>
  <c r="AJ6" i="47" s="1"/>
  <c r="AJ5" i="47" a="1"/>
  <c r="AJ5" i="47" s="1"/>
  <c r="AJ4" i="47" a="1"/>
  <c r="AJ4" i="47" s="1"/>
  <c r="AJ3" i="47" a="1"/>
  <c r="AJ3" i="47" s="1"/>
  <c r="AJ2" i="47" a="1"/>
  <c r="AJ2" i="47" s="1"/>
  <c r="AJ1" i="47" a="1"/>
  <c r="AJ1" i="47" s="1"/>
  <c r="AI54" i="47" a="1"/>
  <c r="AI54" i="47" s="1"/>
  <c r="AI53" i="47" a="1"/>
  <c r="AI53" i="47" s="1"/>
  <c r="AI52" i="47" a="1"/>
  <c r="AI52" i="47" s="1"/>
  <c r="AI51" i="47" a="1"/>
  <c r="AI51" i="47" s="1"/>
  <c r="AI50" i="47" a="1"/>
  <c r="AI50" i="47" s="1"/>
  <c r="AI49" i="47" a="1"/>
  <c r="AI49" i="47" s="1"/>
  <c r="AI48" i="47" a="1"/>
  <c r="AI48" i="47" s="1"/>
  <c r="AI47" i="47" a="1"/>
  <c r="AI47" i="47" s="1"/>
  <c r="AI46" i="47" a="1"/>
  <c r="AI46" i="47" s="1"/>
  <c r="AI45" i="47" a="1"/>
  <c r="AI45" i="47" s="1"/>
  <c r="AI44" i="47" a="1"/>
  <c r="AI44" i="47" s="1"/>
  <c r="AI43" i="47" a="1"/>
  <c r="AI43" i="47" s="1"/>
  <c r="AI42" i="47" a="1"/>
  <c r="AI42" i="47" s="1"/>
  <c r="AI41" i="47" a="1"/>
  <c r="AI41" i="47" s="1"/>
  <c r="AI40" i="47" a="1"/>
  <c r="AI40" i="47" s="1"/>
  <c r="AI39" i="47" a="1"/>
  <c r="AI39" i="47" s="1"/>
  <c r="AI38" i="47" a="1"/>
  <c r="AI38" i="47" s="1"/>
  <c r="AI37" i="47" a="1"/>
  <c r="AI37" i="47" s="1"/>
  <c r="AI36" i="47" a="1"/>
  <c r="AI36" i="47" s="1"/>
  <c r="AI35" i="47" a="1"/>
  <c r="AI35" i="47" s="1"/>
  <c r="AI34" i="47" a="1"/>
  <c r="AI34" i="47" s="1"/>
  <c r="AI33" i="47" a="1"/>
  <c r="AI33" i="47" s="1"/>
  <c r="AI32" i="47" a="1"/>
  <c r="AI32" i="47" s="1"/>
  <c r="AI31" i="47" a="1"/>
  <c r="AI31" i="47" s="1"/>
  <c r="AI30" i="47" a="1"/>
  <c r="AI30" i="47" s="1"/>
  <c r="AI29" i="47" a="1"/>
  <c r="AI29" i="47" s="1"/>
  <c r="AI28" i="47" a="1"/>
  <c r="AI28" i="47" s="1"/>
  <c r="AI27" i="47" a="1"/>
  <c r="AI27" i="47" s="1"/>
  <c r="AI26" i="47" a="1"/>
  <c r="AI26" i="47" s="1"/>
  <c r="AI25" i="47" a="1"/>
  <c r="AI25" i="47" s="1"/>
  <c r="AI20" i="47" a="1"/>
  <c r="AI20" i="47" s="1"/>
  <c r="AI19" i="47" a="1"/>
  <c r="AI19" i="47" s="1"/>
  <c r="AI18" i="47" a="1"/>
  <c r="AI18" i="47" s="1"/>
  <c r="AI17" i="47" a="1"/>
  <c r="AI17" i="47" s="1"/>
  <c r="AI16" i="47" a="1"/>
  <c r="AI16" i="47" s="1"/>
  <c r="AI15" i="47" a="1"/>
  <c r="AI15" i="47" s="1"/>
  <c r="AI14" i="47" a="1"/>
  <c r="AI14" i="47" s="1"/>
  <c r="AI13" i="47" a="1"/>
  <c r="AI13" i="47" s="1"/>
  <c r="AI12" i="47" a="1"/>
  <c r="AI12" i="47" s="1"/>
  <c r="AI11" i="47" a="1"/>
  <c r="AI11" i="47" s="1"/>
  <c r="AI10" i="47" a="1"/>
  <c r="AI10" i="47" s="1"/>
  <c r="AI9" i="47" a="1"/>
  <c r="AI9" i="47" s="1"/>
  <c r="AI8" i="47" a="1"/>
  <c r="AI8" i="47" s="1"/>
  <c r="AI7" i="47" a="1"/>
  <c r="AI7" i="47" s="1"/>
  <c r="AI6" i="47" a="1"/>
  <c r="AI6" i="47" s="1"/>
  <c r="AI5" i="47" a="1"/>
  <c r="AI5" i="47" s="1"/>
  <c r="AI4" i="47" a="1"/>
  <c r="AI4" i="47" s="1"/>
  <c r="AI3" i="47" a="1"/>
  <c r="AI3" i="47" s="1"/>
  <c r="AI2" i="47" a="1"/>
  <c r="AI2" i="47" s="1"/>
  <c r="AI1" i="47" a="1"/>
  <c r="AI1" i="47" s="1"/>
  <c r="AH54" i="47" a="1"/>
  <c r="AH54" i="47" s="1"/>
  <c r="AH53" i="47" a="1"/>
  <c r="AH53" i="47" s="1"/>
  <c r="AH52" i="47" a="1"/>
  <c r="AH52" i="47" s="1"/>
  <c r="AH51" i="47" a="1"/>
  <c r="AH51" i="47" s="1"/>
  <c r="AH50" i="47" a="1"/>
  <c r="AH50" i="47" s="1"/>
  <c r="AH49" i="47" a="1"/>
  <c r="AH49" i="47" s="1"/>
  <c r="AH48" i="47" a="1"/>
  <c r="AH48" i="47" s="1"/>
  <c r="AH47" i="47" a="1"/>
  <c r="AH47" i="47" s="1"/>
  <c r="AH46" i="47" a="1"/>
  <c r="AH46" i="47" s="1"/>
  <c r="AH45" i="47" a="1"/>
  <c r="AH45" i="47" s="1"/>
  <c r="AH44" i="47" a="1"/>
  <c r="AH44" i="47" s="1"/>
  <c r="AH43" i="47" a="1"/>
  <c r="AH43" i="47" s="1"/>
  <c r="AH42" i="47" a="1"/>
  <c r="AH42" i="47" s="1"/>
  <c r="AH41" i="47" a="1"/>
  <c r="AH41" i="47" s="1"/>
  <c r="AH40" i="47" a="1"/>
  <c r="AH40" i="47" s="1"/>
  <c r="AH39" i="47" a="1"/>
  <c r="AH39" i="47" s="1"/>
  <c r="AH38" i="47" a="1"/>
  <c r="AH38" i="47" s="1"/>
  <c r="AH37" i="47" a="1"/>
  <c r="AH37" i="47" s="1"/>
  <c r="AH36" i="47" a="1"/>
  <c r="AH36" i="47" s="1"/>
  <c r="AH35" i="47" a="1"/>
  <c r="AH35" i="47" s="1"/>
  <c r="AH34" i="47" a="1"/>
  <c r="AH34" i="47" s="1"/>
  <c r="AH33" i="47" a="1"/>
  <c r="AH33" i="47" s="1"/>
  <c r="AH32" i="47" a="1"/>
  <c r="AH32" i="47" s="1"/>
  <c r="AH31" i="47" a="1"/>
  <c r="AH31" i="47" s="1"/>
  <c r="AH30" i="47" a="1"/>
  <c r="AH30" i="47" s="1"/>
  <c r="AH29" i="47" a="1"/>
  <c r="AH29" i="47" s="1"/>
  <c r="AH28" i="47" a="1"/>
  <c r="AH28" i="47" s="1"/>
  <c r="AH27" i="47" a="1"/>
  <c r="AH27" i="47" s="1"/>
  <c r="AH26" i="47" a="1"/>
  <c r="AH26" i="47" s="1"/>
  <c r="AH25" i="47" a="1"/>
  <c r="AH25" i="47" s="1"/>
  <c r="AH20" i="47" a="1"/>
  <c r="AH20" i="47" s="1"/>
  <c r="AH19" i="47" a="1"/>
  <c r="AH19" i="47" s="1"/>
  <c r="AH18" i="47" a="1"/>
  <c r="AH18" i="47" s="1"/>
  <c r="AH17" i="47" a="1"/>
  <c r="AH17" i="47" s="1"/>
  <c r="AH16" i="47" a="1"/>
  <c r="AH16" i="47" s="1"/>
  <c r="AH15" i="47" a="1"/>
  <c r="AH15" i="47" s="1"/>
  <c r="AH14" i="47" a="1"/>
  <c r="AH14" i="47" s="1"/>
  <c r="AH13" i="47" a="1"/>
  <c r="AH13" i="47" s="1"/>
  <c r="AH12" i="47" a="1"/>
  <c r="AH12" i="47" s="1"/>
  <c r="AH11" i="47" a="1"/>
  <c r="AH11" i="47" s="1"/>
  <c r="AH10" i="47" a="1"/>
  <c r="AH10" i="47" s="1"/>
  <c r="AH9" i="47" a="1"/>
  <c r="AH9" i="47" s="1"/>
  <c r="AH8" i="47" a="1"/>
  <c r="AH8" i="47" s="1"/>
  <c r="AH7" i="47" a="1"/>
  <c r="AH7" i="47" s="1"/>
  <c r="AH6" i="47" a="1"/>
  <c r="AH6" i="47" s="1"/>
  <c r="AH5" i="47" a="1"/>
  <c r="AH5" i="47" s="1"/>
  <c r="AH4" i="47" a="1"/>
  <c r="AH4" i="47" s="1"/>
  <c r="AH3" i="47" a="1"/>
  <c r="AH3" i="47" s="1"/>
  <c r="AH2" i="47" a="1"/>
  <c r="AH2" i="47" s="1"/>
  <c r="AH1" i="47" a="1"/>
  <c r="AH1" i="47" s="1"/>
  <c r="AG54" i="47" a="1"/>
  <c r="AG54" i="47" s="1"/>
  <c r="AG53" i="47" a="1"/>
  <c r="AG53" i="47" s="1"/>
  <c r="AG52" i="47" a="1"/>
  <c r="AG52" i="47" s="1"/>
  <c r="AG51" i="47" a="1"/>
  <c r="AG51" i="47" s="1"/>
  <c r="AG50" i="47" a="1"/>
  <c r="AG50" i="47" s="1"/>
  <c r="AG49" i="47" a="1"/>
  <c r="AG49" i="47" s="1"/>
  <c r="AG48" i="47" a="1"/>
  <c r="AG48" i="47" s="1"/>
  <c r="AG47" i="47" a="1"/>
  <c r="AG47" i="47" s="1"/>
  <c r="AG46" i="47" a="1"/>
  <c r="AG46" i="47" s="1"/>
  <c r="AG45" i="47" a="1"/>
  <c r="AG45" i="47" s="1"/>
  <c r="AG44" i="47" a="1"/>
  <c r="AG44" i="47" s="1"/>
  <c r="AG43" i="47" a="1"/>
  <c r="AG43" i="47" s="1"/>
  <c r="AG42" i="47" a="1"/>
  <c r="AG42" i="47" s="1"/>
  <c r="AG41" i="47" a="1"/>
  <c r="AG41" i="47" s="1"/>
  <c r="AG40" i="47" a="1"/>
  <c r="AG40" i="47" s="1"/>
  <c r="AG39" i="47" a="1"/>
  <c r="AG39" i="47" s="1"/>
  <c r="AG38" i="47" a="1"/>
  <c r="AG38" i="47" s="1"/>
  <c r="AG37" i="47" a="1"/>
  <c r="AG37" i="47" s="1"/>
  <c r="AG36" i="47" a="1"/>
  <c r="AG36" i="47" s="1"/>
  <c r="AG35" i="47" a="1"/>
  <c r="AG35" i="47" s="1"/>
  <c r="AG34" i="47" a="1"/>
  <c r="AG34" i="47" s="1"/>
  <c r="AG33" i="47" a="1"/>
  <c r="AG33" i="47" s="1"/>
  <c r="AG32" i="47" a="1"/>
  <c r="AG32" i="47" s="1"/>
  <c r="AG31" i="47" a="1"/>
  <c r="AG31" i="47" s="1"/>
  <c r="AG30" i="47" a="1"/>
  <c r="AG30" i="47" s="1"/>
  <c r="AG29" i="47" a="1"/>
  <c r="AG29" i="47" s="1"/>
  <c r="AG28" i="47" a="1"/>
  <c r="AG28" i="47" s="1"/>
  <c r="AG27" i="47" a="1"/>
  <c r="AG27" i="47" s="1"/>
  <c r="AG26" i="47" a="1"/>
  <c r="AG26" i="47" s="1"/>
  <c r="AG25" i="47" a="1"/>
  <c r="AG25" i="47" s="1"/>
  <c r="AG20" i="47" a="1"/>
  <c r="AG20" i="47" s="1"/>
  <c r="AG19" i="47" a="1"/>
  <c r="AG19" i="47" s="1"/>
  <c r="AG18" i="47" a="1"/>
  <c r="AG18" i="47" s="1"/>
  <c r="AG17" i="47" a="1"/>
  <c r="AG17" i="47" s="1"/>
  <c r="AG16" i="47" a="1"/>
  <c r="AG16" i="47" s="1"/>
  <c r="AG15" i="47" a="1"/>
  <c r="AG15" i="47" s="1"/>
  <c r="AG14" i="47" a="1"/>
  <c r="AG14" i="47" s="1"/>
  <c r="AG13" i="47" a="1"/>
  <c r="AG13" i="47" s="1"/>
  <c r="AG12" i="47" a="1"/>
  <c r="AG12" i="47" s="1"/>
  <c r="AG11" i="47" a="1"/>
  <c r="AG11" i="47" s="1"/>
  <c r="AG10" i="47" a="1"/>
  <c r="AG10" i="47" s="1"/>
  <c r="AG9" i="47" a="1"/>
  <c r="AG9" i="47" s="1"/>
  <c r="AG8" i="47" a="1"/>
  <c r="AG8" i="47" s="1"/>
  <c r="AG7" i="47" a="1"/>
  <c r="AG7" i="47" s="1"/>
  <c r="AG6" i="47" a="1"/>
  <c r="AG6" i="47" s="1"/>
  <c r="AG5" i="47" a="1"/>
  <c r="AG5" i="47" s="1"/>
  <c r="AG4" i="47" a="1"/>
  <c r="AG4" i="47" s="1"/>
  <c r="AG3" i="47" a="1"/>
  <c r="AG3" i="47" s="1"/>
  <c r="AG2" i="47" a="1"/>
  <c r="AG2" i="47" s="1"/>
  <c r="AG1" i="47" a="1"/>
  <c r="AG1" i="47" s="1"/>
  <c r="AF54" i="47" a="1"/>
  <c r="AF54" i="47" s="1"/>
  <c r="AF53" i="47" a="1"/>
  <c r="AF53" i="47" s="1"/>
  <c r="AF52" i="47" a="1"/>
  <c r="AF52" i="47" s="1"/>
  <c r="AF51" i="47" a="1"/>
  <c r="AF51" i="47" s="1"/>
  <c r="AF50" i="47" a="1"/>
  <c r="AF50" i="47" s="1"/>
  <c r="AF49" i="47" a="1"/>
  <c r="AF49" i="47" s="1"/>
  <c r="AF48" i="47" a="1"/>
  <c r="AF48" i="47" s="1"/>
  <c r="AF47" i="47" a="1"/>
  <c r="AF47" i="47" s="1"/>
  <c r="AF46" i="47" a="1"/>
  <c r="AF46" i="47" s="1"/>
  <c r="AF45" i="47" a="1"/>
  <c r="AF45" i="47" s="1"/>
  <c r="AF44" i="47" a="1"/>
  <c r="AF44" i="47" s="1"/>
  <c r="AF43" i="47" a="1"/>
  <c r="AF43" i="47" s="1"/>
  <c r="AF42" i="47" a="1"/>
  <c r="AF42" i="47" s="1"/>
  <c r="AF41" i="47" a="1"/>
  <c r="AF41" i="47" s="1"/>
  <c r="AF40" i="47" a="1"/>
  <c r="AF40" i="47" s="1"/>
  <c r="AF39" i="47" a="1"/>
  <c r="AF39" i="47" s="1"/>
  <c r="AF38" i="47" a="1"/>
  <c r="AF38" i="47" s="1"/>
  <c r="AF37" i="47" a="1"/>
  <c r="AF37" i="47" s="1"/>
  <c r="AF36" i="47" a="1"/>
  <c r="AF36" i="47" s="1"/>
  <c r="AF35" i="47" a="1"/>
  <c r="AF35" i="47" s="1"/>
  <c r="AF34" i="47" a="1"/>
  <c r="AF34" i="47" s="1"/>
  <c r="AF33" i="47" a="1"/>
  <c r="AF33" i="47" s="1"/>
  <c r="AF32" i="47" a="1"/>
  <c r="AF32" i="47" s="1"/>
  <c r="AF31" i="47" a="1"/>
  <c r="AF31" i="47" s="1"/>
  <c r="AF30" i="47" a="1"/>
  <c r="AF30" i="47" s="1"/>
  <c r="AF29" i="47" a="1"/>
  <c r="AF29" i="47" s="1"/>
  <c r="AF28" i="47" a="1"/>
  <c r="AF28" i="47" s="1"/>
  <c r="AF27" i="47" a="1"/>
  <c r="AF27" i="47" s="1"/>
  <c r="AF26" i="47" a="1"/>
  <c r="AF26" i="47" s="1"/>
  <c r="AF25" i="47" a="1"/>
  <c r="AF25" i="47" s="1"/>
  <c r="AF20" i="47" a="1"/>
  <c r="AF20" i="47" s="1"/>
  <c r="AF19" i="47" a="1"/>
  <c r="AF19" i="47" s="1"/>
  <c r="AF18" i="47" a="1"/>
  <c r="AF18" i="47" s="1"/>
  <c r="AF17" i="47" a="1"/>
  <c r="AF17" i="47" s="1"/>
  <c r="AF16" i="47" a="1"/>
  <c r="AF16" i="47" s="1"/>
  <c r="AF15" i="47" a="1"/>
  <c r="AF15" i="47" s="1"/>
  <c r="AF14" i="47" a="1"/>
  <c r="AF14" i="47" s="1"/>
  <c r="AF13" i="47" a="1"/>
  <c r="AF13" i="47" s="1"/>
  <c r="AF12" i="47" a="1"/>
  <c r="AF12" i="47" s="1"/>
  <c r="AF11" i="47" a="1"/>
  <c r="AF11" i="47" s="1"/>
  <c r="AF10" i="47" a="1"/>
  <c r="AF10" i="47" s="1"/>
  <c r="AF9" i="47" a="1"/>
  <c r="AF9" i="47" s="1"/>
  <c r="AF8" i="47" a="1"/>
  <c r="AF8" i="47" s="1"/>
  <c r="AF7" i="47" a="1"/>
  <c r="AF7" i="47" s="1"/>
  <c r="AF6" i="47" a="1"/>
  <c r="AF6" i="47" s="1"/>
  <c r="AF5" i="47" a="1"/>
  <c r="AF5" i="47" s="1"/>
  <c r="AF4" i="47" a="1"/>
  <c r="AF4" i="47" s="1"/>
  <c r="AF3" i="47" a="1"/>
  <c r="AF3" i="47" s="1"/>
  <c r="AF2" i="47" a="1"/>
  <c r="AF2" i="47" s="1"/>
  <c r="AF1" i="47" a="1"/>
  <c r="AF1" i="47" s="1"/>
  <c r="AE54" i="47" a="1"/>
  <c r="AE54" i="47" s="1"/>
  <c r="AE53" i="47" a="1"/>
  <c r="AE53" i="47" s="1"/>
  <c r="AE52" i="47" a="1"/>
  <c r="AE52" i="47" s="1"/>
  <c r="AE51" i="47" a="1"/>
  <c r="AE51" i="47" s="1"/>
  <c r="AE50" i="47" a="1"/>
  <c r="AE50" i="47" s="1"/>
  <c r="AE49" i="47" a="1"/>
  <c r="AE49" i="47" s="1"/>
  <c r="AE48" i="47" a="1"/>
  <c r="AE48" i="47" s="1"/>
  <c r="AE47" i="47" a="1"/>
  <c r="AE47" i="47" s="1"/>
  <c r="AE46" i="47" a="1"/>
  <c r="AE46" i="47" s="1"/>
  <c r="AE45" i="47" a="1"/>
  <c r="AE45" i="47" s="1"/>
  <c r="AE44" i="47" a="1"/>
  <c r="AE44" i="47" s="1"/>
  <c r="AE43" i="47" a="1"/>
  <c r="AE43" i="47" s="1"/>
  <c r="AE42" i="47" a="1"/>
  <c r="AE42" i="47" s="1"/>
  <c r="AE41" i="47" a="1"/>
  <c r="AE41" i="47" s="1"/>
  <c r="AE40" i="47" a="1"/>
  <c r="AE40" i="47" s="1"/>
  <c r="AE39" i="47" a="1"/>
  <c r="AE39" i="47" s="1"/>
  <c r="AE38" i="47" a="1"/>
  <c r="AE38" i="47" s="1"/>
  <c r="AE37" i="47" a="1"/>
  <c r="AE37" i="47" s="1"/>
  <c r="AE36" i="47" a="1"/>
  <c r="AE36" i="47" s="1"/>
  <c r="AE35" i="47" a="1"/>
  <c r="AE35" i="47" s="1"/>
  <c r="AE34" i="47" a="1"/>
  <c r="AE34" i="47" s="1"/>
  <c r="AE33" i="47" a="1"/>
  <c r="AE33" i="47" s="1"/>
  <c r="AE32" i="47" a="1"/>
  <c r="AE32" i="47" s="1"/>
  <c r="AE31" i="47" a="1"/>
  <c r="AE31" i="47" s="1"/>
  <c r="AE30" i="47" a="1"/>
  <c r="AE30" i="47" s="1"/>
  <c r="AE29" i="47" a="1"/>
  <c r="AE29" i="47" s="1"/>
  <c r="AE28" i="47" a="1"/>
  <c r="AE28" i="47" s="1"/>
  <c r="AE27" i="47" a="1"/>
  <c r="AE27" i="47" s="1"/>
  <c r="AE26" i="47" a="1"/>
  <c r="AE26" i="47" s="1"/>
  <c r="AE25" i="47" a="1"/>
  <c r="AE25" i="47" s="1"/>
  <c r="AE20" i="47" a="1"/>
  <c r="AE20" i="47" s="1"/>
  <c r="AE19" i="47" a="1"/>
  <c r="AE19" i="47" s="1"/>
  <c r="AE18" i="47" a="1"/>
  <c r="AE18" i="47" s="1"/>
  <c r="AE17" i="47" a="1"/>
  <c r="AE17" i="47" s="1"/>
  <c r="AE16" i="47" a="1"/>
  <c r="AE16" i="47" s="1"/>
  <c r="AE15" i="47" a="1"/>
  <c r="AE15" i="47" s="1"/>
  <c r="AE14" i="47" a="1"/>
  <c r="AE14" i="47" s="1"/>
  <c r="AE13" i="47" a="1"/>
  <c r="AE13" i="47" s="1"/>
  <c r="AE12" i="47" a="1"/>
  <c r="AE12" i="47" s="1"/>
  <c r="AE11" i="47" a="1"/>
  <c r="AE11" i="47" s="1"/>
  <c r="AE10" i="47" a="1"/>
  <c r="AE10" i="47" s="1"/>
  <c r="AE9" i="47" a="1"/>
  <c r="AE9" i="47" s="1"/>
  <c r="AE8" i="47" a="1"/>
  <c r="AE8" i="47" s="1"/>
  <c r="AE7" i="47" a="1"/>
  <c r="AE7" i="47" s="1"/>
  <c r="AE6" i="47" a="1"/>
  <c r="AE6" i="47" s="1"/>
  <c r="AE5" i="47" a="1"/>
  <c r="AE5" i="47" s="1"/>
  <c r="AE4" i="47" a="1"/>
  <c r="AE4" i="47" s="1"/>
  <c r="AE3" i="47" a="1"/>
  <c r="AE3" i="47" s="1"/>
  <c r="AE2" i="47" a="1"/>
  <c r="AE2" i="47" s="1"/>
  <c r="AE1" i="47" a="1"/>
  <c r="AE1" i="47" s="1"/>
  <c r="AD54" i="47" a="1"/>
  <c r="AD54" i="47" s="1"/>
  <c r="AD53" i="47" a="1"/>
  <c r="AD53" i="47" s="1"/>
  <c r="AD52" i="47" a="1"/>
  <c r="AD52" i="47" s="1"/>
  <c r="AD51" i="47" a="1"/>
  <c r="AD51" i="47" s="1"/>
  <c r="AD50" i="47" a="1"/>
  <c r="AD50" i="47" s="1"/>
  <c r="AD49" i="47" a="1"/>
  <c r="AD49" i="47" s="1"/>
  <c r="AD48" i="47" a="1"/>
  <c r="AD48" i="47" s="1"/>
  <c r="AD47" i="47" a="1"/>
  <c r="AD47" i="47" s="1"/>
  <c r="AD46" i="47" a="1"/>
  <c r="AD46" i="47" s="1"/>
  <c r="AD45" i="47" a="1"/>
  <c r="AD45" i="47" s="1"/>
  <c r="AD44" i="47" a="1"/>
  <c r="AD44" i="47" s="1"/>
  <c r="AD43" i="47" a="1"/>
  <c r="AD43" i="47" s="1"/>
  <c r="AD42" i="47" a="1"/>
  <c r="AD42" i="47" s="1"/>
  <c r="AD41" i="47" a="1"/>
  <c r="AD41" i="47" s="1"/>
  <c r="AD40" i="47" a="1"/>
  <c r="AD40" i="47" s="1"/>
  <c r="AD39" i="47" a="1"/>
  <c r="AD39" i="47" s="1"/>
  <c r="AD38" i="47" a="1"/>
  <c r="AD38" i="47" s="1"/>
  <c r="AD37" i="47" a="1"/>
  <c r="AD37" i="47" s="1"/>
  <c r="AD36" i="47" a="1"/>
  <c r="AD36" i="47" s="1"/>
  <c r="AD35" i="47" a="1"/>
  <c r="AD35" i="47" s="1"/>
  <c r="AD34" i="47" a="1"/>
  <c r="AD34" i="47" s="1"/>
  <c r="AD33" i="47" a="1"/>
  <c r="AD33" i="47" s="1"/>
  <c r="AD32" i="47" a="1"/>
  <c r="AD32" i="47" s="1"/>
  <c r="AD31" i="47" a="1"/>
  <c r="AD31" i="47" s="1"/>
  <c r="AD30" i="47" a="1"/>
  <c r="AD30" i="47" s="1"/>
  <c r="AD29" i="47" a="1"/>
  <c r="AD29" i="47" s="1"/>
  <c r="AD28" i="47" a="1"/>
  <c r="AD28" i="47" s="1"/>
  <c r="AD27" i="47" a="1"/>
  <c r="AD27" i="47" s="1"/>
  <c r="AD26" i="47" a="1"/>
  <c r="AD26" i="47" s="1"/>
  <c r="AD25" i="47" a="1"/>
  <c r="AD25" i="47" s="1"/>
  <c r="AD20" i="47" a="1"/>
  <c r="AD20" i="47" s="1"/>
  <c r="AD19" i="47" a="1"/>
  <c r="AD19" i="47" s="1"/>
  <c r="AD18" i="47" a="1"/>
  <c r="AD18" i="47" s="1"/>
  <c r="AD17" i="47" a="1"/>
  <c r="AD17" i="47" s="1"/>
  <c r="AD16" i="47" a="1"/>
  <c r="AD16" i="47" s="1"/>
  <c r="AD15" i="47" a="1"/>
  <c r="AD15" i="47" s="1"/>
  <c r="AD14" i="47" a="1"/>
  <c r="AD14" i="47" s="1"/>
  <c r="AD13" i="47" a="1"/>
  <c r="AD13" i="47" s="1"/>
  <c r="AD12" i="47" a="1"/>
  <c r="AD12" i="47" s="1"/>
  <c r="AD11" i="47" a="1"/>
  <c r="AD11" i="47" s="1"/>
  <c r="AD10" i="47" a="1"/>
  <c r="AD10" i="47" s="1"/>
  <c r="AD9" i="47" a="1"/>
  <c r="AD9" i="47" s="1"/>
  <c r="AD8" i="47" a="1"/>
  <c r="AD8" i="47" s="1"/>
  <c r="AD7" i="47" a="1"/>
  <c r="AD7" i="47" s="1"/>
  <c r="AD6" i="47" a="1"/>
  <c r="AD6" i="47" s="1"/>
  <c r="AD5" i="47" a="1"/>
  <c r="AD5" i="47" s="1"/>
  <c r="AD4" i="47" a="1"/>
  <c r="AD4" i="47" s="1"/>
  <c r="AD3" i="47" a="1"/>
  <c r="AD3" i="47" s="1"/>
  <c r="AD2" i="47" a="1"/>
  <c r="AD2" i="47" s="1"/>
  <c r="AD1" i="47" a="1"/>
  <c r="AD1" i="47" s="1"/>
  <c r="AC54" i="47" a="1"/>
  <c r="AC54" i="47" s="1"/>
  <c r="AC53" i="47" a="1"/>
  <c r="AC53" i="47" s="1"/>
  <c r="AC52" i="47" a="1"/>
  <c r="AC52" i="47" s="1"/>
  <c r="AC51" i="47" a="1"/>
  <c r="AC51" i="47" s="1"/>
  <c r="AC50" i="47" a="1"/>
  <c r="AC50" i="47" s="1"/>
  <c r="AC49" i="47" a="1"/>
  <c r="AC49" i="47" s="1"/>
  <c r="AC48" i="47" a="1"/>
  <c r="AC48" i="47" s="1"/>
  <c r="AC47" i="47" a="1"/>
  <c r="AC47" i="47" s="1"/>
  <c r="AC46" i="47" a="1"/>
  <c r="AC46" i="47" s="1"/>
  <c r="AC45" i="47" a="1"/>
  <c r="AC45" i="47" s="1"/>
  <c r="AC44" i="47" a="1"/>
  <c r="AC44" i="47" s="1"/>
  <c r="AC43" i="47" a="1"/>
  <c r="AC43" i="47" s="1"/>
  <c r="AC42" i="47" a="1"/>
  <c r="AC42" i="47" s="1"/>
  <c r="AC41" i="47" a="1"/>
  <c r="AC41" i="47" s="1"/>
  <c r="AC40" i="47" a="1"/>
  <c r="AC40" i="47" s="1"/>
  <c r="AC39" i="47" a="1"/>
  <c r="AC39" i="47" s="1"/>
  <c r="AC38" i="47" a="1"/>
  <c r="AC38" i="47" s="1"/>
  <c r="AC37" i="47" a="1"/>
  <c r="AC37" i="47" s="1"/>
  <c r="AC36" i="47" a="1"/>
  <c r="AC36" i="47" s="1"/>
  <c r="AC35" i="47" a="1"/>
  <c r="AC35" i="47" s="1"/>
  <c r="AC34" i="47" a="1"/>
  <c r="AC34" i="47" s="1"/>
  <c r="AC33" i="47" a="1"/>
  <c r="AC33" i="47" s="1"/>
  <c r="AC32" i="47" a="1"/>
  <c r="AC32" i="47" s="1"/>
  <c r="AC31" i="47" a="1"/>
  <c r="AC31" i="47" s="1"/>
  <c r="AC30" i="47" a="1"/>
  <c r="AC30" i="47" s="1"/>
  <c r="AC29" i="47" a="1"/>
  <c r="AC29" i="47" s="1"/>
  <c r="AC28" i="47" a="1"/>
  <c r="AC28" i="47" s="1"/>
  <c r="AC27" i="47" a="1"/>
  <c r="AC27" i="47" s="1"/>
  <c r="AC26" i="47" a="1"/>
  <c r="AC26" i="47" s="1"/>
  <c r="AC25" i="47" a="1"/>
  <c r="AC25" i="47" s="1"/>
  <c r="AC20" i="47" a="1"/>
  <c r="AC20" i="47" s="1"/>
  <c r="AC19" i="47" a="1"/>
  <c r="AC19" i="47" s="1"/>
  <c r="AC18" i="47" a="1"/>
  <c r="AC18" i="47" s="1"/>
  <c r="AC17" i="47" a="1"/>
  <c r="AC17" i="47" s="1"/>
  <c r="AC16" i="47" a="1"/>
  <c r="AC16" i="47" s="1"/>
  <c r="AC15" i="47" a="1"/>
  <c r="AC15" i="47" s="1"/>
  <c r="AC14" i="47" a="1"/>
  <c r="AC14" i="47" s="1"/>
  <c r="AC13" i="47" a="1"/>
  <c r="AC13" i="47" s="1"/>
  <c r="AC12" i="47" a="1"/>
  <c r="AC12" i="47" s="1"/>
  <c r="AC11" i="47" a="1"/>
  <c r="AC11" i="47" s="1"/>
  <c r="AC10" i="47" a="1"/>
  <c r="AC10" i="47" s="1"/>
  <c r="AC9" i="47" a="1"/>
  <c r="AC9" i="47" s="1"/>
  <c r="AC8" i="47" a="1"/>
  <c r="AC8" i="47" s="1"/>
  <c r="AC7" i="47" a="1"/>
  <c r="AC7" i="47" s="1"/>
  <c r="AC6" i="47" a="1"/>
  <c r="AC6" i="47" s="1"/>
  <c r="AC5" i="47" a="1"/>
  <c r="AC5" i="47" s="1"/>
  <c r="AC4" i="47" a="1"/>
  <c r="AC4" i="47" s="1"/>
  <c r="AC3" i="47" a="1"/>
  <c r="AC3" i="47" s="1"/>
  <c r="AC2" i="47" a="1"/>
  <c r="AC2" i="47" s="1"/>
  <c r="AC1" i="47" a="1"/>
  <c r="AC1" i="47" s="1"/>
  <c r="AB54" i="47" a="1"/>
  <c r="AB54" i="47" s="1"/>
  <c r="AA54" i="47" a="1"/>
  <c r="AA54" i="47" s="1"/>
  <c r="Z54" i="47" a="1"/>
  <c r="Z54" i="47" s="1"/>
  <c r="Y54" i="47" a="1"/>
  <c r="Y54" i="47" s="1"/>
  <c r="AB53" i="47" a="1"/>
  <c r="AB53" i="47" s="1"/>
  <c r="AA53" i="47" a="1"/>
  <c r="AA53" i="47" s="1"/>
  <c r="Z53" i="47" a="1"/>
  <c r="Z53" i="47" s="1"/>
  <c r="Y53" i="47" a="1"/>
  <c r="Y53" i="47" s="1"/>
  <c r="AB52" i="47" a="1"/>
  <c r="AB52" i="47" s="1"/>
  <c r="AA52" i="47" a="1"/>
  <c r="AA52" i="47" s="1"/>
  <c r="Z52" i="47" a="1"/>
  <c r="Z52" i="47" s="1"/>
  <c r="Y52" i="47" a="1"/>
  <c r="Y52" i="47" s="1"/>
  <c r="AB51" i="47" a="1"/>
  <c r="AB51" i="47" s="1"/>
  <c r="AA51" i="47" a="1"/>
  <c r="AA51" i="47" s="1"/>
  <c r="Z51" i="47" a="1"/>
  <c r="Z51" i="47" s="1"/>
  <c r="Y51" i="47" a="1"/>
  <c r="Y51" i="47" s="1"/>
  <c r="AB50" i="47" a="1"/>
  <c r="AB50" i="47" s="1"/>
  <c r="AA50" i="47" a="1"/>
  <c r="AA50" i="47" s="1"/>
  <c r="Z50" i="47" a="1"/>
  <c r="Z50" i="47" s="1"/>
  <c r="Y50" i="47" a="1"/>
  <c r="Y50" i="47" s="1"/>
  <c r="AB49" i="47" a="1"/>
  <c r="AB49" i="47" s="1"/>
  <c r="AA49" i="47" a="1"/>
  <c r="AA49" i="47" s="1"/>
  <c r="Z49" i="47" a="1"/>
  <c r="Z49" i="47" s="1"/>
  <c r="Y49" i="47" a="1"/>
  <c r="Y49" i="47" s="1"/>
  <c r="AB48" i="47" a="1"/>
  <c r="AB48" i="47" s="1"/>
  <c r="AA48" i="47" a="1"/>
  <c r="AA48" i="47" s="1"/>
  <c r="Z48" i="47" a="1"/>
  <c r="Z48" i="47" s="1"/>
  <c r="Y48" i="47" a="1"/>
  <c r="Y48" i="47" s="1"/>
  <c r="AB47" i="47" a="1"/>
  <c r="AB47" i="47" s="1"/>
  <c r="AA47" i="47" a="1"/>
  <c r="AA47" i="47" s="1"/>
  <c r="Z47" i="47" a="1"/>
  <c r="Z47" i="47" s="1"/>
  <c r="Y47" i="47" a="1"/>
  <c r="Y47" i="47" s="1"/>
  <c r="AB46" i="47" a="1"/>
  <c r="AB46" i="47" s="1"/>
  <c r="AA46" i="47" a="1"/>
  <c r="AA46" i="47" s="1"/>
  <c r="Z46" i="47" a="1"/>
  <c r="Z46" i="47" s="1"/>
  <c r="Y46" i="47" a="1"/>
  <c r="Y46" i="47" s="1"/>
  <c r="AB45" i="47" a="1"/>
  <c r="AB45" i="47" s="1"/>
  <c r="AA45" i="47" a="1"/>
  <c r="AA45" i="47" s="1"/>
  <c r="Z45" i="47" a="1"/>
  <c r="Z45" i="47" s="1"/>
  <c r="Y45" i="47" a="1"/>
  <c r="Y45" i="47" s="1"/>
  <c r="AB44" i="47" a="1"/>
  <c r="AB44" i="47" s="1"/>
  <c r="AA44" i="47" a="1"/>
  <c r="AA44" i="47" s="1"/>
  <c r="Z44" i="47" a="1"/>
  <c r="Z44" i="47" s="1"/>
  <c r="Y44" i="47" a="1"/>
  <c r="Y44" i="47" s="1"/>
  <c r="AB43" i="47" a="1"/>
  <c r="AB43" i="47" s="1"/>
  <c r="AA43" i="47" a="1"/>
  <c r="AA43" i="47" s="1"/>
  <c r="Z43" i="47" a="1"/>
  <c r="Z43" i="47" s="1"/>
  <c r="Y43" i="47" a="1"/>
  <c r="Y43" i="47" s="1"/>
  <c r="AB42" i="47" a="1"/>
  <c r="AB42" i="47" s="1"/>
  <c r="AA42" i="47" a="1"/>
  <c r="AA42" i="47" s="1"/>
  <c r="Z42" i="47" a="1"/>
  <c r="Z42" i="47" s="1"/>
  <c r="Y42" i="47" a="1"/>
  <c r="Y42" i="47" s="1"/>
  <c r="AB41" i="47" a="1"/>
  <c r="AB41" i="47" s="1"/>
  <c r="AA41" i="47" a="1"/>
  <c r="AA41" i="47" s="1"/>
  <c r="Z41" i="47" a="1"/>
  <c r="Z41" i="47" s="1"/>
  <c r="Y41" i="47" a="1"/>
  <c r="Y41" i="47" s="1"/>
  <c r="AB40" i="47" a="1"/>
  <c r="AB40" i="47" s="1"/>
  <c r="AA40" i="47" a="1"/>
  <c r="AA40" i="47" s="1"/>
  <c r="Z40" i="47" a="1"/>
  <c r="Z40" i="47" s="1"/>
  <c r="Y40" i="47" a="1"/>
  <c r="Y40" i="47" s="1"/>
  <c r="AB39" i="47" a="1"/>
  <c r="AB39" i="47" s="1"/>
  <c r="AA39" i="47" a="1"/>
  <c r="AA39" i="47" s="1"/>
  <c r="Z39" i="47" a="1"/>
  <c r="Z39" i="47" s="1"/>
  <c r="Y39" i="47" a="1"/>
  <c r="Y39" i="47" s="1"/>
  <c r="AB38" i="47" a="1"/>
  <c r="AB38" i="47" s="1"/>
  <c r="AA38" i="47" a="1"/>
  <c r="AA38" i="47" s="1"/>
  <c r="Z38" i="47" a="1"/>
  <c r="Z38" i="47" s="1"/>
  <c r="Y38" i="47" a="1"/>
  <c r="Y38" i="47" s="1"/>
  <c r="AB37" i="47" a="1"/>
  <c r="AB37" i="47" s="1"/>
  <c r="AA37" i="47" a="1"/>
  <c r="AA37" i="47" s="1"/>
  <c r="Z37" i="47" a="1"/>
  <c r="Z37" i="47" s="1"/>
  <c r="Y37" i="47" a="1"/>
  <c r="Y37" i="47" s="1"/>
  <c r="AB36" i="47" a="1"/>
  <c r="AB36" i="47" s="1"/>
  <c r="AA36" i="47" a="1"/>
  <c r="AA36" i="47" s="1"/>
  <c r="Z36" i="47" a="1"/>
  <c r="Z36" i="47" s="1"/>
  <c r="Y36" i="47" a="1"/>
  <c r="Y36" i="47" s="1"/>
  <c r="AB35" i="47" a="1"/>
  <c r="AB35" i="47" s="1"/>
  <c r="AA35" i="47" a="1"/>
  <c r="AA35" i="47" s="1"/>
  <c r="Z35" i="47" a="1"/>
  <c r="Z35" i="47" s="1"/>
  <c r="Y35" i="47" a="1"/>
  <c r="Y35" i="47" s="1"/>
  <c r="AB34" i="47" a="1"/>
  <c r="AB34" i="47" s="1"/>
  <c r="AA34" i="47" a="1"/>
  <c r="AA34" i="47" s="1"/>
  <c r="Z34" i="47" a="1"/>
  <c r="Z34" i="47" s="1"/>
  <c r="Y34" i="47" a="1"/>
  <c r="Y34" i="47" s="1"/>
  <c r="AB33" i="47" a="1"/>
  <c r="AB33" i="47" s="1"/>
  <c r="AA33" i="47" a="1"/>
  <c r="AA33" i="47" s="1"/>
  <c r="Z33" i="47" a="1"/>
  <c r="Z33" i="47" s="1"/>
  <c r="Y33" i="47" a="1"/>
  <c r="Y33" i="47" s="1"/>
  <c r="AB32" i="47" a="1"/>
  <c r="AB32" i="47" s="1"/>
  <c r="AA32" i="47" a="1"/>
  <c r="AA32" i="47" s="1"/>
  <c r="Z32" i="47" a="1"/>
  <c r="Z32" i="47" s="1"/>
  <c r="Y32" i="47" a="1"/>
  <c r="Y32" i="47" s="1"/>
  <c r="AB31" i="47" a="1"/>
  <c r="AB31" i="47" s="1"/>
  <c r="AA31" i="47" a="1"/>
  <c r="AA31" i="47" s="1"/>
  <c r="Z31" i="47" a="1"/>
  <c r="Z31" i="47" s="1"/>
  <c r="Y31" i="47" a="1"/>
  <c r="Y31" i="47" s="1"/>
  <c r="AB30" i="47" a="1"/>
  <c r="AB30" i="47" s="1"/>
  <c r="AA30" i="47" a="1"/>
  <c r="AA30" i="47" s="1"/>
  <c r="Z30" i="47" a="1"/>
  <c r="Z30" i="47" s="1"/>
  <c r="Y30" i="47" a="1"/>
  <c r="Y30" i="47" s="1"/>
  <c r="AB29" i="47" a="1"/>
  <c r="AB29" i="47" s="1"/>
  <c r="AA29" i="47" a="1"/>
  <c r="AA29" i="47" s="1"/>
  <c r="Z29" i="47" a="1"/>
  <c r="Z29" i="47" s="1"/>
  <c r="Y29" i="47" a="1"/>
  <c r="Y29" i="47" s="1"/>
  <c r="AB28" i="47" a="1"/>
  <c r="AB28" i="47" s="1"/>
  <c r="AA28" i="47" a="1"/>
  <c r="AA28" i="47" s="1"/>
  <c r="Z28" i="47" a="1"/>
  <c r="Z28" i="47" s="1"/>
  <c r="Y28" i="47" a="1"/>
  <c r="Y28" i="47" s="1"/>
  <c r="AB27" i="47" a="1"/>
  <c r="AB27" i="47" s="1"/>
  <c r="AA27" i="47" a="1"/>
  <c r="AA27" i="47" s="1"/>
  <c r="Z27" i="47" a="1"/>
  <c r="Z27" i="47" s="1"/>
  <c r="Y27" i="47" a="1"/>
  <c r="Y27" i="47" s="1"/>
  <c r="AB26" i="47" a="1"/>
  <c r="AB26" i="47" s="1"/>
  <c r="AA26" i="47" a="1"/>
  <c r="AA26" i="47" s="1"/>
  <c r="Z26" i="47" a="1"/>
  <c r="Z26" i="47" s="1"/>
  <c r="Y26" i="47" a="1"/>
  <c r="Y26" i="47" s="1"/>
  <c r="AB25" i="47" a="1"/>
  <c r="AB25" i="47" s="1"/>
  <c r="AA25" i="47" a="1"/>
  <c r="AA25" i="47" s="1"/>
  <c r="Z25" i="47" a="1"/>
  <c r="Z25" i="47" s="1"/>
  <c r="Y25" i="47" a="1"/>
  <c r="Y25" i="47" s="1"/>
  <c r="AB20" i="47" a="1"/>
  <c r="AB20" i="47" s="1"/>
  <c r="AA20" i="47" a="1"/>
  <c r="AA20" i="47" s="1"/>
  <c r="Z20" i="47" a="1"/>
  <c r="Z20" i="47" s="1"/>
  <c r="Y20" i="47" a="1"/>
  <c r="Y20" i="47" s="1"/>
  <c r="AB19" i="47" a="1"/>
  <c r="AB19" i="47" s="1"/>
  <c r="AA19" i="47" a="1"/>
  <c r="AA19" i="47" s="1"/>
  <c r="Z19" i="47" a="1"/>
  <c r="Z19" i="47" s="1"/>
  <c r="Y19" i="47" a="1"/>
  <c r="Y19" i="47" s="1"/>
  <c r="AB18" i="47" a="1"/>
  <c r="AB18" i="47" s="1"/>
  <c r="AA18" i="47" a="1"/>
  <c r="AA18" i="47" s="1"/>
  <c r="Z18" i="47" a="1"/>
  <c r="Z18" i="47" s="1"/>
  <c r="Y18" i="47" a="1"/>
  <c r="Y18" i="47" s="1"/>
  <c r="AB17" i="47" a="1"/>
  <c r="AB17" i="47" s="1"/>
  <c r="AA17" i="47" a="1"/>
  <c r="AA17" i="47" s="1"/>
  <c r="Z17" i="47" a="1"/>
  <c r="Z17" i="47" s="1"/>
  <c r="Y17" i="47" a="1"/>
  <c r="Y17" i="47" s="1"/>
  <c r="AB16" i="47" a="1"/>
  <c r="AB16" i="47" s="1"/>
  <c r="AA16" i="47" a="1"/>
  <c r="AA16" i="47" s="1"/>
  <c r="Z16" i="47" a="1"/>
  <c r="Z16" i="47" s="1"/>
  <c r="Y16" i="47" a="1"/>
  <c r="Y16" i="47" s="1"/>
  <c r="AB15" i="47" a="1"/>
  <c r="AB15" i="47" s="1"/>
  <c r="AA15" i="47" a="1"/>
  <c r="AA15" i="47" s="1"/>
  <c r="Z15" i="47" a="1"/>
  <c r="Z15" i="47" s="1"/>
  <c r="Y15" i="47" a="1"/>
  <c r="Y15" i="47" s="1"/>
  <c r="AB14" i="47" a="1"/>
  <c r="AB14" i="47" s="1"/>
  <c r="AA14" i="47" a="1"/>
  <c r="AA14" i="47" s="1"/>
  <c r="Z14" i="47" a="1"/>
  <c r="Z14" i="47" s="1"/>
  <c r="Y14" i="47" a="1"/>
  <c r="Y14" i="47" s="1"/>
  <c r="AB13" i="47" a="1"/>
  <c r="AB13" i="47" s="1"/>
  <c r="AA13" i="47" a="1"/>
  <c r="AA13" i="47" s="1"/>
  <c r="Z13" i="47" a="1"/>
  <c r="Z13" i="47" s="1"/>
  <c r="Y13" i="47" a="1"/>
  <c r="Y13" i="47" s="1"/>
  <c r="AB12" i="47" a="1"/>
  <c r="AB12" i="47" s="1"/>
  <c r="AA12" i="47" a="1"/>
  <c r="AA12" i="47" s="1"/>
  <c r="Z12" i="47" a="1"/>
  <c r="Z12" i="47" s="1"/>
  <c r="Y12" i="47" a="1"/>
  <c r="Y12" i="47" s="1"/>
  <c r="AB11" i="47" a="1"/>
  <c r="AB11" i="47" s="1"/>
  <c r="AA11" i="47" a="1"/>
  <c r="AA11" i="47" s="1"/>
  <c r="Z11" i="47" a="1"/>
  <c r="Z11" i="47" s="1"/>
  <c r="Y11" i="47" a="1"/>
  <c r="Y11" i="47" s="1"/>
  <c r="AB10" i="47" a="1"/>
  <c r="AB10" i="47" s="1"/>
  <c r="AA10" i="47" a="1"/>
  <c r="AA10" i="47" s="1"/>
  <c r="Z10" i="47" a="1"/>
  <c r="Z10" i="47" s="1"/>
  <c r="Y10" i="47" a="1"/>
  <c r="Y10" i="47" s="1"/>
  <c r="AB9" i="47" a="1"/>
  <c r="AB9" i="47" s="1"/>
  <c r="AA9" i="47" a="1"/>
  <c r="AA9" i="47" s="1"/>
  <c r="Z9" i="47" a="1"/>
  <c r="Z9" i="47" s="1"/>
  <c r="Y9" i="47" a="1"/>
  <c r="Y9" i="47" s="1"/>
  <c r="AB8" i="47" a="1"/>
  <c r="AB8" i="47" s="1"/>
  <c r="AA8" i="47" a="1"/>
  <c r="AA8" i="47" s="1"/>
  <c r="Z8" i="47" a="1"/>
  <c r="Z8" i="47" s="1"/>
  <c r="Y8" i="47" a="1"/>
  <c r="Y8" i="47" s="1"/>
  <c r="AB7" i="47" a="1"/>
  <c r="AB7" i="47" s="1"/>
  <c r="AA7" i="47" a="1"/>
  <c r="AA7" i="47" s="1"/>
  <c r="Z7" i="47" a="1"/>
  <c r="Z7" i="47" s="1"/>
  <c r="Y7" i="47" a="1"/>
  <c r="Y7" i="47" s="1"/>
  <c r="AB6" i="47" a="1"/>
  <c r="AB6" i="47" s="1"/>
  <c r="AA6" i="47" a="1"/>
  <c r="AA6" i="47" s="1"/>
  <c r="Z6" i="47" a="1"/>
  <c r="Z6" i="47" s="1"/>
  <c r="Y6" i="47" a="1"/>
  <c r="Y6" i="47" s="1"/>
  <c r="AB5" i="47" a="1"/>
  <c r="AB5" i="47" s="1"/>
  <c r="AA5" i="47" a="1"/>
  <c r="AA5" i="47" s="1"/>
  <c r="Z5" i="47" a="1"/>
  <c r="Z5" i="47" s="1"/>
  <c r="Y5" i="47" a="1"/>
  <c r="Y5" i="47" s="1"/>
  <c r="AB4" i="47" a="1"/>
  <c r="AB4" i="47" s="1"/>
  <c r="AA4" i="47" a="1"/>
  <c r="AA4" i="47" s="1"/>
  <c r="Z4" i="47" a="1"/>
  <c r="Z4" i="47" s="1"/>
  <c r="Y4" i="47" a="1"/>
  <c r="Y4" i="47" s="1"/>
  <c r="AB3" i="47" a="1"/>
  <c r="AB3" i="47" s="1"/>
  <c r="AA3" i="47" a="1"/>
  <c r="AA3" i="47" s="1"/>
  <c r="Z3" i="47" a="1"/>
  <c r="Z3" i="47" s="1"/>
  <c r="Y3" i="47" a="1"/>
  <c r="Y3" i="47" s="1"/>
  <c r="AB2" i="47" a="1"/>
  <c r="AB2" i="47" s="1"/>
  <c r="AA2" i="47" a="1"/>
  <c r="AA2" i="47" s="1"/>
  <c r="Z2" i="47" a="1"/>
  <c r="Z2" i="47" s="1"/>
  <c r="Y2" i="47" a="1"/>
  <c r="Y2" i="47" s="1"/>
  <c r="AB1" i="47" a="1"/>
  <c r="AB1" i="47" s="1"/>
  <c r="AA1" i="47" a="1"/>
  <c r="AA1" i="47" s="1"/>
  <c r="Z1" i="47" a="1"/>
  <c r="Z1" i="47" s="1"/>
  <c r="Y1" i="47" a="1"/>
  <c r="Y1" i="47" s="1"/>
  <c r="Z1" i="34" a="1"/>
  <c r="Z1" i="34" s="1"/>
  <c r="Y1" i="34" a="1"/>
  <c r="Y1" i="34" s="1"/>
  <c r="X1" i="34" a="1"/>
  <c r="X1" i="34" s="1"/>
  <c r="W1" i="34" a="1"/>
  <c r="W1" i="34" s="1"/>
  <c r="V1" i="34" a="1"/>
  <c r="V1" i="34" s="1"/>
  <c r="U1" i="34" a="1"/>
  <c r="U1" i="34" s="1"/>
  <c r="T1" i="34" a="1"/>
  <c r="T1" i="34" s="1"/>
  <c r="S1" i="34" a="1"/>
  <c r="S1" i="34" s="1"/>
  <c r="R1" i="34" a="1"/>
  <c r="R1" i="34" s="1"/>
  <c r="Q1" i="34" a="1"/>
  <c r="Q1" i="34" s="1"/>
  <c r="P1" i="34" a="1"/>
  <c r="P1" i="34" s="1"/>
  <c r="O1" i="34" a="1"/>
  <c r="O1" i="34" s="1"/>
  <c r="J10" i="13" l="1"/>
  <c r="J11" i="13" s="1"/>
  <c r="A3" i="36"/>
  <c r="A5" i="36"/>
  <c r="G47" i="62"/>
  <c r="F52" i="61"/>
  <c r="F68" i="34"/>
  <c r="B85" i="46"/>
  <c r="B86" i="46"/>
  <c r="B87" i="46"/>
  <c r="B88" i="46"/>
  <c r="B82" i="46"/>
  <c r="F82" i="46"/>
  <c r="B83" i="46"/>
  <c r="B84" i="46"/>
  <c r="E81" i="46"/>
  <c r="K10" i="13" l="1"/>
  <c r="K11" i="13" s="1"/>
  <c r="A399" i="35"/>
  <c r="A400" i="35"/>
  <c r="A401" i="35"/>
  <c r="A402" i="35"/>
  <c r="A403" i="35"/>
  <c r="A404" i="35"/>
  <c r="A405" i="35"/>
  <c r="A406" i="35"/>
  <c r="A407" i="35"/>
  <c r="A408" i="35"/>
  <c r="A409" i="35"/>
  <c r="A410" i="35"/>
  <c r="A411" i="35"/>
  <c r="A412" i="35"/>
  <c r="A413" i="35"/>
  <c r="A414" i="35"/>
  <c r="A398" i="35"/>
  <c r="A2" i="66"/>
  <c r="L10" i="13" l="1"/>
  <c r="L11" i="13" s="1"/>
  <c r="C6" i="63"/>
  <c r="F79" i="46" s="1"/>
  <c r="D6" i="63"/>
  <c r="G79" i="46" s="1"/>
  <c r="E35" i="46" l="1"/>
  <c r="H30" i="46" l="1"/>
  <c r="L40" i="61"/>
  <c r="K40" i="61"/>
  <c r="J40" i="61"/>
  <c r="I40" i="61"/>
  <c r="H40" i="61"/>
  <c r="G40" i="61"/>
  <c r="F40" i="61"/>
  <c r="L38" i="61"/>
  <c r="K38" i="61"/>
  <c r="J38" i="61"/>
  <c r="I38" i="61"/>
  <c r="H38" i="61"/>
  <c r="G38" i="61"/>
  <c r="F38" i="61"/>
  <c r="L36" i="61"/>
  <c r="K36" i="61"/>
  <c r="J36" i="61"/>
  <c r="I36" i="61"/>
  <c r="H36" i="61"/>
  <c r="G36" i="61"/>
  <c r="F36" i="61"/>
  <c r="H33" i="61"/>
  <c r="G33" i="61"/>
  <c r="F33" i="61"/>
  <c r="L30" i="61"/>
  <c r="K30" i="61"/>
  <c r="J30" i="61"/>
  <c r="I30" i="61"/>
  <c r="H30" i="61"/>
  <c r="G30" i="61"/>
  <c r="F30" i="61"/>
  <c r="L29" i="61"/>
  <c r="K29" i="61"/>
  <c r="J29" i="61"/>
  <c r="I29" i="61"/>
  <c r="H29" i="61"/>
  <c r="G29" i="61"/>
  <c r="F29" i="61"/>
  <c r="L28" i="61"/>
  <c r="K28" i="61"/>
  <c r="J28" i="61"/>
  <c r="I28" i="61"/>
  <c r="H28" i="61"/>
  <c r="G28" i="61"/>
  <c r="F28" i="61"/>
  <c r="L27" i="61"/>
  <c r="K27" i="61"/>
  <c r="J27" i="61"/>
  <c r="I27" i="61"/>
  <c r="H27" i="61"/>
  <c r="G27" i="61"/>
  <c r="F27" i="61"/>
  <c r="L26" i="61"/>
  <c r="K26" i="61"/>
  <c r="J26" i="61"/>
  <c r="I26" i="61"/>
  <c r="H26" i="61"/>
  <c r="G26" i="61"/>
  <c r="F26" i="61"/>
  <c r="L25" i="61"/>
  <c r="K25" i="61"/>
  <c r="J25" i="61"/>
  <c r="I25" i="61"/>
  <c r="H25" i="61"/>
  <c r="G25" i="61"/>
  <c r="F25" i="61"/>
  <c r="L24" i="61"/>
  <c r="K24" i="61"/>
  <c r="J24" i="61"/>
  <c r="I24" i="61"/>
  <c r="H24" i="61"/>
  <c r="G24" i="61"/>
  <c r="F24" i="61"/>
  <c r="L23" i="61"/>
  <c r="K23" i="61"/>
  <c r="J23" i="61"/>
  <c r="I23" i="61"/>
  <c r="H23" i="61"/>
  <c r="G23" i="61"/>
  <c r="F23" i="61"/>
  <c r="L22" i="61"/>
  <c r="K22" i="61"/>
  <c r="J22" i="61"/>
  <c r="I22" i="61"/>
  <c r="H22" i="61"/>
  <c r="G22" i="61"/>
  <c r="F22" i="61"/>
  <c r="L21" i="61"/>
  <c r="K21" i="61"/>
  <c r="J21" i="61"/>
  <c r="I21" i="61"/>
  <c r="H21" i="61"/>
  <c r="G21" i="61"/>
  <c r="F21" i="61"/>
  <c r="L20" i="61"/>
  <c r="K20" i="61"/>
  <c r="J20" i="61"/>
  <c r="I20" i="61"/>
  <c r="H20" i="61"/>
  <c r="G20" i="61"/>
  <c r="F20" i="61"/>
  <c r="L19" i="61"/>
  <c r="K19" i="61"/>
  <c r="J19" i="61"/>
  <c r="I19" i="61"/>
  <c r="H19" i="61"/>
  <c r="G19" i="61"/>
  <c r="F19" i="61"/>
  <c r="L18" i="61"/>
  <c r="K18" i="61"/>
  <c r="J18" i="61"/>
  <c r="I18" i="61"/>
  <c r="H18" i="61"/>
  <c r="F18" i="61"/>
  <c r="F16" i="61"/>
  <c r="F15" i="61"/>
  <c r="J11" i="18" l="1"/>
  <c r="I30" i="46"/>
  <c r="K11" i="18" l="1"/>
  <c r="J30" i="46"/>
  <c r="C161" i="61"/>
  <c r="C163" i="61" s="1"/>
  <c r="C165" i="61" s="1"/>
  <c r="G67" i="61"/>
  <c r="H67" i="61"/>
  <c r="I67" i="61"/>
  <c r="J67" i="61"/>
  <c r="K67" i="61"/>
  <c r="L67" i="61"/>
  <c r="G83" i="61"/>
  <c r="H83" i="61"/>
  <c r="I83" i="61"/>
  <c r="J83" i="61"/>
  <c r="K83" i="61"/>
  <c r="L83" i="61"/>
  <c r="G86" i="61"/>
  <c r="H86" i="61"/>
  <c r="I86" i="61"/>
  <c r="J86" i="61"/>
  <c r="K86" i="61"/>
  <c r="L86" i="61"/>
  <c r="G88" i="61"/>
  <c r="H88" i="61"/>
  <c r="I88" i="61"/>
  <c r="J88" i="61"/>
  <c r="K88" i="61"/>
  <c r="L88" i="61"/>
  <c r="G96" i="61"/>
  <c r="H96" i="61"/>
  <c r="I96" i="61"/>
  <c r="J96" i="61"/>
  <c r="K96" i="61"/>
  <c r="L96" i="61"/>
  <c r="H102" i="61"/>
  <c r="I102" i="61"/>
  <c r="J102" i="61"/>
  <c r="K102" i="61"/>
  <c r="L102" i="61"/>
  <c r="H103" i="61"/>
  <c r="I103" i="61"/>
  <c r="J103" i="61"/>
  <c r="K103" i="61"/>
  <c r="L103" i="61"/>
  <c r="F105" i="61"/>
  <c r="F106" i="61" s="1"/>
  <c r="F143" i="61"/>
  <c r="G148" i="61"/>
  <c r="H148" i="61"/>
  <c r="I148" i="61"/>
  <c r="J148" i="61"/>
  <c r="K148" i="61"/>
  <c r="L148" i="61"/>
  <c r="G149" i="61"/>
  <c r="H149" i="61"/>
  <c r="I149" i="61"/>
  <c r="J149" i="61"/>
  <c r="K149" i="61"/>
  <c r="L149" i="61"/>
  <c r="F151" i="61"/>
  <c r="G8" i="62"/>
  <c r="G49" i="62" s="1"/>
  <c r="H8" i="62"/>
  <c r="H49" i="62" s="1"/>
  <c r="C58" i="62"/>
  <c r="B241" i="62"/>
  <c r="B249" i="62"/>
  <c r="B256" i="62"/>
  <c r="B259" i="62"/>
  <c r="B260" i="62"/>
  <c r="B261" i="62"/>
  <c r="B262" i="62"/>
  <c r="B263" i="62"/>
  <c r="B264" i="62"/>
  <c r="B265" i="62"/>
  <c r="B266" i="62"/>
  <c r="B267" i="62"/>
  <c r="B268" i="62"/>
  <c r="B269" i="62"/>
  <c r="B271" i="62"/>
  <c r="B272" i="62"/>
  <c r="B273" i="62"/>
  <c r="B274" i="62"/>
  <c r="B275" i="62"/>
  <c r="B276" i="62"/>
  <c r="B277" i="62"/>
  <c r="B278" i="62"/>
  <c r="B279" i="62"/>
  <c r="B280" i="62"/>
  <c r="B281" i="62"/>
  <c r="B283" i="62"/>
  <c r="B284" i="62"/>
  <c r="B285" i="62"/>
  <c r="B286" i="62"/>
  <c r="B287" i="62"/>
  <c r="B288" i="62"/>
  <c r="B289" i="62"/>
  <c r="B290" i="62"/>
  <c r="B291" i="62"/>
  <c r="B292" i="62"/>
  <c r="B293" i="62"/>
  <c r="B295" i="62"/>
  <c r="B296" i="62"/>
  <c r="B297" i="62"/>
  <c r="C298" i="62"/>
  <c r="B299" i="62"/>
  <c r="B300" i="62"/>
  <c r="B301" i="62"/>
  <c r="B302" i="62"/>
  <c r="B303" i="62"/>
  <c r="C304" i="62"/>
  <c r="B305" i="62"/>
  <c r="B306" i="62"/>
  <c r="B307" i="62"/>
  <c r="B308" i="62"/>
  <c r="B309" i="62"/>
  <c r="C310" i="62"/>
  <c r="B311" i="62"/>
  <c r="B312" i="62"/>
  <c r="B313" i="62"/>
  <c r="B314" i="62"/>
  <c r="B315" i="62"/>
  <c r="C316" i="62"/>
  <c r="B317" i="62"/>
  <c r="B318" i="62"/>
  <c r="B319" i="62"/>
  <c r="B320" i="62"/>
  <c r="B321" i="62"/>
  <c r="C322" i="62"/>
  <c r="B323" i="62"/>
  <c r="B324" i="62"/>
  <c r="B325" i="62"/>
  <c r="B326" i="62"/>
  <c r="B327" i="62"/>
  <c r="C328" i="62"/>
  <c r="B329" i="62"/>
  <c r="B330" i="62"/>
  <c r="B331" i="62"/>
  <c r="B332" i="62"/>
  <c r="B333" i="62"/>
  <c r="C334" i="62"/>
  <c r="B335" i="62"/>
  <c r="B336" i="62"/>
  <c r="B337" i="62"/>
  <c r="B338" i="62"/>
  <c r="B339" i="62"/>
  <c r="C340" i="62"/>
  <c r="B341" i="62"/>
  <c r="B342" i="62"/>
  <c r="B343" i="62"/>
  <c r="B344" i="62"/>
  <c r="B345" i="62"/>
  <c r="B346" i="62"/>
  <c r="C347" i="62"/>
  <c r="B348" i="62"/>
  <c r="B349" i="62"/>
  <c r="B350" i="62"/>
  <c r="B351" i="62"/>
  <c r="B352" i="62"/>
  <c r="C353" i="62"/>
  <c r="B354" i="62"/>
  <c r="B355" i="62"/>
  <c r="B356" i="62"/>
  <c r="B357" i="62"/>
  <c r="B358" i="62"/>
  <c r="C359" i="62"/>
  <c r="B360" i="62"/>
  <c r="B361" i="62"/>
  <c r="B362" i="62"/>
  <c r="B363" i="62"/>
  <c r="B364" i="62"/>
  <c r="C365" i="62"/>
  <c r="B366" i="62"/>
  <c r="B367" i="62"/>
  <c r="B368" i="62"/>
  <c r="B369" i="62"/>
  <c r="B370" i="62"/>
  <c r="C371" i="62"/>
  <c r="B372" i="62"/>
  <c r="B373" i="62"/>
  <c r="B374" i="62"/>
  <c r="B375" i="62"/>
  <c r="B376" i="62"/>
  <c r="C377" i="62"/>
  <c r="B378" i="62"/>
  <c r="B379" i="62"/>
  <c r="B380" i="62"/>
  <c r="B381" i="62"/>
  <c r="B382" i="62"/>
  <c r="C383" i="62"/>
  <c r="B384" i="62"/>
  <c r="B385" i="62"/>
  <c r="B386" i="62"/>
  <c r="B387" i="62"/>
  <c r="B388" i="62"/>
  <c r="G428" i="62"/>
  <c r="G446" i="62" s="1"/>
  <c r="G448" i="62" s="1"/>
  <c r="H428" i="62"/>
  <c r="H446" i="62" s="1"/>
  <c r="H448" i="62" s="1"/>
  <c r="I428" i="62"/>
  <c r="I446" i="62" s="1"/>
  <c r="I448" i="62" s="1"/>
  <c r="J428" i="62"/>
  <c r="K428" i="62"/>
  <c r="L428" i="62"/>
  <c r="M428" i="62"/>
  <c r="G432" i="62"/>
  <c r="H432" i="62"/>
  <c r="I432" i="62"/>
  <c r="J432" i="62"/>
  <c r="K432" i="62"/>
  <c r="L432" i="62"/>
  <c r="M432" i="62"/>
  <c r="G436" i="62"/>
  <c r="H436" i="62"/>
  <c r="I436" i="62"/>
  <c r="J436" i="62" s="1"/>
  <c r="G440" i="62"/>
  <c r="H440" i="62"/>
  <c r="I440" i="62"/>
  <c r="J440" i="62"/>
  <c r="K440" i="62"/>
  <c r="L440" i="62"/>
  <c r="M440" i="62"/>
  <c r="G444" i="62"/>
  <c r="H444" i="62"/>
  <c r="I444" i="62"/>
  <c r="J444" i="62"/>
  <c r="K444" i="62"/>
  <c r="L444" i="62"/>
  <c r="M444" i="62"/>
  <c r="A5" i="62"/>
  <c r="A2" i="62"/>
  <c r="L31" i="61"/>
  <c r="K31" i="61"/>
  <c r="J31" i="61"/>
  <c r="J39" i="61" s="1"/>
  <c r="I31" i="61"/>
  <c r="H31" i="61"/>
  <c r="H9" i="61"/>
  <c r="I9" i="61" s="1"/>
  <c r="G6" i="61"/>
  <c r="G10" i="61" s="1"/>
  <c r="F10" i="61" s="1"/>
  <c r="A5" i="61"/>
  <c r="A2" i="61"/>
  <c r="K436" i="62" l="1"/>
  <c r="K451" i="62" s="1"/>
  <c r="J446" i="62"/>
  <c r="J448" i="62" s="1"/>
  <c r="L11" i="18"/>
  <c r="K30" i="46"/>
  <c r="F48" i="18"/>
  <c r="C28" i="63"/>
  <c r="G143" i="61"/>
  <c r="H143" i="61"/>
  <c r="J37" i="61"/>
  <c r="G7" i="61"/>
  <c r="J41" i="61"/>
  <c r="G451" i="62"/>
  <c r="C167" i="61"/>
  <c r="I143" i="61"/>
  <c r="I451" i="62"/>
  <c r="H451" i="62"/>
  <c r="J451" i="62"/>
  <c r="K143" i="61"/>
  <c r="J143" i="61"/>
  <c r="G11" i="61"/>
  <c r="F11" i="61" s="1"/>
  <c r="F194" i="61" s="1"/>
  <c r="F196" i="61" s="1"/>
  <c r="F198" i="61" s="1"/>
  <c r="F44" i="18" s="1"/>
  <c r="H34" i="61"/>
  <c r="K37" i="61"/>
  <c r="K39" i="61"/>
  <c r="K41" i="61"/>
  <c r="H37" i="61"/>
  <c r="L37" i="61"/>
  <c r="H39" i="61"/>
  <c r="L39" i="61"/>
  <c r="H41" i="61"/>
  <c r="L41" i="61"/>
  <c r="J9" i="61"/>
  <c r="I37" i="61"/>
  <c r="I39" i="61"/>
  <c r="I41" i="61"/>
  <c r="L436" i="62" l="1"/>
  <c r="K446" i="62"/>
  <c r="K448" i="62" s="1"/>
  <c r="L30" i="46"/>
  <c r="E30" i="46" s="1"/>
  <c r="E31" i="46"/>
  <c r="C16" i="63"/>
  <c r="L143" i="61"/>
  <c r="H10" i="61"/>
  <c r="K9" i="61"/>
  <c r="M436" i="62" l="1"/>
  <c r="L446" i="62"/>
  <c r="L448" i="62" s="1"/>
  <c r="L451" i="62"/>
  <c r="F47" i="61"/>
  <c r="L9" i="61"/>
  <c r="H11" i="61"/>
  <c r="F77" i="38"/>
  <c r="F48" i="47"/>
  <c r="F49" i="47" s="1"/>
  <c r="L49" i="46"/>
  <c r="K49" i="46"/>
  <c r="J49" i="46"/>
  <c r="I49" i="46"/>
  <c r="H49" i="46"/>
  <c r="G49" i="46"/>
  <c r="L17" i="46"/>
  <c r="K17" i="46"/>
  <c r="J17" i="46"/>
  <c r="I17" i="46"/>
  <c r="H17" i="46"/>
  <c r="G17" i="46"/>
  <c r="L28" i="18"/>
  <c r="L66" i="67" s="1"/>
  <c r="K28" i="18"/>
  <c r="K66" i="67" s="1"/>
  <c r="J28" i="18"/>
  <c r="J66" i="67" s="1"/>
  <c r="I28" i="18"/>
  <c r="I66" i="67" s="1"/>
  <c r="H28" i="18"/>
  <c r="H66" i="67" s="1"/>
  <c r="G28" i="18"/>
  <c r="G66" i="67" s="1"/>
  <c r="F28" i="18"/>
  <c r="F66" i="67" s="1"/>
  <c r="L19" i="18"/>
  <c r="K19" i="18"/>
  <c r="J19" i="18"/>
  <c r="I19" i="18"/>
  <c r="H19" i="18"/>
  <c r="G19" i="18"/>
  <c r="F19" i="18"/>
  <c r="F57" i="67" s="1"/>
  <c r="H9" i="13"/>
  <c r="E6" i="63" s="1"/>
  <c r="H79" i="46" s="1"/>
  <c r="M446" i="62" l="1"/>
  <c r="M448" i="62" s="1"/>
  <c r="M451" i="62"/>
  <c r="C451" i="62" s="1"/>
  <c r="D28" i="18"/>
  <c r="D19" i="18"/>
  <c r="I8" i="62"/>
  <c r="I49" i="62" s="1"/>
  <c r="I9" i="13"/>
  <c r="F6" i="63" s="1"/>
  <c r="I79" i="46" s="1"/>
  <c r="I10" i="61"/>
  <c r="C28" i="18"/>
  <c r="C19" i="18"/>
  <c r="J8" i="62" l="1"/>
  <c r="J49" i="62" s="1"/>
  <c r="J9" i="13"/>
  <c r="G6" i="63" s="1"/>
  <c r="J79" i="46" s="1"/>
  <c r="I11" i="61"/>
  <c r="G33" i="34"/>
  <c r="K9" i="13" l="1"/>
  <c r="H6" i="63" s="1"/>
  <c r="K79" i="46" s="1"/>
  <c r="K8" i="62"/>
  <c r="K49" i="62" s="1"/>
  <c r="J10" i="61"/>
  <c r="F42" i="34"/>
  <c r="C24" i="63" s="1"/>
  <c r="L8" i="62" l="1"/>
  <c r="L49" i="62" s="1"/>
  <c r="L9" i="13"/>
  <c r="I6" i="63" s="1"/>
  <c r="L79" i="46" s="1"/>
  <c r="F63" i="34"/>
  <c r="J11" i="61"/>
  <c r="M8" i="62" l="1"/>
  <c r="M49" i="62" s="1"/>
  <c r="K10" i="61"/>
  <c r="A5" i="57"/>
  <c r="A2" i="57"/>
  <c r="N39" i="55"/>
  <c r="M39" i="55"/>
  <c r="L39" i="55"/>
  <c r="K39" i="55"/>
  <c r="J39" i="55"/>
  <c r="I39" i="55"/>
  <c r="N26" i="55"/>
  <c r="M26" i="55"/>
  <c r="L26" i="55"/>
  <c r="K26" i="55"/>
  <c r="J26" i="55"/>
  <c r="I26" i="55"/>
  <c r="K11" i="55"/>
  <c r="L11" i="55" s="1"/>
  <c r="M11" i="55" s="1"/>
  <c r="N11" i="55" s="1"/>
  <c r="K11" i="61" l="1"/>
  <c r="L10" i="61" l="1"/>
  <c r="I40" i="53"/>
  <c r="I39" i="53"/>
  <c r="G40" i="53"/>
  <c r="G39" i="53"/>
  <c r="L11" i="61" l="1"/>
  <c r="D38" i="45"/>
  <c r="D35" i="45"/>
  <c r="D34" i="45"/>
  <c r="D32" i="45"/>
  <c r="D31" i="45"/>
  <c r="D29" i="45"/>
  <c r="D26" i="45"/>
  <c r="D25" i="45"/>
  <c r="Z11" i="35" l="1"/>
  <c r="U43" i="35" l="1"/>
  <c r="U41" i="35"/>
  <c r="U40" i="35"/>
  <c r="U39" i="35"/>
  <c r="U38" i="35"/>
  <c r="U37" i="35"/>
  <c r="U36" i="35"/>
  <c r="U34" i="35"/>
  <c r="U31" i="35"/>
  <c r="U29" i="35"/>
  <c r="U17" i="35"/>
  <c r="U15" i="35"/>
  <c r="Z43" i="35"/>
  <c r="Z42" i="35"/>
  <c r="Z41" i="35"/>
  <c r="Z40" i="35"/>
  <c r="Z39" i="35"/>
  <c r="Z38" i="35"/>
  <c r="Z37" i="35"/>
  <c r="Z36" i="35"/>
  <c r="Z35" i="35"/>
  <c r="Z34" i="35"/>
  <c r="Z33" i="35"/>
  <c r="Z32" i="35"/>
  <c r="Z31" i="35"/>
  <c r="Z29" i="35"/>
  <c r="Z28" i="35"/>
  <c r="Z17" i="35"/>
  <c r="Z15" i="35"/>
  <c r="Z44" i="35" l="1"/>
  <c r="Z45" i="35" s="1"/>
  <c r="A2" i="39"/>
  <c r="L33" i="61" l="1"/>
  <c r="L34" i="61" s="1"/>
  <c r="K33" i="61"/>
  <c r="K34" i="61" s="1"/>
  <c r="J33" i="61"/>
  <c r="J34" i="61" s="1"/>
  <c r="I33" i="61"/>
  <c r="I34" i="61" s="1"/>
  <c r="A2" i="54" l="1"/>
  <c r="A5" i="55"/>
  <c r="G16" i="41" l="1"/>
  <c r="A5" i="54" l="1"/>
  <c r="L46" i="47" l="1"/>
  <c r="K46" i="47"/>
  <c r="J46" i="47"/>
  <c r="I46" i="47"/>
  <c r="H46" i="47"/>
  <c r="G46" i="47"/>
  <c r="L45" i="47"/>
  <c r="K45" i="47"/>
  <c r="J45" i="47"/>
  <c r="I45" i="47"/>
  <c r="H45" i="47"/>
  <c r="G45" i="47"/>
  <c r="L44" i="47"/>
  <c r="K44" i="47"/>
  <c r="J44" i="47"/>
  <c r="I44" i="47"/>
  <c r="H44" i="47"/>
  <c r="G44" i="47"/>
  <c r="L43" i="47"/>
  <c r="K43" i="47"/>
  <c r="J43" i="47"/>
  <c r="I43" i="47"/>
  <c r="H43" i="47"/>
  <c r="G43" i="47"/>
  <c r="L42" i="47"/>
  <c r="K42" i="47"/>
  <c r="J42" i="47"/>
  <c r="I42" i="47"/>
  <c r="H42" i="47"/>
  <c r="G42" i="47"/>
  <c r="L41" i="47"/>
  <c r="K41" i="47"/>
  <c r="J41" i="47"/>
  <c r="I41" i="47"/>
  <c r="H41" i="47"/>
  <c r="G41" i="47"/>
  <c r="L39" i="47"/>
  <c r="K39" i="47"/>
  <c r="J39" i="47"/>
  <c r="I39" i="47"/>
  <c r="H39" i="47"/>
  <c r="G39" i="47"/>
  <c r="L38" i="47"/>
  <c r="K38" i="47"/>
  <c r="J38" i="47"/>
  <c r="I38" i="47"/>
  <c r="H38" i="47"/>
  <c r="G38" i="47"/>
  <c r="L37" i="47"/>
  <c r="K37" i="47"/>
  <c r="J37" i="47"/>
  <c r="I37" i="47"/>
  <c r="H37" i="47"/>
  <c r="G37" i="47"/>
  <c r="L36" i="47"/>
  <c r="K36" i="47"/>
  <c r="J36" i="47"/>
  <c r="I36" i="47"/>
  <c r="H36" i="47"/>
  <c r="G36" i="47"/>
  <c r="L35" i="47"/>
  <c r="K35" i="47"/>
  <c r="J35" i="47"/>
  <c r="I35" i="47"/>
  <c r="H35" i="47"/>
  <c r="G35" i="47"/>
  <c r="L34" i="47"/>
  <c r="K34" i="47"/>
  <c r="J34" i="47"/>
  <c r="I34" i="47"/>
  <c r="H34" i="47"/>
  <c r="G34" i="47"/>
  <c r="L33" i="47"/>
  <c r="K33" i="47"/>
  <c r="J33" i="47"/>
  <c r="I33" i="47"/>
  <c r="H33" i="47"/>
  <c r="G33" i="47"/>
  <c r="L32" i="47"/>
  <c r="K32" i="47"/>
  <c r="J32" i="47"/>
  <c r="I32" i="47"/>
  <c r="H32" i="47"/>
  <c r="G32" i="47"/>
  <c r="L31" i="47"/>
  <c r="K31" i="47"/>
  <c r="J31" i="47"/>
  <c r="I31" i="47"/>
  <c r="H31" i="47"/>
  <c r="G31" i="47"/>
  <c r="L30" i="47"/>
  <c r="K30" i="47"/>
  <c r="J30" i="47"/>
  <c r="I30" i="47"/>
  <c r="H30" i="47"/>
  <c r="G30" i="47"/>
  <c r="L29" i="47"/>
  <c r="K29" i="47"/>
  <c r="J29" i="47"/>
  <c r="I29" i="47"/>
  <c r="H29" i="47"/>
  <c r="G29" i="47"/>
  <c r="L28" i="47"/>
  <c r="K28" i="47"/>
  <c r="J28" i="47"/>
  <c r="I28" i="47"/>
  <c r="H28" i="47"/>
  <c r="G28" i="47"/>
  <c r="L27" i="47"/>
  <c r="K27" i="47"/>
  <c r="J27" i="47"/>
  <c r="I27" i="47"/>
  <c r="H27" i="47"/>
  <c r="G27" i="47"/>
  <c r="L26" i="47"/>
  <c r="K26" i="47"/>
  <c r="J26" i="47"/>
  <c r="I26" i="47"/>
  <c r="H26" i="47"/>
  <c r="L19" i="47"/>
  <c r="K19" i="47"/>
  <c r="J19" i="47"/>
  <c r="I19" i="47"/>
  <c r="H19" i="47"/>
  <c r="G19" i="47"/>
  <c r="L18" i="47"/>
  <c r="K18" i="47"/>
  <c r="J18" i="47"/>
  <c r="I18" i="47"/>
  <c r="H18" i="47"/>
  <c r="G18" i="47"/>
  <c r="L17" i="47"/>
  <c r="K17" i="47"/>
  <c r="J17" i="47"/>
  <c r="I17" i="47"/>
  <c r="H17" i="47"/>
  <c r="G17" i="47"/>
  <c r="L16" i="47"/>
  <c r="K16" i="47"/>
  <c r="J16" i="47"/>
  <c r="I16" i="47"/>
  <c r="H16" i="47"/>
  <c r="G16" i="47"/>
  <c r="L15" i="47"/>
  <c r="K15" i="47"/>
  <c r="J15" i="47"/>
  <c r="I15" i="47"/>
  <c r="H15" i="47"/>
  <c r="G15" i="47"/>
  <c r="L14" i="47"/>
  <c r="K14" i="47"/>
  <c r="J14" i="47"/>
  <c r="I14" i="47"/>
  <c r="H14" i="47"/>
  <c r="G14" i="47"/>
  <c r="L13" i="47"/>
  <c r="K13" i="47"/>
  <c r="J13" i="47"/>
  <c r="I13" i="47"/>
  <c r="H13" i="47"/>
  <c r="G13" i="47"/>
  <c r="N34" i="48"/>
  <c r="M34" i="48"/>
  <c r="L34" i="48"/>
  <c r="K34" i="48"/>
  <c r="J34" i="48"/>
  <c r="I34" i="48"/>
  <c r="H34" i="48"/>
  <c r="B76" i="46" l="1"/>
  <c r="F40" i="46"/>
  <c r="F42" i="46" s="1"/>
  <c r="G40" i="46" l="1"/>
  <c r="F75" i="46"/>
  <c r="G21" i="46"/>
  <c r="H21" i="46" s="1"/>
  <c r="G23" i="46" l="1"/>
  <c r="G45" i="46" s="1"/>
  <c r="H23" i="46"/>
  <c r="I21" i="46"/>
  <c r="H45" i="46" l="1"/>
  <c r="H32" i="46"/>
  <c r="J21" i="46"/>
  <c r="I23" i="46"/>
  <c r="E12" i="53"/>
  <c r="I12" i="53" s="1"/>
  <c r="A2" i="53"/>
  <c r="A5" i="53"/>
  <c r="M34" i="53"/>
  <c r="K34" i="53"/>
  <c r="I34" i="53"/>
  <c r="G34" i="53"/>
  <c r="M33" i="53"/>
  <c r="K33" i="53"/>
  <c r="I33" i="53"/>
  <c r="G33" i="53"/>
  <c r="M32" i="53"/>
  <c r="K32" i="53"/>
  <c r="I32" i="53"/>
  <c r="G32" i="53"/>
  <c r="M31" i="53"/>
  <c r="K31" i="53"/>
  <c r="I31" i="53"/>
  <c r="G31" i="53"/>
  <c r="M30" i="53"/>
  <c r="K30" i="53"/>
  <c r="I30" i="53"/>
  <c r="G30" i="53"/>
  <c r="I29" i="53"/>
  <c r="G29" i="53"/>
  <c r="M28" i="53"/>
  <c r="K28" i="53"/>
  <c r="I28" i="53"/>
  <c r="G28" i="53"/>
  <c r="M27" i="53"/>
  <c r="K27" i="53"/>
  <c r="I27" i="53"/>
  <c r="G27" i="53"/>
  <c r="M26" i="53"/>
  <c r="K26" i="53"/>
  <c r="I26" i="53"/>
  <c r="G26" i="53"/>
  <c r="M25" i="53"/>
  <c r="K25" i="53"/>
  <c r="I25" i="53"/>
  <c r="G25" i="53"/>
  <c r="M24" i="53"/>
  <c r="K24" i="53"/>
  <c r="I24" i="53"/>
  <c r="G24" i="53"/>
  <c r="M23" i="53"/>
  <c r="K23" i="53"/>
  <c r="I23" i="53"/>
  <c r="G23" i="53"/>
  <c r="M22" i="53"/>
  <c r="K22" i="53"/>
  <c r="I22" i="53"/>
  <c r="G22" i="53"/>
  <c r="M21" i="53"/>
  <c r="K21" i="53"/>
  <c r="I21" i="53"/>
  <c r="G21" i="53"/>
  <c r="M20" i="53"/>
  <c r="K20" i="53"/>
  <c r="I20" i="53"/>
  <c r="G20" i="53"/>
  <c r="M19" i="53"/>
  <c r="K19" i="53"/>
  <c r="I19" i="53"/>
  <c r="G19" i="53"/>
  <c r="M18" i="53"/>
  <c r="K18" i="53"/>
  <c r="I18" i="53"/>
  <c r="G18" i="53"/>
  <c r="M17" i="53"/>
  <c r="K17" i="53"/>
  <c r="I17" i="53"/>
  <c r="G17" i="53"/>
  <c r="M16" i="53"/>
  <c r="K16" i="53"/>
  <c r="I16" i="53"/>
  <c r="G16" i="53"/>
  <c r="H15" i="53"/>
  <c r="I15" i="53" s="1"/>
  <c r="F15" i="53"/>
  <c r="G15" i="53" s="1"/>
  <c r="I45" i="46" l="1"/>
  <c r="I32" i="46"/>
  <c r="K12" i="53"/>
  <c r="G35" i="53"/>
  <c r="G36" i="53" s="1"/>
  <c r="G37" i="53" s="1"/>
  <c r="G38" i="53" s="1"/>
  <c r="I35" i="53"/>
  <c r="M12" i="53"/>
  <c r="G12" i="53"/>
  <c r="K21" i="46"/>
  <c r="J23" i="46"/>
  <c r="I36" i="53"/>
  <c r="I37" i="53" s="1"/>
  <c r="I38" i="53" s="1"/>
  <c r="G43" i="48"/>
  <c r="G42" i="48"/>
  <c r="G41" i="48"/>
  <c r="G40" i="48"/>
  <c r="G39" i="48"/>
  <c r="G38" i="48"/>
  <c r="G37" i="48"/>
  <c r="G36" i="48"/>
  <c r="H44" i="48"/>
  <c r="C32" i="63" s="1"/>
  <c r="J45" i="46" l="1"/>
  <c r="J32" i="46"/>
  <c r="L21" i="46"/>
  <c r="L23" i="46" s="1"/>
  <c r="K23" i="46"/>
  <c r="H100" i="46"/>
  <c r="I100" i="46"/>
  <c r="J100" i="46"/>
  <c r="K100" i="46"/>
  <c r="L100" i="46"/>
  <c r="H99" i="46"/>
  <c r="I99" i="46"/>
  <c r="J99" i="46"/>
  <c r="K99" i="46"/>
  <c r="L99" i="46"/>
  <c r="G99" i="46"/>
  <c r="H67" i="46"/>
  <c r="I67" i="46"/>
  <c r="J67" i="46"/>
  <c r="K67" i="46"/>
  <c r="L67" i="46"/>
  <c r="G67" i="46"/>
  <c r="H68" i="46"/>
  <c r="I68" i="46"/>
  <c r="J68" i="46"/>
  <c r="K68" i="46"/>
  <c r="L68" i="46"/>
  <c r="G68" i="46"/>
  <c r="H93" i="46"/>
  <c r="H45" i="67" s="1"/>
  <c r="H46" i="67" s="1"/>
  <c r="I93" i="46"/>
  <c r="I45" i="67" s="1"/>
  <c r="I46" i="67" s="1"/>
  <c r="J93" i="46"/>
  <c r="J45" i="67" s="1"/>
  <c r="J46" i="67" s="1"/>
  <c r="K93" i="46"/>
  <c r="K45" i="67" s="1"/>
  <c r="K46" i="67" s="1"/>
  <c r="L93" i="46"/>
  <c r="L45" i="67" s="1"/>
  <c r="L46" i="67" s="1"/>
  <c r="G93" i="46"/>
  <c r="G45" i="67" s="1"/>
  <c r="K45" i="46" l="1"/>
  <c r="K32" i="46"/>
  <c r="L45" i="46"/>
  <c r="L32" i="46"/>
  <c r="C45" i="67"/>
  <c r="H40" i="46"/>
  <c r="E32" i="46" l="1"/>
  <c r="I40" i="46"/>
  <c r="F50" i="47"/>
  <c r="E46" i="47"/>
  <c r="E45" i="47"/>
  <c r="E44" i="47"/>
  <c r="E43" i="47"/>
  <c r="E42" i="47"/>
  <c r="E41" i="47"/>
  <c r="E40" i="47"/>
  <c r="E14" i="47"/>
  <c r="E13" i="47"/>
  <c r="F49" i="18" l="1"/>
  <c r="C30" i="63"/>
  <c r="J40" i="46"/>
  <c r="F6" i="34"/>
  <c r="F57" i="34" s="1"/>
  <c r="C34" i="63" l="1"/>
  <c r="K40" i="46"/>
  <c r="D26" i="41"/>
  <c r="D25" i="41"/>
  <c r="D24" i="41"/>
  <c r="D23" i="41"/>
  <c r="D22" i="41"/>
  <c r="D21" i="41"/>
  <c r="D20" i="41"/>
  <c r="D19" i="41"/>
  <c r="D18" i="41"/>
  <c r="D17" i="41"/>
  <c r="D16" i="41"/>
  <c r="D15" i="41"/>
  <c r="D14" i="41"/>
  <c r="D12" i="41"/>
  <c r="D11" i="41" l="1"/>
  <c r="L40" i="46"/>
  <c r="D27" i="41"/>
  <c r="E12" i="52" l="1"/>
  <c r="F12" i="52" s="1"/>
  <c r="G3" i="46" l="1"/>
  <c r="G2" i="46"/>
  <c r="A5" i="52"/>
  <c r="A2" i="52"/>
  <c r="H70" i="41" l="1"/>
  <c r="I70" i="41" s="1"/>
  <c r="G51" i="41"/>
  <c r="H51" i="41" s="1"/>
  <c r="F6" i="46" l="1"/>
  <c r="L98" i="46"/>
  <c r="K98" i="46"/>
  <c r="J98" i="46"/>
  <c r="I98" i="46"/>
  <c r="H98" i="46"/>
  <c r="G98" i="46" l="1"/>
  <c r="E47" i="38"/>
  <c r="L20" i="46" l="1"/>
  <c r="K20" i="46"/>
  <c r="J20" i="46"/>
  <c r="I20" i="46"/>
  <c r="H20" i="46"/>
  <c r="G20" i="46"/>
  <c r="L94" i="46"/>
  <c r="K94" i="46"/>
  <c r="J94" i="46"/>
  <c r="I94" i="46"/>
  <c r="H94" i="46"/>
  <c r="G94" i="46"/>
  <c r="E23" i="46" l="1"/>
  <c r="E34" i="46" l="1"/>
  <c r="G100" i="46"/>
  <c r="C47" i="38" s="1"/>
  <c r="F3" i="41"/>
  <c r="F2" i="41"/>
  <c r="C32" i="38" l="1"/>
  <c r="C31" i="38"/>
  <c r="C28" i="38"/>
  <c r="C27" i="38"/>
  <c r="E39" i="45" l="1"/>
  <c r="F45" i="18" l="1"/>
  <c r="F32" i="18" l="1"/>
  <c r="F31" i="18"/>
  <c r="F30" i="18"/>
  <c r="F68" i="67" s="1"/>
  <c r="F27" i="18"/>
  <c r="F65" i="67" s="1"/>
  <c r="F26" i="18"/>
  <c r="F64" i="67" s="1"/>
  <c r="F24" i="18"/>
  <c r="F22" i="18"/>
  <c r="F60" i="67" s="1"/>
  <c r="F21" i="18"/>
  <c r="F59" i="67" s="1"/>
  <c r="F20" i="18"/>
  <c r="F58" i="67" s="1"/>
  <c r="F18" i="18"/>
  <c r="F56" i="67" s="1"/>
  <c r="F55" i="67"/>
  <c r="F16" i="18"/>
  <c r="F54" i="67" s="1"/>
  <c r="L16" i="13"/>
  <c r="L15" i="61" s="1"/>
  <c r="K16" i="13"/>
  <c r="K15" i="61" s="1"/>
  <c r="J16" i="13"/>
  <c r="J15" i="61" s="1"/>
  <c r="I16" i="13"/>
  <c r="I15" i="61" s="1"/>
  <c r="H16" i="13"/>
  <c r="H15" i="61" s="1"/>
  <c r="F47" i="18"/>
  <c r="F46" i="18"/>
  <c r="F6" i="18"/>
  <c r="F13" i="67" s="1"/>
  <c r="F69" i="67" l="1"/>
  <c r="F13" i="18"/>
  <c r="F90" i="67"/>
  <c r="F50" i="67"/>
  <c r="F41" i="18"/>
  <c r="F9" i="18"/>
  <c r="K97" i="61"/>
  <c r="K98" i="61"/>
  <c r="I98" i="61"/>
  <c r="I97" i="61"/>
  <c r="J97" i="61"/>
  <c r="J98" i="61"/>
  <c r="H98" i="61"/>
  <c r="H97" i="61"/>
  <c r="L98" i="61"/>
  <c r="L97" i="61"/>
  <c r="E32" i="38" l="1"/>
  <c r="D32" i="38" s="1"/>
  <c r="C33" i="38"/>
  <c r="G11" i="47" l="1"/>
  <c r="H11" i="47"/>
  <c r="I11" i="47"/>
  <c r="J11" i="47"/>
  <c r="K11" i="47"/>
  <c r="L11" i="47"/>
  <c r="E29" i="38"/>
  <c r="E30" i="38"/>
  <c r="E31" i="38"/>
  <c r="D31" i="38" s="1"/>
  <c r="E33" i="38"/>
  <c r="D33" i="38" s="1"/>
  <c r="G18" i="38"/>
  <c r="H18" i="38"/>
  <c r="J18" i="38"/>
  <c r="K18" i="38"/>
  <c r="M18" i="38"/>
  <c r="N18" i="38"/>
  <c r="P18" i="38"/>
  <c r="Q18" i="38"/>
  <c r="E11" i="47" l="1"/>
  <c r="F71" i="38"/>
  <c r="E67" i="38"/>
  <c r="E64" i="38"/>
  <c r="N44" i="48"/>
  <c r="I32" i="63" s="1"/>
  <c r="M44" i="48"/>
  <c r="H32" i="63" s="1"/>
  <c r="L44" i="48"/>
  <c r="G32" i="63" s="1"/>
  <c r="K44" i="48"/>
  <c r="F32" i="63" s="1"/>
  <c r="J44" i="48"/>
  <c r="E32" i="63" s="1"/>
  <c r="I44" i="48"/>
  <c r="D32" i="63" s="1"/>
  <c r="B32" i="63" s="1"/>
  <c r="I13" i="48"/>
  <c r="I35" i="48" s="1"/>
  <c r="A5" i="48"/>
  <c r="A2" i="48"/>
  <c r="H68" i="38" l="1"/>
  <c r="F34" i="18"/>
  <c r="G46" i="18"/>
  <c r="G44" i="48"/>
  <c r="J45" i="48" s="1"/>
  <c r="C45" i="38"/>
  <c r="K46" i="18"/>
  <c r="J46" i="18"/>
  <c r="H46" i="18"/>
  <c r="L46" i="18"/>
  <c r="I46" i="18"/>
  <c r="G71" i="38"/>
  <c r="H12" i="48"/>
  <c r="J12" i="48"/>
  <c r="J13" i="48" s="1"/>
  <c r="H13" i="48"/>
  <c r="H35" i="48" s="1"/>
  <c r="N45" i="48" l="1"/>
  <c r="K45" i="48"/>
  <c r="F36" i="18"/>
  <c r="F70" i="67"/>
  <c r="F62" i="67"/>
  <c r="F63" i="67"/>
  <c r="F72" i="67"/>
  <c r="I116" i="67"/>
  <c r="K116" i="67"/>
  <c r="L116" i="67"/>
  <c r="F83" i="67"/>
  <c r="F81" i="67"/>
  <c r="F77" i="67"/>
  <c r="F82" i="67"/>
  <c r="F78" i="67"/>
  <c r="F80" i="67"/>
  <c r="F79" i="67"/>
  <c r="H116" i="67"/>
  <c r="J116" i="67"/>
  <c r="I68" i="38"/>
  <c r="D46" i="18"/>
  <c r="L45" i="48"/>
  <c r="G45" i="48"/>
  <c r="H45" i="48"/>
  <c r="I45" i="48"/>
  <c r="M45" i="48"/>
  <c r="K12" i="48"/>
  <c r="K13" i="48" s="1"/>
  <c r="J35" i="48"/>
  <c r="C46" i="18"/>
  <c r="J68" i="38" l="1"/>
  <c r="L12" i="48"/>
  <c r="L13" i="48" s="1"/>
  <c r="K35" i="48"/>
  <c r="I71" i="38"/>
  <c r="G66" i="46"/>
  <c r="H66" i="46"/>
  <c r="G65" i="46"/>
  <c r="H65" i="46"/>
  <c r="G36" i="34"/>
  <c r="H33" i="34"/>
  <c r="G32" i="34"/>
  <c r="H32" i="34"/>
  <c r="K68" i="38" l="1"/>
  <c r="M12" i="48"/>
  <c r="M13" i="48" s="1"/>
  <c r="L35" i="48"/>
  <c r="J71" i="38"/>
  <c r="D50" i="47"/>
  <c r="L47" i="47"/>
  <c r="K47" i="47"/>
  <c r="J47" i="47"/>
  <c r="I47" i="47"/>
  <c r="H47" i="47"/>
  <c r="G47" i="47"/>
  <c r="E38" i="47"/>
  <c r="E36" i="47"/>
  <c r="E34" i="47"/>
  <c r="E32" i="47"/>
  <c r="E30" i="47"/>
  <c r="E28" i="47"/>
  <c r="E26" i="47"/>
  <c r="L12" i="47"/>
  <c r="K12" i="47"/>
  <c r="J12" i="47"/>
  <c r="I12" i="47"/>
  <c r="H12" i="47"/>
  <c r="G12" i="47"/>
  <c r="H7" i="47"/>
  <c r="I7" i="47" s="1"/>
  <c r="J7" i="47" s="1"/>
  <c r="K7" i="47" s="1"/>
  <c r="L7" i="47" s="1"/>
  <c r="A5" i="47"/>
  <c r="A2" i="47"/>
  <c r="L66" i="46"/>
  <c r="K66" i="46"/>
  <c r="J66" i="46"/>
  <c r="I66" i="46"/>
  <c r="L65" i="46"/>
  <c r="K65" i="46"/>
  <c r="J65" i="46"/>
  <c r="I65" i="46"/>
  <c r="C59" i="46"/>
  <c r="C57" i="46"/>
  <c r="L27" i="46"/>
  <c r="K27" i="46"/>
  <c r="J27" i="46"/>
  <c r="I27" i="46"/>
  <c r="H27" i="46"/>
  <c r="G27" i="46"/>
  <c r="G26" i="46"/>
  <c r="L6" i="46"/>
  <c r="K6" i="46"/>
  <c r="J6" i="46"/>
  <c r="I6" i="46"/>
  <c r="H6" i="46"/>
  <c r="G6" i="46"/>
  <c r="A4" i="46"/>
  <c r="A2" i="46"/>
  <c r="L68" i="38" l="1"/>
  <c r="G33" i="46"/>
  <c r="G41" i="46" s="1"/>
  <c r="J33" i="46"/>
  <c r="J41" i="46" s="1"/>
  <c r="H33" i="46"/>
  <c r="H41" i="46" s="1"/>
  <c r="I33" i="46"/>
  <c r="I41" i="46" s="1"/>
  <c r="K33" i="46"/>
  <c r="K41" i="46" s="1"/>
  <c r="L33" i="46"/>
  <c r="L41" i="46" s="1"/>
  <c r="K46" i="46"/>
  <c r="H46" i="46"/>
  <c r="I46" i="46"/>
  <c r="G46" i="46"/>
  <c r="L46" i="46"/>
  <c r="J46" i="46"/>
  <c r="I96" i="46"/>
  <c r="I47" i="46"/>
  <c r="G97" i="46"/>
  <c r="G48" i="46"/>
  <c r="K97" i="46"/>
  <c r="K48" i="46"/>
  <c r="L97" i="46"/>
  <c r="L48" i="46"/>
  <c r="J96" i="46"/>
  <c r="J47" i="46"/>
  <c r="H97" i="46"/>
  <c r="H48" i="46"/>
  <c r="G96" i="46"/>
  <c r="G47" i="46"/>
  <c r="K96" i="46"/>
  <c r="K47" i="46"/>
  <c r="I97" i="46"/>
  <c r="I48" i="46"/>
  <c r="H96" i="46"/>
  <c r="H47" i="46"/>
  <c r="L96" i="46"/>
  <c r="L47" i="46"/>
  <c r="J97" i="46"/>
  <c r="J48" i="46"/>
  <c r="H48" i="47"/>
  <c r="H49" i="47" s="1"/>
  <c r="H50" i="47" s="1"/>
  <c r="L48" i="47"/>
  <c r="L49" i="47" s="1"/>
  <c r="L50" i="47" s="1"/>
  <c r="I48" i="47"/>
  <c r="I49" i="47" s="1"/>
  <c r="I50" i="47" s="1"/>
  <c r="J48" i="47"/>
  <c r="J49" i="47" s="1"/>
  <c r="J50" i="47" s="1"/>
  <c r="G48" i="47"/>
  <c r="G49" i="47" s="1"/>
  <c r="G50" i="47" s="1"/>
  <c r="D30" i="63" s="1"/>
  <c r="K48" i="47"/>
  <c r="K49" i="47" s="1"/>
  <c r="K50" i="47" s="1"/>
  <c r="E47" i="47"/>
  <c r="N12" i="48"/>
  <c r="N13" i="48" s="1"/>
  <c r="N35" i="48" s="1"/>
  <c r="M35" i="48"/>
  <c r="E29" i="47"/>
  <c r="E31" i="47"/>
  <c r="E33" i="47"/>
  <c r="E35" i="47"/>
  <c r="E39" i="47"/>
  <c r="E12" i="47"/>
  <c r="E16" i="47"/>
  <c r="E18" i="47"/>
  <c r="E19" i="47"/>
  <c r="E27" i="47"/>
  <c r="E15" i="47"/>
  <c r="E17" i="47"/>
  <c r="G95" i="46"/>
  <c r="J72" i="46"/>
  <c r="I72" i="46"/>
  <c r="L72" i="46"/>
  <c r="H72" i="46"/>
  <c r="K72" i="46"/>
  <c r="G72" i="46"/>
  <c r="H95" i="46"/>
  <c r="L95" i="46"/>
  <c r="K95" i="46"/>
  <c r="I95" i="46"/>
  <c r="J95" i="46"/>
  <c r="E37" i="47"/>
  <c r="E27" i="46"/>
  <c r="E25" i="46"/>
  <c r="G69" i="46"/>
  <c r="C60" i="46"/>
  <c r="G56" i="46" s="1"/>
  <c r="M68" i="38" l="1"/>
  <c r="I42" i="46"/>
  <c r="I75" i="46" s="1"/>
  <c r="H42" i="46"/>
  <c r="H75" i="46" s="1"/>
  <c r="L42" i="46"/>
  <c r="L75" i="46" s="1"/>
  <c r="J42" i="46"/>
  <c r="J75" i="46" s="1"/>
  <c r="K42" i="46"/>
  <c r="K75" i="46" s="1"/>
  <c r="G42" i="46"/>
  <c r="G75" i="46" s="1"/>
  <c r="G74" i="46"/>
  <c r="C46" i="38" s="1"/>
  <c r="E33" i="46"/>
  <c r="G30" i="63"/>
  <c r="J49" i="18"/>
  <c r="I49" i="18"/>
  <c r="F30" i="63"/>
  <c r="L49" i="18"/>
  <c r="I30" i="63"/>
  <c r="K49" i="18"/>
  <c r="H30" i="63"/>
  <c r="H49" i="18"/>
  <c r="E30" i="63"/>
  <c r="D61" i="46"/>
  <c r="D62" i="46" s="1"/>
  <c r="D63" i="46" s="1"/>
  <c r="F74" i="46"/>
  <c r="F76" i="46"/>
  <c r="C20" i="63" s="1"/>
  <c r="E26" i="46"/>
  <c r="L71" i="38"/>
  <c r="G49" i="18"/>
  <c r="C50" i="38"/>
  <c r="E50" i="47"/>
  <c r="N46" i="38" l="1"/>
  <c r="Q46" i="38"/>
  <c r="O46" i="38"/>
  <c r="J46" i="38"/>
  <c r="H46" i="38"/>
  <c r="K46" i="38"/>
  <c r="G46" i="38"/>
  <c r="L46" i="38"/>
  <c r="M46" i="38"/>
  <c r="P46" i="38"/>
  <c r="I46" i="38"/>
  <c r="H119" i="67"/>
  <c r="K119" i="67"/>
  <c r="L119" i="67"/>
  <c r="I119" i="67"/>
  <c r="J119" i="67"/>
  <c r="N68" i="38"/>
  <c r="J43" i="46"/>
  <c r="H43" i="46"/>
  <c r="L43" i="46"/>
  <c r="I43" i="46"/>
  <c r="E75" i="46"/>
  <c r="K43" i="46"/>
  <c r="D49" i="18"/>
  <c r="G43" i="46"/>
  <c r="F85" i="46"/>
  <c r="E41" i="46"/>
  <c r="B30" i="63"/>
  <c r="G62" i="46"/>
  <c r="G63" i="46"/>
  <c r="G76" i="46" s="1"/>
  <c r="F43" i="46"/>
  <c r="F43" i="18"/>
  <c r="F76" i="67" s="1"/>
  <c r="F77" i="46"/>
  <c r="M71" i="38"/>
  <c r="C49" i="18"/>
  <c r="O68" i="38" l="1"/>
  <c r="G77" i="46"/>
  <c r="D20" i="63"/>
  <c r="G43" i="18"/>
  <c r="G71" i="46"/>
  <c r="E40" i="46"/>
  <c r="G85" i="46" l="1"/>
  <c r="O71" i="38"/>
  <c r="P68" i="38" l="1"/>
  <c r="Q68" i="38" s="1"/>
  <c r="P71" i="38"/>
  <c r="F11" i="45" l="1"/>
  <c r="A5" i="45"/>
  <c r="A2" i="45"/>
  <c r="E10" i="45" l="1"/>
  <c r="E11" i="45"/>
  <c r="G10" i="45"/>
  <c r="G11" i="45" s="1"/>
  <c r="H10" i="45" s="1"/>
  <c r="H11" i="45" s="1"/>
  <c r="I10" i="45" s="1"/>
  <c r="I11" i="45" s="1"/>
  <c r="J10" i="45" s="1"/>
  <c r="J11" i="45" s="1"/>
  <c r="K10" i="45" s="1"/>
  <c r="K11" i="45" s="1"/>
  <c r="W37" i="35" l="1"/>
  <c r="V37" i="35"/>
  <c r="W34" i="35"/>
  <c r="V34" i="35"/>
  <c r="V36" i="35"/>
  <c r="W36" i="35"/>
  <c r="V40" i="35"/>
  <c r="W40" i="35"/>
  <c r="W41" i="35"/>
  <c r="V41" i="35"/>
  <c r="W17" i="35"/>
  <c r="V17" i="35"/>
  <c r="W29" i="35"/>
  <c r="V29" i="35"/>
  <c r="V38" i="35"/>
  <c r="W38" i="35"/>
  <c r="W31" i="35"/>
  <c r="V31" i="35"/>
  <c r="W39" i="35"/>
  <c r="V39" i="35"/>
  <c r="W43" i="35"/>
  <c r="V43" i="35"/>
  <c r="E28" i="38" l="1"/>
  <c r="D28" i="38" s="1"/>
  <c r="A2" i="35" l="1"/>
  <c r="A5" i="35"/>
  <c r="A2" i="38"/>
  <c r="A5" i="38"/>
  <c r="A2" i="41"/>
  <c r="A5" i="41"/>
  <c r="A2" i="18"/>
  <c r="A4" i="18"/>
  <c r="A2" i="13"/>
  <c r="A5" i="13"/>
  <c r="A2" i="34"/>
  <c r="A5" i="34"/>
  <c r="L32" i="18"/>
  <c r="L70" i="67" s="1"/>
  <c r="L30" i="18"/>
  <c r="L68" i="67" s="1"/>
  <c r="L26" i="18"/>
  <c r="L64" i="67" s="1"/>
  <c r="L24" i="18"/>
  <c r="L6" i="34"/>
  <c r="L57" i="34" s="1"/>
  <c r="K6" i="34"/>
  <c r="K57" i="34" s="1"/>
  <c r="J6" i="34"/>
  <c r="J57" i="34" s="1"/>
  <c r="I6" i="34"/>
  <c r="I57" i="34" s="1"/>
  <c r="H6" i="34"/>
  <c r="H57" i="34" s="1"/>
  <c r="G6" i="34"/>
  <c r="G57" i="34" s="1"/>
  <c r="J26" i="41"/>
  <c r="N30" i="48" s="1"/>
  <c r="I26" i="41"/>
  <c r="M30" i="48" s="1"/>
  <c r="H26" i="41"/>
  <c r="L30" i="48" s="1"/>
  <c r="G26" i="41"/>
  <c r="K30" i="48" s="1"/>
  <c r="F26" i="41"/>
  <c r="J30" i="48" s="1"/>
  <c r="E26" i="41"/>
  <c r="I30" i="48" s="1"/>
  <c r="J25" i="41"/>
  <c r="N29" i="48" s="1"/>
  <c r="I25" i="41"/>
  <c r="M29" i="48" s="1"/>
  <c r="H25" i="41"/>
  <c r="L29" i="48" s="1"/>
  <c r="G25" i="41"/>
  <c r="K29" i="48" s="1"/>
  <c r="F25" i="41"/>
  <c r="J29" i="48" s="1"/>
  <c r="E25" i="41"/>
  <c r="I29" i="48" s="1"/>
  <c r="J24" i="41"/>
  <c r="N28" i="48" s="1"/>
  <c r="I24" i="41"/>
  <c r="M28" i="48" s="1"/>
  <c r="H24" i="41"/>
  <c r="L28" i="48" s="1"/>
  <c r="G24" i="41"/>
  <c r="K28" i="48" s="1"/>
  <c r="F24" i="41"/>
  <c r="J28" i="48" s="1"/>
  <c r="E24" i="41"/>
  <c r="I28" i="48" s="1"/>
  <c r="J23" i="41"/>
  <c r="N27" i="48" s="1"/>
  <c r="I23" i="41"/>
  <c r="M27" i="48" s="1"/>
  <c r="H23" i="41"/>
  <c r="L27" i="48" s="1"/>
  <c r="G23" i="41"/>
  <c r="K27" i="48" s="1"/>
  <c r="F23" i="41"/>
  <c r="J27" i="48" s="1"/>
  <c r="E23" i="41"/>
  <c r="I27" i="48" s="1"/>
  <c r="J22" i="41"/>
  <c r="N26" i="48" s="1"/>
  <c r="I22" i="41"/>
  <c r="M26" i="48" s="1"/>
  <c r="H22" i="41"/>
  <c r="L26" i="48" s="1"/>
  <c r="G22" i="41"/>
  <c r="K26" i="48" s="1"/>
  <c r="F22" i="41"/>
  <c r="J26" i="48" s="1"/>
  <c r="E22" i="41"/>
  <c r="I26" i="48" s="1"/>
  <c r="J21" i="41"/>
  <c r="N25" i="48" s="1"/>
  <c r="I21" i="41"/>
  <c r="M25" i="48" s="1"/>
  <c r="H21" i="41"/>
  <c r="L25" i="48" s="1"/>
  <c r="G21" i="41"/>
  <c r="K25" i="48" s="1"/>
  <c r="F21" i="41"/>
  <c r="J25" i="48" s="1"/>
  <c r="E21" i="41"/>
  <c r="I25" i="48" s="1"/>
  <c r="J20" i="41"/>
  <c r="N24" i="48" s="1"/>
  <c r="I20" i="41"/>
  <c r="M24" i="48" s="1"/>
  <c r="H20" i="41"/>
  <c r="L24" i="48" s="1"/>
  <c r="G20" i="41"/>
  <c r="K24" i="48" s="1"/>
  <c r="F20" i="41"/>
  <c r="J24" i="48" s="1"/>
  <c r="E20" i="41"/>
  <c r="I24" i="48" s="1"/>
  <c r="J19" i="41"/>
  <c r="N23" i="48" s="1"/>
  <c r="I19" i="41"/>
  <c r="M23" i="48" s="1"/>
  <c r="H19" i="41"/>
  <c r="L23" i="48" s="1"/>
  <c r="G19" i="41"/>
  <c r="K23" i="48" s="1"/>
  <c r="F19" i="41"/>
  <c r="J23" i="48" s="1"/>
  <c r="E19" i="41"/>
  <c r="I23" i="48" s="1"/>
  <c r="J18" i="41"/>
  <c r="N22" i="48" s="1"/>
  <c r="I18" i="41"/>
  <c r="M22" i="48" s="1"/>
  <c r="H18" i="41"/>
  <c r="L22" i="48" s="1"/>
  <c r="G18" i="41"/>
  <c r="K22" i="48" s="1"/>
  <c r="F18" i="41"/>
  <c r="J22" i="48" s="1"/>
  <c r="E18" i="41"/>
  <c r="I22" i="48" s="1"/>
  <c r="J17" i="41"/>
  <c r="N21" i="48" s="1"/>
  <c r="I17" i="41"/>
  <c r="M21" i="48" s="1"/>
  <c r="H17" i="41"/>
  <c r="L21" i="48" s="1"/>
  <c r="G17" i="41"/>
  <c r="K21" i="48" s="1"/>
  <c r="F17" i="41"/>
  <c r="J21" i="48" s="1"/>
  <c r="E17" i="41"/>
  <c r="I21" i="48" s="1"/>
  <c r="J16" i="41"/>
  <c r="N20" i="48" s="1"/>
  <c r="I16" i="41"/>
  <c r="M20" i="48" s="1"/>
  <c r="H16" i="41"/>
  <c r="L20" i="48" s="1"/>
  <c r="K20" i="48"/>
  <c r="F16" i="41"/>
  <c r="J20" i="48" s="1"/>
  <c r="E16" i="41"/>
  <c r="I20" i="48" s="1"/>
  <c r="J15" i="41"/>
  <c r="N19" i="48" s="1"/>
  <c r="I15" i="41"/>
  <c r="M19" i="48" s="1"/>
  <c r="H15" i="41"/>
  <c r="L19" i="48" s="1"/>
  <c r="K19" i="48"/>
  <c r="J19" i="48"/>
  <c r="E15" i="41"/>
  <c r="I19" i="48" s="1"/>
  <c r="J14" i="41"/>
  <c r="N18" i="48" s="1"/>
  <c r="I14" i="41"/>
  <c r="M18" i="48" s="1"/>
  <c r="H14" i="41"/>
  <c r="L18" i="48" s="1"/>
  <c r="G14" i="41"/>
  <c r="F14" i="41"/>
  <c r="J18" i="48" s="1"/>
  <c r="L6" i="18"/>
  <c r="L13" i="67" s="1"/>
  <c r="L103" i="67" l="1"/>
  <c r="L102" i="67"/>
  <c r="L62" i="67"/>
  <c r="L105" i="67"/>
  <c r="L13" i="18"/>
  <c r="L90" i="67"/>
  <c r="L50" i="67"/>
  <c r="L107" i="67"/>
  <c r="L41" i="18"/>
  <c r="G11" i="41"/>
  <c r="K18" i="48"/>
  <c r="J15" i="48"/>
  <c r="J31" i="48"/>
  <c r="N15" i="48"/>
  <c r="N31" i="48"/>
  <c r="L15" i="48"/>
  <c r="L31" i="48"/>
  <c r="M15" i="48"/>
  <c r="M31" i="48"/>
  <c r="H11" i="41"/>
  <c r="I11" i="41"/>
  <c r="F11" i="41"/>
  <c r="J11" i="41"/>
  <c r="H27" i="41"/>
  <c r="F27" i="41"/>
  <c r="J27" i="41"/>
  <c r="G27" i="41"/>
  <c r="I27" i="41"/>
  <c r="E8" i="39"/>
  <c r="J30" i="41" l="1"/>
  <c r="J29" i="41"/>
  <c r="I29" i="41"/>
  <c r="I30" i="41"/>
  <c r="F29" i="41"/>
  <c r="F30" i="41"/>
  <c r="H30" i="41"/>
  <c r="H29" i="41"/>
  <c r="G29" i="41"/>
  <c r="G30" i="41"/>
  <c r="K31" i="48"/>
  <c r="K15" i="48"/>
  <c r="G12" i="45"/>
  <c r="I12" i="45"/>
  <c r="H12" i="45"/>
  <c r="J12" i="45"/>
  <c r="K12" i="45"/>
  <c r="G32" i="18"/>
  <c r="G70" i="67" s="1"/>
  <c r="G30" i="18"/>
  <c r="G68" i="67" s="1"/>
  <c r="G26" i="18"/>
  <c r="G64" i="67" s="1"/>
  <c r="G24" i="18"/>
  <c r="G6" i="18"/>
  <c r="G13" i="67" s="1"/>
  <c r="G13" i="18" l="1"/>
  <c r="G90" i="67"/>
  <c r="G50" i="67"/>
  <c r="G41" i="18"/>
  <c r="A5" i="39" l="1"/>
  <c r="D7" i="63" l="1"/>
  <c r="G80" i="46" s="1"/>
  <c r="L10" i="46"/>
  <c r="L18" i="13" l="1"/>
  <c r="L16" i="61" s="1"/>
  <c r="L32" i="61" s="1"/>
  <c r="L20" i="13"/>
  <c r="L28" i="67" s="1"/>
  <c r="F45" i="61"/>
  <c r="C10" i="63"/>
  <c r="L170" i="61"/>
  <c r="L171" i="61" s="1"/>
  <c r="L175" i="61" s="1"/>
  <c r="I9" i="63"/>
  <c r="L71" i="61"/>
  <c r="L77" i="61"/>
  <c r="L81" i="61"/>
  <c r="L87" i="61"/>
  <c r="L91" i="61"/>
  <c r="L76" i="61"/>
  <c r="L80" i="61"/>
  <c r="L90" i="61"/>
  <c r="L147" i="61"/>
  <c r="L72" i="61"/>
  <c r="L73" i="61"/>
  <c r="L79" i="61"/>
  <c r="L146" i="61"/>
  <c r="H9" i="62"/>
  <c r="H50" i="62" s="1"/>
  <c r="C77" i="62"/>
  <c r="D139" i="62"/>
  <c r="L9" i="46"/>
  <c r="M4" i="53"/>
  <c r="E8" i="41"/>
  <c r="E9" i="41" s="1"/>
  <c r="F8" i="41" s="1"/>
  <c r="F9" i="41" s="1"/>
  <c r="G8" i="41" s="1"/>
  <c r="G9" i="41" s="1"/>
  <c r="H8" i="41" s="1"/>
  <c r="H9" i="41" s="1"/>
  <c r="I8" i="41" s="1"/>
  <c r="H2" i="53"/>
  <c r="H3" i="53" s="1"/>
  <c r="I2" i="53" s="1"/>
  <c r="I3" i="53" s="1"/>
  <c r="J2" i="53" s="1"/>
  <c r="J3" i="53" s="1"/>
  <c r="K2" i="53" s="1"/>
  <c r="K3" i="53" s="1"/>
  <c r="L2" i="53" s="1"/>
  <c r="L3" i="53" s="1"/>
  <c r="M2" i="53" s="1"/>
  <c r="M3" i="53" s="1"/>
  <c r="L38" i="13"/>
  <c r="L88" i="13"/>
  <c r="G7" i="46"/>
  <c r="F7" i="46" s="1"/>
  <c r="F10" i="13"/>
  <c r="C7" i="63" s="1"/>
  <c r="F80" i="46" s="1"/>
  <c r="L11" i="34"/>
  <c r="L128" i="13"/>
  <c r="L21" i="18" s="1"/>
  <c r="G7" i="34"/>
  <c r="G58" i="34" s="1"/>
  <c r="G7" i="18"/>
  <c r="E7" i="38"/>
  <c r="D8" i="63"/>
  <c r="G81" i="46" s="1"/>
  <c r="L125" i="13"/>
  <c r="L18" i="18" s="1"/>
  <c r="L133" i="13"/>
  <c r="L127" i="13"/>
  <c r="L123" i="13"/>
  <c r="L17" i="18" s="1"/>
  <c r="L129" i="13"/>
  <c r="L22" i="18" s="1"/>
  <c r="L122" i="13"/>
  <c r="L16" i="18" s="1"/>
  <c r="L99" i="67" l="1"/>
  <c r="L96" i="67"/>
  <c r="L95" i="67"/>
  <c r="L100" i="67"/>
  <c r="L97" i="67"/>
  <c r="L20" i="18"/>
  <c r="L140" i="13"/>
  <c r="L141" i="13" s="1"/>
  <c r="L31" i="34"/>
  <c r="L29" i="34"/>
  <c r="L27" i="34"/>
  <c r="L30" i="34"/>
  <c r="L28" i="34"/>
  <c r="I33" i="63"/>
  <c r="I31" i="63"/>
  <c r="F61" i="34"/>
  <c r="F83" i="46"/>
  <c r="G34" i="62"/>
  <c r="C18" i="63"/>
  <c r="F49" i="61" s="1"/>
  <c r="C26" i="63"/>
  <c r="F65" i="34" s="1"/>
  <c r="C36" i="63"/>
  <c r="C22" i="63"/>
  <c r="F87" i="46" s="1"/>
  <c r="L9" i="18"/>
  <c r="L174" i="61"/>
  <c r="L173" i="61"/>
  <c r="M30" i="62"/>
  <c r="L60" i="34"/>
  <c r="L82" i="46"/>
  <c r="H10" i="62"/>
  <c r="L151" i="61"/>
  <c r="L31" i="18"/>
  <c r="L69" i="67" s="1"/>
  <c r="F7" i="34"/>
  <c r="F58" i="34" s="1"/>
  <c r="G9" i="62"/>
  <c r="G50" i="62" s="1"/>
  <c r="M5" i="53"/>
  <c r="M6" i="53" s="1"/>
  <c r="N16" i="48"/>
  <c r="N32" i="48" s="1"/>
  <c r="J12" i="41"/>
  <c r="J28" i="41" s="1"/>
  <c r="F7" i="18"/>
  <c r="D8" i="41"/>
  <c r="D9" i="41" s="1"/>
  <c r="F11" i="13"/>
  <c r="C8" i="63" s="1"/>
  <c r="F81" i="46" s="1"/>
  <c r="L27" i="18"/>
  <c r="L65" i="67" s="1"/>
  <c r="G8" i="46"/>
  <c r="F8" i="46" s="1"/>
  <c r="G8" i="47"/>
  <c r="G8" i="34"/>
  <c r="G59" i="34" s="1"/>
  <c r="G8" i="18"/>
  <c r="I9" i="41"/>
  <c r="E8" i="38"/>
  <c r="E12" i="38" s="1"/>
  <c r="E7" i="63"/>
  <c r="H80" i="46" s="1"/>
  <c r="H16" i="62" l="1"/>
  <c r="L106" i="67"/>
  <c r="L98" i="67"/>
  <c r="L48" i="67"/>
  <c r="L104" i="67"/>
  <c r="Q14" i="38"/>
  <c r="M14" i="38"/>
  <c r="I14" i="38"/>
  <c r="G14" i="38"/>
  <c r="P14" i="38"/>
  <c r="L14" i="38"/>
  <c r="F14" i="38"/>
  <c r="O14" i="38"/>
  <c r="K14" i="38"/>
  <c r="H14" i="38"/>
  <c r="N14" i="38"/>
  <c r="J14" i="38"/>
  <c r="H141" i="62"/>
  <c r="H295" i="62" s="1"/>
  <c r="H91" i="62"/>
  <c r="H252" i="62" s="1"/>
  <c r="H242" i="62"/>
  <c r="H244" i="62"/>
  <c r="H51" i="62"/>
  <c r="H203" i="62"/>
  <c r="H357" i="62" s="1"/>
  <c r="H220" i="62"/>
  <c r="H374" i="62" s="1"/>
  <c r="H185" i="62"/>
  <c r="H339" i="62" s="1"/>
  <c r="H228" i="62"/>
  <c r="H227" i="62"/>
  <c r="H143" i="62"/>
  <c r="H202" i="62"/>
  <c r="H204" i="62"/>
  <c r="H191" i="62"/>
  <c r="H345" i="62" s="1"/>
  <c r="H232" i="62"/>
  <c r="H386" i="62" s="1"/>
  <c r="H155" i="62"/>
  <c r="H309" i="62" s="1"/>
  <c r="H105" i="62"/>
  <c r="H268" i="62" s="1"/>
  <c r="H128" i="62"/>
  <c r="H289" i="62" s="1"/>
  <c r="H218" i="62"/>
  <c r="H125" i="62"/>
  <c r="H335" i="62"/>
  <c r="H178" i="62"/>
  <c r="H332" i="62" s="1"/>
  <c r="H170" i="62"/>
  <c r="H324" i="62" s="1"/>
  <c r="H187" i="62"/>
  <c r="H341" i="62" s="1"/>
  <c r="H209" i="62"/>
  <c r="H363" i="62" s="1"/>
  <c r="H148" i="62"/>
  <c r="H302" i="62" s="1"/>
  <c r="H225" i="62"/>
  <c r="H379" i="62" s="1"/>
  <c r="H221" i="62"/>
  <c r="H375" i="62" s="1"/>
  <c r="H198" i="62"/>
  <c r="H352" i="62" s="1"/>
  <c r="H201" i="62"/>
  <c r="H355" i="62" s="1"/>
  <c r="H226" i="62"/>
  <c r="H216" i="62"/>
  <c r="H370" i="62" s="1"/>
  <c r="H153" i="62"/>
  <c r="H196" i="62"/>
  <c r="H350" i="62" s="1"/>
  <c r="H158" i="62"/>
  <c r="H312" i="62" s="1"/>
  <c r="H190" i="62"/>
  <c r="H344" i="62" s="1"/>
  <c r="H167" i="62"/>
  <c r="H154" i="62"/>
  <c r="H231" i="62"/>
  <c r="H385" i="62" s="1"/>
  <c r="H208" i="62"/>
  <c r="H362" i="62" s="1"/>
  <c r="H184" i="62"/>
  <c r="H338" i="62" s="1"/>
  <c r="H161" i="62"/>
  <c r="H315" i="62" s="1"/>
  <c r="H130" i="62"/>
  <c r="H291" i="62" s="1"/>
  <c r="H147" i="62"/>
  <c r="H126" i="62"/>
  <c r="H142" i="62"/>
  <c r="H296" i="62" s="1"/>
  <c r="H104" i="62"/>
  <c r="H100" i="62"/>
  <c r="H119" i="62"/>
  <c r="H115" i="62"/>
  <c r="H276" i="62" s="1"/>
  <c r="H101" i="62"/>
  <c r="H116" i="62"/>
  <c r="H246" i="62"/>
  <c r="H92" i="62"/>
  <c r="H253" i="62" s="1"/>
  <c r="H215" i="62"/>
  <c r="H194" i="62"/>
  <c r="H348" i="62" s="1"/>
  <c r="H195" i="62"/>
  <c r="H349" i="62" s="1"/>
  <c r="H172" i="62"/>
  <c r="H224" i="62"/>
  <c r="H378" i="62" s="1"/>
  <c r="H214" i="62"/>
  <c r="H197" i="62"/>
  <c r="H351" i="62" s="1"/>
  <c r="H129" i="62"/>
  <c r="H176" i="62"/>
  <c r="H189" i="62"/>
  <c r="H343" i="62" s="1"/>
  <c r="H166" i="62"/>
  <c r="H305" i="62"/>
  <c r="H234" i="62"/>
  <c r="H230" i="62"/>
  <c r="H384" i="62" s="1"/>
  <c r="H207" i="62"/>
  <c r="H183" i="62"/>
  <c r="H159" i="62"/>
  <c r="H313" i="62" s="1"/>
  <c r="H127" i="62"/>
  <c r="H288" i="62" s="1"/>
  <c r="H146" i="62"/>
  <c r="H124" i="62"/>
  <c r="H285" i="62" s="1"/>
  <c r="H123" i="62"/>
  <c r="H284" i="62" s="1"/>
  <c r="H103" i="62"/>
  <c r="H266" i="62" s="1"/>
  <c r="H262" i="62"/>
  <c r="H118" i="62"/>
  <c r="H279" i="62" s="1"/>
  <c r="H114" i="62"/>
  <c r="H260" i="62"/>
  <c r="H160" i="62"/>
  <c r="H213" i="62"/>
  <c r="H367" i="62" s="1"/>
  <c r="H171" i="62"/>
  <c r="H325" i="62" s="1"/>
  <c r="H179" i="62"/>
  <c r="H333" i="62" s="1"/>
  <c r="H152" i="62"/>
  <c r="H306" i="62" s="1"/>
  <c r="H222" i="62"/>
  <c r="H212" i="62"/>
  <c r="H366" i="62" s="1"/>
  <c r="H177" i="62"/>
  <c r="H219" i="62"/>
  <c r="H173" i="62"/>
  <c r="H327" i="62" s="1"/>
  <c r="H192" i="62"/>
  <c r="H346" i="62" s="1"/>
  <c r="H188" i="62"/>
  <c r="H342" i="62" s="1"/>
  <c r="H165" i="62"/>
  <c r="H131" i="62"/>
  <c r="H233" i="62"/>
  <c r="H387" i="62" s="1"/>
  <c r="H210" i="62"/>
  <c r="H360" i="62"/>
  <c r="H182" i="62"/>
  <c r="H311" i="62"/>
  <c r="H149" i="62"/>
  <c r="H250" i="62"/>
  <c r="H102" i="62"/>
  <c r="H265" i="62" s="1"/>
  <c r="H117" i="62"/>
  <c r="H113" i="62"/>
  <c r="H112" i="62"/>
  <c r="H7" i="46"/>
  <c r="H63" i="46" s="1"/>
  <c r="I9" i="62"/>
  <c r="I50" i="62" s="1"/>
  <c r="F8" i="47"/>
  <c r="G10" i="62"/>
  <c r="G16" i="62" s="1"/>
  <c r="F8" i="18"/>
  <c r="F8" i="34"/>
  <c r="F59" i="34" s="1"/>
  <c r="E8" i="63"/>
  <c r="H81" i="46" s="1"/>
  <c r="H7" i="34"/>
  <c r="H58" i="34" s="1"/>
  <c r="J8" i="41"/>
  <c r="M15" i="38" l="1"/>
  <c r="H15" i="38"/>
  <c r="G15" i="38"/>
  <c r="J15" i="38"/>
  <c r="O15" i="38"/>
  <c r="L15" i="38"/>
  <c r="K15" i="38"/>
  <c r="P15" i="38"/>
  <c r="I15" i="38"/>
  <c r="N15" i="38"/>
  <c r="F15" i="38"/>
  <c r="F60" i="38" s="1"/>
  <c r="G60" i="38" s="1"/>
  <c r="Q15" i="38"/>
  <c r="G51" i="62"/>
  <c r="G91" i="62"/>
  <c r="G252" i="62" s="1"/>
  <c r="H62" i="46"/>
  <c r="H71" i="46" s="1"/>
  <c r="H74" i="46" s="1"/>
  <c r="H323" i="62"/>
  <c r="H364" i="62"/>
  <c r="H318" i="62"/>
  <c r="H358" i="62"/>
  <c r="H381" i="62"/>
  <c r="H251" i="62"/>
  <c r="H382" i="62"/>
  <c r="H319" i="62"/>
  <c r="H307" i="62"/>
  <c r="H337" i="62"/>
  <c r="H263" i="62"/>
  <c r="H321" i="62"/>
  <c r="H372" i="62"/>
  <c r="H245" i="62"/>
  <c r="H264" i="62"/>
  <c r="H301" i="62"/>
  <c r="H330" i="62"/>
  <c r="H369" i="62"/>
  <c r="H329" i="62"/>
  <c r="H373" i="62"/>
  <c r="H297" i="62"/>
  <c r="H299" i="62"/>
  <c r="H303" i="62"/>
  <c r="H388" i="62"/>
  <c r="H376" i="62"/>
  <c r="H292" i="62"/>
  <c r="H368" i="62"/>
  <c r="H275" i="62"/>
  <c r="H336" i="62"/>
  <c r="H314" i="62"/>
  <c r="H277" i="62"/>
  <c r="H273" i="62"/>
  <c r="H280" i="62"/>
  <c r="H356" i="62"/>
  <c r="H274" i="62"/>
  <c r="H317" i="62"/>
  <c r="H287" i="62"/>
  <c r="H308" i="62"/>
  <c r="H380" i="62"/>
  <c r="H278" i="62"/>
  <c r="H300" i="62"/>
  <c r="H361" i="62"/>
  <c r="H320" i="62"/>
  <c r="H290" i="62"/>
  <c r="H326" i="62"/>
  <c r="H243" i="62"/>
  <c r="H267" i="62"/>
  <c r="H331" i="62"/>
  <c r="H86" i="62"/>
  <c r="H132" i="62"/>
  <c r="H21" i="62" s="1"/>
  <c r="G59" i="61" s="1"/>
  <c r="I10" i="62"/>
  <c r="G98" i="62"/>
  <c r="G99" i="62"/>
  <c r="G100" i="62"/>
  <c r="G101" i="62"/>
  <c r="G102" i="62"/>
  <c r="G103" i="62"/>
  <c r="G104" i="62"/>
  <c r="G105" i="62"/>
  <c r="G92" i="62"/>
  <c r="G253" i="62" s="1"/>
  <c r="G124" i="62"/>
  <c r="G126" i="62"/>
  <c r="G128" i="62"/>
  <c r="G141" i="62"/>
  <c r="G145" i="62"/>
  <c r="G146" i="62"/>
  <c r="G147" i="62"/>
  <c r="G148" i="62"/>
  <c r="G149" i="62"/>
  <c r="G151" i="62"/>
  <c r="G152" i="62"/>
  <c r="G153" i="62"/>
  <c r="G112" i="62"/>
  <c r="G114" i="62"/>
  <c r="G116" i="62"/>
  <c r="G118" i="62"/>
  <c r="G125" i="62"/>
  <c r="G131" i="62"/>
  <c r="G154" i="62"/>
  <c r="G164" i="62"/>
  <c r="G165" i="62"/>
  <c r="G166" i="62"/>
  <c r="G167" i="62"/>
  <c r="G187" i="62"/>
  <c r="G188" i="62"/>
  <c r="G189" i="62"/>
  <c r="G190" i="62"/>
  <c r="G191" i="62"/>
  <c r="G192" i="62"/>
  <c r="G212" i="62"/>
  <c r="G213" i="62"/>
  <c r="G214" i="62"/>
  <c r="G215" i="62"/>
  <c r="G216" i="62"/>
  <c r="G158" i="62"/>
  <c r="G160" i="62"/>
  <c r="G169" i="62"/>
  <c r="G170" i="62"/>
  <c r="G171" i="62"/>
  <c r="G172" i="62"/>
  <c r="G173" i="62"/>
  <c r="G194" i="62"/>
  <c r="G195" i="62"/>
  <c r="G196" i="62"/>
  <c r="G197" i="62"/>
  <c r="G198" i="62"/>
  <c r="G113" i="62"/>
  <c r="G123" i="62"/>
  <c r="G127" i="62"/>
  <c r="G129" i="62"/>
  <c r="G157" i="62"/>
  <c r="G177" i="62"/>
  <c r="G181" i="62"/>
  <c r="G182" i="62"/>
  <c r="G183" i="62"/>
  <c r="G184" i="62"/>
  <c r="G185" i="62"/>
  <c r="G200" i="62"/>
  <c r="G204" i="62"/>
  <c r="G207" i="62"/>
  <c r="G209" i="62"/>
  <c r="G218" i="62"/>
  <c r="G222" i="62"/>
  <c r="G224" i="62"/>
  <c r="G226" i="62"/>
  <c r="G228" i="62"/>
  <c r="G111" i="62"/>
  <c r="G119" i="62"/>
  <c r="G143" i="62"/>
  <c r="G178" i="62"/>
  <c r="G201" i="62"/>
  <c r="G221" i="62"/>
  <c r="G231" i="62"/>
  <c r="G233" i="62"/>
  <c r="G115" i="62"/>
  <c r="G159" i="62"/>
  <c r="G161" i="62"/>
  <c r="G163" i="62"/>
  <c r="G208" i="62"/>
  <c r="G227" i="62"/>
  <c r="G230" i="62"/>
  <c r="G130" i="62"/>
  <c r="G206" i="62"/>
  <c r="G219" i="62"/>
  <c r="G220" i="62"/>
  <c r="G225" i="62"/>
  <c r="G175" i="62"/>
  <c r="G179" i="62"/>
  <c r="G202" i="62"/>
  <c r="G210" i="62"/>
  <c r="G155" i="62"/>
  <c r="G203" i="62"/>
  <c r="G176" i="62"/>
  <c r="G142" i="62"/>
  <c r="G117" i="62"/>
  <c r="G234" i="62"/>
  <c r="G232" i="62"/>
  <c r="F7" i="63"/>
  <c r="I80" i="46" s="1"/>
  <c r="H76" i="46"/>
  <c r="E20" i="63" s="1"/>
  <c r="H8" i="46"/>
  <c r="H8" i="47"/>
  <c r="H8" i="34"/>
  <c r="H59" i="34" s="1"/>
  <c r="H8" i="18"/>
  <c r="J9" i="41"/>
  <c r="I242" i="62" l="1"/>
  <c r="I16" i="62"/>
  <c r="H17" i="62"/>
  <c r="G55" i="61" s="1"/>
  <c r="G29" i="67"/>
  <c r="H60" i="38"/>
  <c r="I60" i="38" s="1"/>
  <c r="J60" i="38" s="1"/>
  <c r="K60" i="38" s="1"/>
  <c r="L60" i="38" s="1"/>
  <c r="M60" i="38" s="1"/>
  <c r="N60" i="38" s="1"/>
  <c r="O60" i="38" s="1"/>
  <c r="P60" i="38" s="1"/>
  <c r="Q60" i="38" s="1"/>
  <c r="I141" i="62"/>
  <c r="I295" i="62" s="1"/>
  <c r="I91" i="62"/>
  <c r="I252" i="62" s="1"/>
  <c r="H85" i="46"/>
  <c r="I251" i="62"/>
  <c r="I51" i="62"/>
  <c r="I212" i="62"/>
  <c r="I366" i="62" s="1"/>
  <c r="I129" i="62"/>
  <c r="I290" i="62" s="1"/>
  <c r="I250" i="62"/>
  <c r="I228" i="62"/>
  <c r="I382" i="62" s="1"/>
  <c r="I192" i="62"/>
  <c r="I346" i="62" s="1"/>
  <c r="I201" i="62"/>
  <c r="I355" i="62" s="1"/>
  <c r="I261" i="62"/>
  <c r="I164" i="62"/>
  <c r="I318" i="62" s="1"/>
  <c r="I234" i="62"/>
  <c r="I388" i="62" s="1"/>
  <c r="I149" i="62"/>
  <c r="I303" i="62" s="1"/>
  <c r="I114" i="62"/>
  <c r="I275" i="62" s="1"/>
  <c r="I221" i="62"/>
  <c r="I375" i="62" s="1"/>
  <c r="I317" i="62"/>
  <c r="I124" i="62"/>
  <c r="I285" i="62" s="1"/>
  <c r="I197" i="62"/>
  <c r="I351" i="62" s="1"/>
  <c r="I218" i="62"/>
  <c r="I372" i="62" s="1"/>
  <c r="I210" i="62"/>
  <c r="I364" i="62" s="1"/>
  <c r="I191" i="62"/>
  <c r="I345" i="62" s="1"/>
  <c r="I232" i="62"/>
  <c r="I386" i="62" s="1"/>
  <c r="I154" i="62"/>
  <c r="I308" i="62" s="1"/>
  <c r="I227" i="62"/>
  <c r="I381" i="62" s="1"/>
  <c r="I354" i="62"/>
  <c r="I148" i="62"/>
  <c r="I302" i="62" s="1"/>
  <c r="I161" i="62"/>
  <c r="I315" i="62" s="1"/>
  <c r="I105" i="62"/>
  <c r="I268" i="62" s="1"/>
  <c r="I260" i="62"/>
  <c r="I113" i="62"/>
  <c r="I274" i="62" s="1"/>
  <c r="I123" i="62"/>
  <c r="I284" i="62" s="1"/>
  <c r="I360" i="62"/>
  <c r="I219" i="62"/>
  <c r="I373" i="62" s="1"/>
  <c r="I188" i="62"/>
  <c r="I342" i="62" s="1"/>
  <c r="I215" i="62"/>
  <c r="I369" i="62" s="1"/>
  <c r="I183" i="62"/>
  <c r="I337" i="62" s="1"/>
  <c r="I224" i="62"/>
  <c r="I378" i="62" s="1"/>
  <c r="I177" i="62"/>
  <c r="I331" i="62" s="1"/>
  <c r="I299" i="62"/>
  <c r="I158" i="62"/>
  <c r="I312" i="62" s="1"/>
  <c r="I102" i="62"/>
  <c r="I265" i="62" s="1"/>
  <c r="I118" i="62"/>
  <c r="I279" i="62" s="1"/>
  <c r="I128" i="62"/>
  <c r="I289" i="62" s="1"/>
  <c r="I244" i="62"/>
  <c r="I171" i="62"/>
  <c r="I325" i="62" s="1"/>
  <c r="I216" i="62"/>
  <c r="I370" i="62" s="1"/>
  <c r="I208" i="62"/>
  <c r="I362" i="62" s="1"/>
  <c r="I209" i="62"/>
  <c r="I363" i="62" s="1"/>
  <c r="I187" i="62"/>
  <c r="I341" i="62" s="1"/>
  <c r="I213" i="62"/>
  <c r="I367" i="62" s="1"/>
  <c r="I182" i="62"/>
  <c r="I336" i="62" s="1"/>
  <c r="I204" i="62"/>
  <c r="I358" i="62" s="1"/>
  <c r="I176" i="62"/>
  <c r="I330" i="62" s="1"/>
  <c r="I311" i="62"/>
  <c r="I101" i="62"/>
  <c r="I264" i="62" s="1"/>
  <c r="I117" i="62"/>
  <c r="I278" i="62" s="1"/>
  <c r="I127" i="62"/>
  <c r="I288" i="62" s="1"/>
  <c r="I243" i="62"/>
  <c r="H293" i="62"/>
  <c r="H247" i="62"/>
  <c r="H254" i="62"/>
  <c r="G86" i="62"/>
  <c r="H94" i="62"/>
  <c r="I305" i="62"/>
  <c r="I194" i="62"/>
  <c r="I348" i="62" s="1"/>
  <c r="I368" i="62"/>
  <c r="I170" i="62"/>
  <c r="I324" i="62" s="1"/>
  <c r="I152" i="62"/>
  <c r="I306" i="62" s="1"/>
  <c r="I167" i="62"/>
  <c r="I321" i="62" s="1"/>
  <c r="I207" i="62"/>
  <c r="I361" i="62" s="1"/>
  <c r="I190" i="62"/>
  <c r="I344" i="62" s="1"/>
  <c r="I173" i="62"/>
  <c r="I327" i="62" s="1"/>
  <c r="I230" i="62"/>
  <c r="I384" i="62" s="1"/>
  <c r="I195" i="62"/>
  <c r="I349" i="62" s="1"/>
  <c r="I185" i="62"/>
  <c r="I339" i="62" s="1"/>
  <c r="I335" i="62"/>
  <c r="I226" i="62"/>
  <c r="I380" i="62" s="1"/>
  <c r="I203" i="62"/>
  <c r="I357" i="62" s="1"/>
  <c r="I179" i="62"/>
  <c r="I333" i="62" s="1"/>
  <c r="I329" i="62"/>
  <c r="I147" i="62"/>
  <c r="I301" i="62" s="1"/>
  <c r="I143" i="62"/>
  <c r="I297" i="62" s="1"/>
  <c r="I160" i="62"/>
  <c r="I314" i="62" s="1"/>
  <c r="I131" i="62"/>
  <c r="I292" i="62" s="1"/>
  <c r="I104" i="62"/>
  <c r="I267" i="62" s="1"/>
  <c r="I100" i="62"/>
  <c r="I263" i="62" s="1"/>
  <c r="I92" i="62"/>
  <c r="I253" i="62" s="1"/>
  <c r="I116" i="62"/>
  <c r="I277" i="62" s="1"/>
  <c r="I112" i="62"/>
  <c r="I273" i="62" s="1"/>
  <c r="I126" i="62"/>
  <c r="I287" i="62" s="1"/>
  <c r="I246" i="62"/>
  <c r="I222" i="62"/>
  <c r="I376" i="62" s="1"/>
  <c r="I166" i="62"/>
  <c r="I320" i="62" s="1"/>
  <c r="I198" i="62"/>
  <c r="I352" i="62" s="1"/>
  <c r="I233" i="62"/>
  <c r="I387" i="62" s="1"/>
  <c r="I231" i="62"/>
  <c r="I385" i="62" s="1"/>
  <c r="I165" i="62"/>
  <c r="I319" i="62" s="1"/>
  <c r="I196" i="62"/>
  <c r="I350" i="62" s="1"/>
  <c r="I189" i="62"/>
  <c r="I343" i="62" s="1"/>
  <c r="I323" i="62"/>
  <c r="I220" i="62"/>
  <c r="I374" i="62" s="1"/>
  <c r="I172" i="62"/>
  <c r="I326" i="62" s="1"/>
  <c r="I184" i="62"/>
  <c r="I338" i="62" s="1"/>
  <c r="I155" i="62"/>
  <c r="I309" i="62" s="1"/>
  <c r="I225" i="62"/>
  <c r="I379" i="62" s="1"/>
  <c r="I202" i="62"/>
  <c r="I356" i="62" s="1"/>
  <c r="I178" i="62"/>
  <c r="I332" i="62" s="1"/>
  <c r="I153" i="62"/>
  <c r="I307" i="62" s="1"/>
  <c r="I146" i="62"/>
  <c r="I300" i="62" s="1"/>
  <c r="I142" i="62"/>
  <c r="I296" i="62" s="1"/>
  <c r="I159" i="62"/>
  <c r="I313" i="62" s="1"/>
  <c r="I130" i="62"/>
  <c r="I291" i="62" s="1"/>
  <c r="I103" i="62"/>
  <c r="I266" i="62" s="1"/>
  <c r="I262" i="62"/>
  <c r="I119" i="62"/>
  <c r="I280" i="62" s="1"/>
  <c r="I115" i="62"/>
  <c r="I276" i="62" s="1"/>
  <c r="I272" i="62"/>
  <c r="I125" i="62"/>
  <c r="I286" i="62" s="1"/>
  <c r="I245" i="62"/>
  <c r="G278" i="62"/>
  <c r="G329" i="62"/>
  <c r="G362" i="62"/>
  <c r="G355" i="62"/>
  <c r="G378" i="62"/>
  <c r="G338" i="62"/>
  <c r="G132" i="62"/>
  <c r="G21" i="62" s="1"/>
  <c r="F59" i="61" s="1"/>
  <c r="G284" i="62"/>
  <c r="G326" i="62"/>
  <c r="G368" i="62"/>
  <c r="G341" i="62"/>
  <c r="G318" i="62"/>
  <c r="G243" i="62"/>
  <c r="G300" i="62"/>
  <c r="G264" i="62"/>
  <c r="I7" i="46"/>
  <c r="I62" i="46" s="1"/>
  <c r="J9" i="62"/>
  <c r="J50" i="62" s="1"/>
  <c r="G296" i="62"/>
  <c r="G364" i="62"/>
  <c r="G379" i="62"/>
  <c r="G291" i="62"/>
  <c r="G317" i="62"/>
  <c r="G387" i="62"/>
  <c r="G332" i="62"/>
  <c r="G244" i="62"/>
  <c r="G376" i="62"/>
  <c r="G358" i="62"/>
  <c r="G337" i="62"/>
  <c r="G311" i="62"/>
  <c r="G274" i="62"/>
  <c r="G349" i="62"/>
  <c r="G325" i="62"/>
  <c r="G312" i="62"/>
  <c r="G367" i="62"/>
  <c r="G344" i="62"/>
  <c r="G321" i="62"/>
  <c r="G308" i="62"/>
  <c r="G277" i="62"/>
  <c r="G307" i="62"/>
  <c r="G303" i="62"/>
  <c r="G299" i="62"/>
  <c r="G285" i="62"/>
  <c r="G267" i="62"/>
  <c r="G263" i="62"/>
  <c r="G386" i="62"/>
  <c r="G330" i="62"/>
  <c r="G356" i="62"/>
  <c r="G374" i="62"/>
  <c r="G384" i="62"/>
  <c r="G315" i="62"/>
  <c r="G385" i="62"/>
  <c r="G297" i="62"/>
  <c r="G382" i="62"/>
  <c r="G372" i="62"/>
  <c r="G354" i="62"/>
  <c r="G336" i="62"/>
  <c r="G290" i="62"/>
  <c r="G352" i="62"/>
  <c r="G348" i="62"/>
  <c r="G324" i="62"/>
  <c r="G370" i="62"/>
  <c r="G366" i="62"/>
  <c r="G343" i="62"/>
  <c r="G320" i="62"/>
  <c r="G292" i="62"/>
  <c r="G275" i="62"/>
  <c r="G306" i="62"/>
  <c r="G302" i="62"/>
  <c r="G236" i="62"/>
  <c r="G295" i="62"/>
  <c r="G246" i="62"/>
  <c r="G251" i="62"/>
  <c r="G266" i="62"/>
  <c r="G262" i="62"/>
  <c r="G309" i="62"/>
  <c r="G360" i="62"/>
  <c r="G276" i="62"/>
  <c r="G272" i="62"/>
  <c r="G120" i="62"/>
  <c r="G361" i="62"/>
  <c r="G331" i="62"/>
  <c r="G350" i="62"/>
  <c r="G314" i="62"/>
  <c r="G345" i="62"/>
  <c r="G279" i="62"/>
  <c r="G245" i="62"/>
  <c r="G287" i="62"/>
  <c r="G268" i="62"/>
  <c r="G106" i="62"/>
  <c r="G260" i="62"/>
  <c r="G388" i="62"/>
  <c r="G357" i="62"/>
  <c r="G333" i="62"/>
  <c r="G373" i="62"/>
  <c r="G381" i="62"/>
  <c r="G313" i="62"/>
  <c r="G375" i="62"/>
  <c r="G280" i="62"/>
  <c r="G380" i="62"/>
  <c r="G363" i="62"/>
  <c r="G339" i="62"/>
  <c r="G335" i="62"/>
  <c r="G288" i="62"/>
  <c r="G351" i="62"/>
  <c r="G327" i="62"/>
  <c r="G323" i="62"/>
  <c r="G369" i="62"/>
  <c r="G346" i="62"/>
  <c r="G342" i="62"/>
  <c r="G319" i="62"/>
  <c r="G286" i="62"/>
  <c r="G273" i="62"/>
  <c r="G305" i="62"/>
  <c r="G301" i="62"/>
  <c r="G289" i="62"/>
  <c r="G242" i="62"/>
  <c r="G250" i="62"/>
  <c r="G265" i="62"/>
  <c r="G261" i="62"/>
  <c r="H43" i="18"/>
  <c r="H77" i="46"/>
  <c r="I7" i="34"/>
  <c r="I58" i="34" s="1"/>
  <c r="F8" i="63"/>
  <c r="I81" i="46" s="1"/>
  <c r="G22" i="62" l="1"/>
  <c r="F60" i="61" s="1"/>
  <c r="F25" i="67"/>
  <c r="H18" i="62"/>
  <c r="G56" i="61" s="1"/>
  <c r="G32" i="67"/>
  <c r="G17" i="62"/>
  <c r="F55" i="61" s="1"/>
  <c r="F29" i="67"/>
  <c r="F30" i="67" s="1"/>
  <c r="G35" i="67"/>
  <c r="G19" i="62"/>
  <c r="F23" i="67"/>
  <c r="G20" i="62"/>
  <c r="F58" i="61" s="1"/>
  <c r="F24" i="67"/>
  <c r="H113" i="67"/>
  <c r="I293" i="62"/>
  <c r="I106" i="62"/>
  <c r="I108" i="62" s="1"/>
  <c r="I132" i="62"/>
  <c r="I21" i="62" s="1"/>
  <c r="H59" i="61" s="1"/>
  <c r="I236" i="62"/>
  <c r="H256" i="62"/>
  <c r="I120" i="62"/>
  <c r="I86" i="62"/>
  <c r="I63" i="46"/>
  <c r="I76" i="46" s="1"/>
  <c r="G247" i="62"/>
  <c r="G134" i="62"/>
  <c r="G237" i="62" s="1"/>
  <c r="I254" i="62"/>
  <c r="I8" i="34"/>
  <c r="I59" i="34" s="1"/>
  <c r="J10" i="62"/>
  <c r="J16" i="62" s="1"/>
  <c r="G269" i="62"/>
  <c r="G94" i="62"/>
  <c r="G254" i="62"/>
  <c r="G281" i="62"/>
  <c r="G390" i="62"/>
  <c r="G293" i="62"/>
  <c r="I8" i="46"/>
  <c r="I8" i="18"/>
  <c r="I8" i="47"/>
  <c r="G7" i="63"/>
  <c r="J80" i="46" s="1"/>
  <c r="F57" i="61" l="1"/>
  <c r="G31" i="62"/>
  <c r="G32" i="62" s="1"/>
  <c r="I17" i="62"/>
  <c r="H55" i="61" s="1"/>
  <c r="H29" i="67"/>
  <c r="G82" i="61"/>
  <c r="G18" i="62"/>
  <c r="G23" i="62" s="1"/>
  <c r="F32" i="67"/>
  <c r="I20" i="62"/>
  <c r="H58" i="61" s="1"/>
  <c r="H24" i="67"/>
  <c r="F26" i="67"/>
  <c r="F31" i="67" s="1"/>
  <c r="I22" i="62"/>
  <c r="H60" i="61" s="1"/>
  <c r="H25" i="67"/>
  <c r="I19" i="62"/>
  <c r="H23" i="67"/>
  <c r="G36" i="67"/>
  <c r="J242" i="62"/>
  <c r="J91" i="62"/>
  <c r="J252" i="62" s="1"/>
  <c r="J51" i="62"/>
  <c r="J141" i="62"/>
  <c r="J295" i="62" s="1"/>
  <c r="I390" i="62"/>
  <c r="I43" i="18"/>
  <c r="F20" i="63"/>
  <c r="I71" i="46"/>
  <c r="I74" i="46" s="1"/>
  <c r="I77" i="46" s="1"/>
  <c r="I281" i="62"/>
  <c r="I269" i="62"/>
  <c r="I247" i="62"/>
  <c r="I94" i="62"/>
  <c r="I134" i="62"/>
  <c r="I237" i="62" s="1"/>
  <c r="J250" i="62"/>
  <c r="J251" i="62"/>
  <c r="J92" i="62"/>
  <c r="J253" i="62" s="1"/>
  <c r="J243" i="62"/>
  <c r="J244" i="62"/>
  <c r="J245" i="62"/>
  <c r="J246" i="62"/>
  <c r="J123" i="62"/>
  <c r="J284" i="62" s="1"/>
  <c r="J272" i="62"/>
  <c r="J112" i="62"/>
  <c r="J273" i="62" s="1"/>
  <c r="J113" i="62"/>
  <c r="J274" i="62" s="1"/>
  <c r="J114" i="62"/>
  <c r="J275" i="62" s="1"/>
  <c r="J115" i="62"/>
  <c r="J276" i="62" s="1"/>
  <c r="J116" i="62"/>
  <c r="J277" i="62" s="1"/>
  <c r="J117" i="62"/>
  <c r="J278" i="62" s="1"/>
  <c r="J118" i="62"/>
  <c r="J279" i="62" s="1"/>
  <c r="J119" i="62"/>
  <c r="J280" i="62" s="1"/>
  <c r="J125" i="62"/>
  <c r="J286" i="62" s="1"/>
  <c r="J127" i="62"/>
  <c r="J288" i="62" s="1"/>
  <c r="J305" i="62"/>
  <c r="J152" i="62"/>
  <c r="J306" i="62" s="1"/>
  <c r="J153" i="62"/>
  <c r="J307" i="62" s="1"/>
  <c r="J154" i="62"/>
  <c r="J308" i="62" s="1"/>
  <c r="J155" i="62"/>
  <c r="J309" i="62" s="1"/>
  <c r="J260" i="62"/>
  <c r="J261" i="62"/>
  <c r="J262" i="62"/>
  <c r="J100" i="62"/>
  <c r="J263" i="62" s="1"/>
  <c r="J101" i="62"/>
  <c r="J264" i="62" s="1"/>
  <c r="J102" i="62"/>
  <c r="J265" i="62" s="1"/>
  <c r="J103" i="62"/>
  <c r="J266" i="62" s="1"/>
  <c r="J104" i="62"/>
  <c r="J267" i="62" s="1"/>
  <c r="J105" i="62"/>
  <c r="J268" i="62" s="1"/>
  <c r="J129" i="62"/>
  <c r="J290" i="62" s="1"/>
  <c r="J130" i="62"/>
  <c r="J291" i="62" s="1"/>
  <c r="J131" i="62"/>
  <c r="J292" i="62" s="1"/>
  <c r="J126" i="62"/>
  <c r="J287" i="62" s="1"/>
  <c r="J142" i="62"/>
  <c r="J296" i="62" s="1"/>
  <c r="J143" i="62"/>
  <c r="J297" i="62" s="1"/>
  <c r="J317" i="62"/>
  <c r="J323" i="62"/>
  <c r="J170" i="62"/>
  <c r="J324" i="62" s="1"/>
  <c r="J171" i="62"/>
  <c r="J325" i="62" s="1"/>
  <c r="J172" i="62"/>
  <c r="J326" i="62" s="1"/>
  <c r="J173" i="62"/>
  <c r="J327" i="62" s="1"/>
  <c r="J194" i="62"/>
  <c r="J348" i="62" s="1"/>
  <c r="J195" i="62"/>
  <c r="J349" i="62" s="1"/>
  <c r="J196" i="62"/>
  <c r="J350" i="62" s="1"/>
  <c r="J197" i="62"/>
  <c r="J351" i="62" s="1"/>
  <c r="J198" i="62"/>
  <c r="J352" i="62" s="1"/>
  <c r="J218" i="62"/>
  <c r="J372" i="62" s="1"/>
  <c r="J219" i="62"/>
  <c r="J373" i="62" s="1"/>
  <c r="J220" i="62"/>
  <c r="J374" i="62" s="1"/>
  <c r="J221" i="62"/>
  <c r="J375" i="62" s="1"/>
  <c r="J222" i="62"/>
  <c r="J376" i="62" s="1"/>
  <c r="J124" i="62"/>
  <c r="J285" i="62" s="1"/>
  <c r="J299" i="62"/>
  <c r="J146" i="62"/>
  <c r="J300" i="62" s="1"/>
  <c r="J147" i="62"/>
  <c r="J301" i="62" s="1"/>
  <c r="J148" i="62"/>
  <c r="J302" i="62" s="1"/>
  <c r="J149" i="62"/>
  <c r="J303" i="62" s="1"/>
  <c r="J311" i="62"/>
  <c r="J159" i="62"/>
  <c r="J313" i="62" s="1"/>
  <c r="J161" i="62"/>
  <c r="J315" i="62" s="1"/>
  <c r="J329" i="62"/>
  <c r="J176" i="62"/>
  <c r="J330" i="62" s="1"/>
  <c r="J177" i="62"/>
  <c r="J331" i="62" s="1"/>
  <c r="J178" i="62"/>
  <c r="J332" i="62" s="1"/>
  <c r="J179" i="62"/>
  <c r="J333" i="62" s="1"/>
  <c r="J354" i="62"/>
  <c r="J201" i="62"/>
  <c r="J355" i="62" s="1"/>
  <c r="J202" i="62"/>
  <c r="J356" i="62" s="1"/>
  <c r="J203" i="62"/>
  <c r="J357" i="62" s="1"/>
  <c r="J204" i="62"/>
  <c r="J358" i="62" s="1"/>
  <c r="J160" i="62"/>
  <c r="J314" i="62" s="1"/>
  <c r="J164" i="62"/>
  <c r="J318" i="62" s="1"/>
  <c r="J165" i="62"/>
  <c r="J319" i="62" s="1"/>
  <c r="J166" i="62"/>
  <c r="J320" i="62" s="1"/>
  <c r="J167" i="62"/>
  <c r="J321" i="62" s="1"/>
  <c r="J360" i="62"/>
  <c r="J208" i="62"/>
  <c r="J362" i="62" s="1"/>
  <c r="J210" i="62"/>
  <c r="J364" i="62" s="1"/>
  <c r="J225" i="62"/>
  <c r="J379" i="62" s="1"/>
  <c r="J227" i="62"/>
  <c r="J381" i="62" s="1"/>
  <c r="J158" i="62"/>
  <c r="J312" i="62" s="1"/>
  <c r="J335" i="62"/>
  <c r="J182" i="62"/>
  <c r="J336" i="62" s="1"/>
  <c r="J183" i="62"/>
  <c r="J337" i="62" s="1"/>
  <c r="J184" i="62"/>
  <c r="J338" i="62" s="1"/>
  <c r="J185" i="62"/>
  <c r="J339" i="62" s="1"/>
  <c r="J213" i="62"/>
  <c r="J367" i="62" s="1"/>
  <c r="J215" i="62"/>
  <c r="J369" i="62" s="1"/>
  <c r="J230" i="62"/>
  <c r="J384" i="62" s="1"/>
  <c r="J232" i="62"/>
  <c r="J386" i="62" s="1"/>
  <c r="J234" i="62"/>
  <c r="J388" i="62" s="1"/>
  <c r="J189" i="62"/>
  <c r="J343" i="62" s="1"/>
  <c r="J209" i="62"/>
  <c r="J363" i="62" s="1"/>
  <c r="J214" i="62"/>
  <c r="J368" i="62" s="1"/>
  <c r="J228" i="62"/>
  <c r="J382" i="62" s="1"/>
  <c r="J233" i="62"/>
  <c r="J387" i="62" s="1"/>
  <c r="J188" i="62"/>
  <c r="J342" i="62" s="1"/>
  <c r="J192" i="62"/>
  <c r="J346" i="62" s="1"/>
  <c r="J207" i="62"/>
  <c r="J361" i="62" s="1"/>
  <c r="J212" i="62"/>
  <c r="J366" i="62" s="1"/>
  <c r="J226" i="62"/>
  <c r="J380" i="62" s="1"/>
  <c r="J231" i="62"/>
  <c r="J385" i="62" s="1"/>
  <c r="J128" i="62"/>
  <c r="J289" i="62" s="1"/>
  <c r="J341" i="62"/>
  <c r="J191" i="62"/>
  <c r="J345" i="62" s="1"/>
  <c r="J216" i="62"/>
  <c r="J370" i="62" s="1"/>
  <c r="J224" i="62"/>
  <c r="J378" i="62" s="1"/>
  <c r="J190" i="62"/>
  <c r="J344" i="62" s="1"/>
  <c r="G256" i="62"/>
  <c r="G394" i="62" s="1"/>
  <c r="J7" i="46"/>
  <c r="J62" i="46" s="1"/>
  <c r="K9" i="62"/>
  <c r="K50" i="62" s="1"/>
  <c r="G135" i="62"/>
  <c r="G8" i="63"/>
  <c r="J81" i="46" s="1"/>
  <c r="J7" i="34"/>
  <c r="J58" i="34" s="1"/>
  <c r="H57" i="61" l="1"/>
  <c r="I31" i="62"/>
  <c r="F56" i="61"/>
  <c r="F61" i="61" s="1"/>
  <c r="H37" i="67"/>
  <c r="I82" i="61"/>
  <c r="G401" i="62"/>
  <c r="G38" i="62" s="1"/>
  <c r="F20" i="67"/>
  <c r="H39" i="67"/>
  <c r="H38" i="67"/>
  <c r="H35" i="67"/>
  <c r="H30" i="67"/>
  <c r="I18" i="62"/>
  <c r="I23" i="62" s="1"/>
  <c r="H32" i="67"/>
  <c r="H26" i="67"/>
  <c r="I113" i="67"/>
  <c r="J293" i="62"/>
  <c r="I256" i="62"/>
  <c r="G27" i="62"/>
  <c r="G396" i="62"/>
  <c r="G410" i="62" s="1"/>
  <c r="G419" i="62"/>
  <c r="I85" i="46"/>
  <c r="J63" i="46"/>
  <c r="J71" i="46" s="1"/>
  <c r="J74" i="46" s="1"/>
  <c r="G413" i="62"/>
  <c r="G455" i="62"/>
  <c r="G416" i="62"/>
  <c r="I135" i="62"/>
  <c r="J236" i="62"/>
  <c r="J132" i="62"/>
  <c r="J21" i="62" s="1"/>
  <c r="I59" i="61" s="1"/>
  <c r="J86" i="62"/>
  <c r="J8" i="47"/>
  <c r="K10" i="62"/>
  <c r="K16" i="62" s="1"/>
  <c r="J106" i="62"/>
  <c r="J108" i="62" s="1"/>
  <c r="J120" i="62"/>
  <c r="J8" i="34"/>
  <c r="J59" i="34" s="1"/>
  <c r="H7" i="63"/>
  <c r="K80" i="46" s="1"/>
  <c r="J8" i="46"/>
  <c r="J8" i="18"/>
  <c r="J76" i="46"/>
  <c r="G20" i="63" s="1"/>
  <c r="E27" i="38"/>
  <c r="D27" i="38" s="1"/>
  <c r="H56" i="61" l="1"/>
  <c r="H61" i="61" s="1"/>
  <c r="H27" i="67"/>
  <c r="H34" i="67"/>
  <c r="H31" i="67"/>
  <c r="J22" i="62"/>
  <c r="I60" i="61" s="1"/>
  <c r="I25" i="67"/>
  <c r="J19" i="62"/>
  <c r="I23" i="67"/>
  <c r="I401" i="62"/>
  <c r="I38" i="62" s="1"/>
  <c r="H20" i="67"/>
  <c r="H21" i="67" s="1"/>
  <c r="H47" i="67" s="1"/>
  <c r="H36" i="67"/>
  <c r="H33" i="67"/>
  <c r="J20" i="62"/>
  <c r="I58" i="61" s="1"/>
  <c r="I24" i="67"/>
  <c r="J17" i="62"/>
  <c r="I55" i="61" s="1"/>
  <c r="I29" i="67"/>
  <c r="F21" i="67"/>
  <c r="I394" i="62"/>
  <c r="I396" i="62" s="1"/>
  <c r="K242" i="62"/>
  <c r="K91" i="62"/>
  <c r="K252" i="62" s="1"/>
  <c r="H12" i="34"/>
  <c r="K51" i="62"/>
  <c r="K141" i="62"/>
  <c r="K295" i="62" s="1"/>
  <c r="G35" i="62"/>
  <c r="I27" i="62"/>
  <c r="G407" i="62"/>
  <c r="G39" i="62" s="1"/>
  <c r="H94" i="61"/>
  <c r="H92" i="61"/>
  <c r="H93" i="61"/>
  <c r="G404" i="62"/>
  <c r="I419" i="62"/>
  <c r="J85" i="46"/>
  <c r="H38" i="34"/>
  <c r="I413" i="62"/>
  <c r="I416" i="62"/>
  <c r="H23" i="34"/>
  <c r="I455" i="62"/>
  <c r="J281" i="62"/>
  <c r="J269" i="62"/>
  <c r="K7" i="46"/>
  <c r="K63" i="46" s="1"/>
  <c r="L9" i="62"/>
  <c r="L50" i="62" s="1"/>
  <c r="J134" i="62"/>
  <c r="J237" i="62" s="1"/>
  <c r="J94" i="62"/>
  <c r="J254" i="62"/>
  <c r="J247" i="62"/>
  <c r="K260" i="62"/>
  <c r="K261" i="62"/>
  <c r="K262" i="62"/>
  <c r="K100" i="62"/>
  <c r="K263" i="62" s="1"/>
  <c r="K101" i="62"/>
  <c r="K264" i="62" s="1"/>
  <c r="K102" i="62"/>
  <c r="K265" i="62" s="1"/>
  <c r="K103" i="62"/>
  <c r="K266" i="62" s="1"/>
  <c r="K104" i="62"/>
  <c r="K267" i="62" s="1"/>
  <c r="K105" i="62"/>
  <c r="K268" i="62" s="1"/>
  <c r="K250" i="62"/>
  <c r="K251" i="62"/>
  <c r="K92" i="62"/>
  <c r="K253" i="62" s="1"/>
  <c r="K243" i="62"/>
  <c r="K299" i="62"/>
  <c r="K146" i="62"/>
  <c r="K300" i="62" s="1"/>
  <c r="K147" i="62"/>
  <c r="K301" i="62" s="1"/>
  <c r="K148" i="62"/>
  <c r="K302" i="62" s="1"/>
  <c r="K149" i="62"/>
  <c r="K303" i="62" s="1"/>
  <c r="K246" i="62"/>
  <c r="K272" i="62"/>
  <c r="K112" i="62"/>
  <c r="K273" i="62" s="1"/>
  <c r="K113" i="62"/>
  <c r="K274" i="62" s="1"/>
  <c r="K114" i="62"/>
  <c r="K275" i="62" s="1"/>
  <c r="K115" i="62"/>
  <c r="K276" i="62" s="1"/>
  <c r="K116" i="62"/>
  <c r="K277" i="62" s="1"/>
  <c r="K117" i="62"/>
  <c r="K278" i="62" s="1"/>
  <c r="K118" i="62"/>
  <c r="K279" i="62" s="1"/>
  <c r="K119" i="62"/>
  <c r="K280" i="62" s="1"/>
  <c r="K123" i="62"/>
  <c r="K284" i="62" s="1"/>
  <c r="K125" i="62"/>
  <c r="K286" i="62" s="1"/>
  <c r="K127" i="62"/>
  <c r="K288" i="62" s="1"/>
  <c r="K305" i="62"/>
  <c r="K152" i="62"/>
  <c r="K306" i="62" s="1"/>
  <c r="K153" i="62"/>
  <c r="K307" i="62" s="1"/>
  <c r="K128" i="62"/>
  <c r="K289" i="62" s="1"/>
  <c r="K129" i="62"/>
  <c r="K290" i="62" s="1"/>
  <c r="K158" i="62"/>
  <c r="K312" i="62" s="1"/>
  <c r="K160" i="62"/>
  <c r="K314" i="62" s="1"/>
  <c r="K164" i="62"/>
  <c r="K318" i="62" s="1"/>
  <c r="K165" i="62"/>
  <c r="K319" i="62" s="1"/>
  <c r="K166" i="62"/>
  <c r="K320" i="62" s="1"/>
  <c r="K167" i="62"/>
  <c r="K321" i="62" s="1"/>
  <c r="K341" i="62"/>
  <c r="K188" i="62"/>
  <c r="K342" i="62" s="1"/>
  <c r="K189" i="62"/>
  <c r="K343" i="62" s="1"/>
  <c r="K190" i="62"/>
  <c r="K344" i="62" s="1"/>
  <c r="K191" i="62"/>
  <c r="K345" i="62" s="1"/>
  <c r="K192" i="62"/>
  <c r="K346" i="62" s="1"/>
  <c r="K212" i="62"/>
  <c r="K366" i="62" s="1"/>
  <c r="K213" i="62"/>
  <c r="K367" i="62" s="1"/>
  <c r="K214" i="62"/>
  <c r="K368" i="62" s="1"/>
  <c r="K215" i="62"/>
  <c r="K369" i="62" s="1"/>
  <c r="K216" i="62"/>
  <c r="K370" i="62" s="1"/>
  <c r="K245" i="62"/>
  <c r="K126" i="62"/>
  <c r="K287" i="62" s="1"/>
  <c r="K130" i="62"/>
  <c r="K291" i="62" s="1"/>
  <c r="K142" i="62"/>
  <c r="K296" i="62" s="1"/>
  <c r="K143" i="62"/>
  <c r="K297" i="62" s="1"/>
  <c r="K317" i="62"/>
  <c r="K323" i="62"/>
  <c r="K170" i="62"/>
  <c r="K324" i="62" s="1"/>
  <c r="K171" i="62"/>
  <c r="K325" i="62" s="1"/>
  <c r="K172" i="62"/>
  <c r="K326" i="62" s="1"/>
  <c r="K173" i="62"/>
  <c r="K327" i="62" s="1"/>
  <c r="K348" i="62"/>
  <c r="K195" i="62"/>
  <c r="K349" i="62" s="1"/>
  <c r="K196" i="62"/>
  <c r="K350" i="62" s="1"/>
  <c r="K197" i="62"/>
  <c r="K351" i="62" s="1"/>
  <c r="K198" i="62"/>
  <c r="K352" i="62" s="1"/>
  <c r="K155" i="62"/>
  <c r="K309" i="62" s="1"/>
  <c r="K159" i="62"/>
  <c r="K313" i="62" s="1"/>
  <c r="K329" i="62"/>
  <c r="K179" i="62"/>
  <c r="K333" i="62" s="1"/>
  <c r="K202" i="62"/>
  <c r="K356" i="62" s="1"/>
  <c r="K221" i="62"/>
  <c r="K375" i="62" s="1"/>
  <c r="K231" i="62"/>
  <c r="K385" i="62" s="1"/>
  <c r="K233" i="62"/>
  <c r="K387" i="62" s="1"/>
  <c r="K154" i="62"/>
  <c r="K308" i="62" s="1"/>
  <c r="K311" i="62"/>
  <c r="K176" i="62"/>
  <c r="K330" i="62" s="1"/>
  <c r="K203" i="62"/>
  <c r="K357" i="62" s="1"/>
  <c r="K360" i="62"/>
  <c r="K208" i="62"/>
  <c r="K362" i="62" s="1"/>
  <c r="K210" i="62"/>
  <c r="K364" i="62" s="1"/>
  <c r="K220" i="62"/>
  <c r="K374" i="62" s="1"/>
  <c r="K225" i="62"/>
  <c r="K379" i="62" s="1"/>
  <c r="K227" i="62"/>
  <c r="K381" i="62" s="1"/>
  <c r="K244" i="62"/>
  <c r="K232" i="62"/>
  <c r="K386" i="62" s="1"/>
  <c r="K124" i="62"/>
  <c r="K285" i="62" s="1"/>
  <c r="K161" i="62"/>
  <c r="K315" i="62" s="1"/>
  <c r="K177" i="62"/>
  <c r="K331" i="62" s="1"/>
  <c r="K178" i="62"/>
  <c r="K332" i="62" s="1"/>
  <c r="K182" i="62"/>
  <c r="K336" i="62" s="1"/>
  <c r="K184" i="62"/>
  <c r="K338" i="62" s="1"/>
  <c r="K354" i="62"/>
  <c r="K201" i="62"/>
  <c r="K355" i="62" s="1"/>
  <c r="K204" i="62"/>
  <c r="K358" i="62" s="1"/>
  <c r="K209" i="62"/>
  <c r="K363" i="62" s="1"/>
  <c r="K228" i="62"/>
  <c r="K382" i="62" s="1"/>
  <c r="K230" i="62"/>
  <c r="K384" i="62" s="1"/>
  <c r="K131" i="62"/>
  <c r="K292" i="62" s="1"/>
  <c r="K218" i="62"/>
  <c r="K372" i="62" s="1"/>
  <c r="K222" i="62"/>
  <c r="K376" i="62" s="1"/>
  <c r="K224" i="62"/>
  <c r="K378" i="62" s="1"/>
  <c r="K183" i="62"/>
  <c r="K337" i="62" s="1"/>
  <c r="K207" i="62"/>
  <c r="K361" i="62" s="1"/>
  <c r="K335" i="62"/>
  <c r="K185" i="62"/>
  <c r="K339" i="62" s="1"/>
  <c r="K219" i="62"/>
  <c r="K373" i="62" s="1"/>
  <c r="K226" i="62"/>
  <c r="K380" i="62" s="1"/>
  <c r="K234" i="62"/>
  <c r="K388" i="62" s="1"/>
  <c r="J390" i="62"/>
  <c r="J43" i="18"/>
  <c r="J77" i="46"/>
  <c r="K7" i="34"/>
  <c r="K58" i="34" s="1"/>
  <c r="H8" i="63"/>
  <c r="K81" i="46" s="1"/>
  <c r="K76" i="46"/>
  <c r="H20" i="63" s="1"/>
  <c r="I57" i="61" l="1"/>
  <c r="J31" i="62"/>
  <c r="J82" i="61"/>
  <c r="I38" i="67"/>
  <c r="I37" i="67"/>
  <c r="I26" i="67"/>
  <c r="I39" i="67"/>
  <c r="J18" i="62"/>
  <c r="I56" i="61" s="1"/>
  <c r="I32" i="67"/>
  <c r="I35" i="67"/>
  <c r="I30" i="67"/>
  <c r="J113" i="67"/>
  <c r="I407" i="62"/>
  <c r="I39" i="62" s="1"/>
  <c r="I410" i="62"/>
  <c r="I35" i="62"/>
  <c r="I404" i="62"/>
  <c r="K293" i="62"/>
  <c r="G421" i="62"/>
  <c r="G457" i="62" s="1"/>
  <c r="P142" i="38"/>
  <c r="L142" i="38"/>
  <c r="H142" i="38"/>
  <c r="O142" i="38"/>
  <c r="K142" i="38"/>
  <c r="G142" i="38"/>
  <c r="M142" i="38"/>
  <c r="F143" i="38"/>
  <c r="N142" i="38"/>
  <c r="J142" i="38"/>
  <c r="F142" i="38"/>
  <c r="Q142" i="38"/>
  <c r="I142" i="38"/>
  <c r="K85" i="46"/>
  <c r="J23" i="62"/>
  <c r="I95" i="61" s="1"/>
  <c r="K62" i="46"/>
  <c r="K71" i="46" s="1"/>
  <c r="K74" i="46" s="1"/>
  <c r="K77" i="46" s="1"/>
  <c r="I8" i="63"/>
  <c r="L81" i="46" s="1"/>
  <c r="L10" i="62"/>
  <c r="L16" i="62" s="1"/>
  <c r="K106" i="62"/>
  <c r="K108" i="62" s="1"/>
  <c r="J256" i="62"/>
  <c r="J394" i="62" s="1"/>
  <c r="K120" i="62"/>
  <c r="J135" i="62"/>
  <c r="K86" i="62"/>
  <c r="K236" i="62"/>
  <c r="K132" i="62"/>
  <c r="K21" i="62" s="1"/>
  <c r="J59" i="61" s="1"/>
  <c r="K8" i="34"/>
  <c r="K59" i="34" s="1"/>
  <c r="K43" i="18"/>
  <c r="K8" i="47"/>
  <c r="K8" i="18"/>
  <c r="K8" i="46"/>
  <c r="I61" i="61" l="1"/>
  <c r="K17" i="62"/>
  <c r="J55" i="61" s="1"/>
  <c r="J29" i="67"/>
  <c r="K19" i="62"/>
  <c r="J23" i="67"/>
  <c r="J401" i="62"/>
  <c r="J38" i="62" s="1"/>
  <c r="I20" i="67"/>
  <c r="K20" i="62"/>
  <c r="J58" i="61" s="1"/>
  <c r="J24" i="67"/>
  <c r="I36" i="67"/>
  <c r="I33" i="67"/>
  <c r="K22" i="62"/>
  <c r="J60" i="61" s="1"/>
  <c r="J25" i="67"/>
  <c r="I27" i="67"/>
  <c r="I31" i="67"/>
  <c r="I34" i="67"/>
  <c r="K113" i="67"/>
  <c r="I421" i="62"/>
  <c r="I457" i="62" s="1"/>
  <c r="G37" i="62"/>
  <c r="G40" i="62"/>
  <c r="G422" i="62"/>
  <c r="L242" i="62"/>
  <c r="L91" i="62"/>
  <c r="L252" i="62" s="1"/>
  <c r="I12" i="34"/>
  <c r="L51" i="62"/>
  <c r="L141" i="62"/>
  <c r="L295" i="62" s="1"/>
  <c r="J27" i="62"/>
  <c r="I93" i="61"/>
  <c r="I94" i="61"/>
  <c r="I92" i="61"/>
  <c r="J396" i="62"/>
  <c r="J35" i="62" s="1"/>
  <c r="J419" i="62"/>
  <c r="L7" i="18"/>
  <c r="I7" i="63"/>
  <c r="L80" i="46" s="1"/>
  <c r="F42" i="18"/>
  <c r="F75" i="67" s="1"/>
  <c r="G42" i="62"/>
  <c r="C12" i="63" s="1"/>
  <c r="I23" i="34"/>
  <c r="I37" i="34"/>
  <c r="I39" i="34"/>
  <c r="I22" i="34"/>
  <c r="J455" i="62"/>
  <c r="I17" i="34"/>
  <c r="J416" i="62"/>
  <c r="I38" i="34"/>
  <c r="J413" i="62"/>
  <c r="L7" i="34"/>
  <c r="L58" i="34" s="1"/>
  <c r="M10" i="62"/>
  <c r="M16" i="62" s="1"/>
  <c r="K269" i="62"/>
  <c r="K281" i="62"/>
  <c r="K134" i="62"/>
  <c r="K237" i="62" s="1"/>
  <c r="K390" i="62"/>
  <c r="L243" i="62"/>
  <c r="L244" i="62"/>
  <c r="L245" i="62"/>
  <c r="L246" i="62"/>
  <c r="L272" i="62"/>
  <c r="L112" i="62"/>
  <c r="L273" i="62" s="1"/>
  <c r="L113" i="62"/>
  <c r="L274" i="62" s="1"/>
  <c r="L114" i="62"/>
  <c r="L275" i="62" s="1"/>
  <c r="L115" i="62"/>
  <c r="L276" i="62" s="1"/>
  <c r="L116" i="62"/>
  <c r="L277" i="62" s="1"/>
  <c r="L117" i="62"/>
  <c r="L278" i="62" s="1"/>
  <c r="L118" i="62"/>
  <c r="L279" i="62" s="1"/>
  <c r="L119" i="62"/>
  <c r="L280" i="62" s="1"/>
  <c r="L260" i="62"/>
  <c r="L261" i="62"/>
  <c r="L262" i="62"/>
  <c r="L100" i="62"/>
  <c r="L263" i="62" s="1"/>
  <c r="L101" i="62"/>
  <c r="L264" i="62" s="1"/>
  <c r="L102" i="62"/>
  <c r="L265" i="62" s="1"/>
  <c r="L103" i="62"/>
  <c r="L266" i="62" s="1"/>
  <c r="L104" i="62"/>
  <c r="L267" i="62" s="1"/>
  <c r="L105" i="62"/>
  <c r="L268" i="62" s="1"/>
  <c r="L251" i="62"/>
  <c r="L124" i="62"/>
  <c r="L285" i="62" s="1"/>
  <c r="L126" i="62"/>
  <c r="L287" i="62" s="1"/>
  <c r="L128" i="62"/>
  <c r="L289" i="62" s="1"/>
  <c r="L142" i="62"/>
  <c r="L296" i="62" s="1"/>
  <c r="L143" i="62"/>
  <c r="L297" i="62" s="1"/>
  <c r="L317" i="62"/>
  <c r="L250" i="62"/>
  <c r="L92" i="62"/>
  <c r="L253" i="62" s="1"/>
  <c r="L299" i="62"/>
  <c r="L146" i="62"/>
  <c r="L300" i="62" s="1"/>
  <c r="L147" i="62"/>
  <c r="L301" i="62" s="1"/>
  <c r="L148" i="62"/>
  <c r="L302" i="62" s="1"/>
  <c r="L149" i="62"/>
  <c r="L303" i="62" s="1"/>
  <c r="L152" i="62"/>
  <c r="L306" i="62" s="1"/>
  <c r="L154" i="62"/>
  <c r="L308" i="62" s="1"/>
  <c r="L335" i="62"/>
  <c r="L182" i="62"/>
  <c r="L336" i="62" s="1"/>
  <c r="L183" i="62"/>
  <c r="L337" i="62" s="1"/>
  <c r="L184" i="62"/>
  <c r="L338" i="62" s="1"/>
  <c r="L185" i="62"/>
  <c r="L339" i="62" s="1"/>
  <c r="L360" i="62"/>
  <c r="L207" i="62"/>
  <c r="L361" i="62" s="1"/>
  <c r="L208" i="62"/>
  <c r="L362" i="62" s="1"/>
  <c r="L209" i="62"/>
  <c r="L363" i="62" s="1"/>
  <c r="L210" i="62"/>
  <c r="L364" i="62" s="1"/>
  <c r="L230" i="62"/>
  <c r="L384" i="62" s="1"/>
  <c r="L231" i="62"/>
  <c r="L385" i="62" s="1"/>
  <c r="L232" i="62"/>
  <c r="L386" i="62" s="1"/>
  <c r="L233" i="62"/>
  <c r="L387" i="62" s="1"/>
  <c r="L234" i="62"/>
  <c r="L388" i="62" s="1"/>
  <c r="L127" i="62"/>
  <c r="L288" i="62" s="1"/>
  <c r="L129" i="62"/>
  <c r="L290" i="62" s="1"/>
  <c r="L153" i="62"/>
  <c r="L307" i="62" s="1"/>
  <c r="L158" i="62"/>
  <c r="L312" i="62" s="1"/>
  <c r="L160" i="62"/>
  <c r="L314" i="62" s="1"/>
  <c r="L164" i="62"/>
  <c r="L318" i="62" s="1"/>
  <c r="L165" i="62"/>
  <c r="L319" i="62" s="1"/>
  <c r="L166" i="62"/>
  <c r="L320" i="62" s="1"/>
  <c r="L167" i="62"/>
  <c r="L321" i="62" s="1"/>
  <c r="L341" i="62"/>
  <c r="L188" i="62"/>
  <c r="L342" i="62" s="1"/>
  <c r="L189" i="62"/>
  <c r="L343" i="62" s="1"/>
  <c r="L190" i="62"/>
  <c r="L344" i="62" s="1"/>
  <c r="L191" i="62"/>
  <c r="L345" i="62" s="1"/>
  <c r="L192" i="62"/>
  <c r="L346" i="62" s="1"/>
  <c r="L130" i="62"/>
  <c r="L291" i="62" s="1"/>
  <c r="L305" i="62"/>
  <c r="L161" i="62"/>
  <c r="L315" i="62" s="1"/>
  <c r="L171" i="62"/>
  <c r="L325" i="62" s="1"/>
  <c r="L178" i="62"/>
  <c r="L332" i="62" s="1"/>
  <c r="L348" i="62"/>
  <c r="L198" i="62"/>
  <c r="L352" i="62" s="1"/>
  <c r="L201" i="62"/>
  <c r="L355" i="62" s="1"/>
  <c r="L212" i="62"/>
  <c r="L366" i="62" s="1"/>
  <c r="L214" i="62"/>
  <c r="L368" i="62" s="1"/>
  <c r="L216" i="62"/>
  <c r="L370" i="62" s="1"/>
  <c r="L218" i="62"/>
  <c r="L372" i="62" s="1"/>
  <c r="L222" i="62"/>
  <c r="L376" i="62" s="1"/>
  <c r="L224" i="62"/>
  <c r="L378" i="62" s="1"/>
  <c r="L226" i="62"/>
  <c r="L380" i="62" s="1"/>
  <c r="L228" i="62"/>
  <c r="L382" i="62" s="1"/>
  <c r="L123" i="62"/>
  <c r="L284" i="62" s="1"/>
  <c r="L125" i="62"/>
  <c r="L286" i="62" s="1"/>
  <c r="L155" i="62"/>
  <c r="L309" i="62" s="1"/>
  <c r="L159" i="62"/>
  <c r="L313" i="62" s="1"/>
  <c r="L172" i="62"/>
  <c r="L326" i="62" s="1"/>
  <c r="L329" i="62"/>
  <c r="L179" i="62"/>
  <c r="L333" i="62" s="1"/>
  <c r="L195" i="62"/>
  <c r="L349" i="62" s="1"/>
  <c r="L202" i="62"/>
  <c r="L356" i="62" s="1"/>
  <c r="L221" i="62"/>
  <c r="L375" i="62" s="1"/>
  <c r="L131" i="62"/>
  <c r="L292" i="62" s="1"/>
  <c r="L213" i="62"/>
  <c r="L367" i="62" s="1"/>
  <c r="L311" i="62"/>
  <c r="L170" i="62"/>
  <c r="L324" i="62" s="1"/>
  <c r="L197" i="62"/>
  <c r="L351" i="62" s="1"/>
  <c r="L177" i="62"/>
  <c r="L331" i="62" s="1"/>
  <c r="L354" i="62"/>
  <c r="L225" i="62"/>
  <c r="L379" i="62" s="1"/>
  <c r="L227" i="62"/>
  <c r="L381" i="62" s="1"/>
  <c r="L173" i="62"/>
  <c r="L327" i="62" s="1"/>
  <c r="L196" i="62"/>
  <c r="L350" i="62" s="1"/>
  <c r="L203" i="62"/>
  <c r="L357" i="62" s="1"/>
  <c r="L323" i="62"/>
  <c r="L204" i="62"/>
  <c r="L358" i="62" s="1"/>
  <c r="L219" i="62"/>
  <c r="L373" i="62" s="1"/>
  <c r="L176" i="62"/>
  <c r="L330" i="62" s="1"/>
  <c r="L215" i="62"/>
  <c r="L369" i="62" s="1"/>
  <c r="L220" i="62"/>
  <c r="L374" i="62" s="1"/>
  <c r="K94" i="62"/>
  <c r="K247" i="62"/>
  <c r="K254" i="62"/>
  <c r="L7" i="46"/>
  <c r="M9" i="62"/>
  <c r="M50" i="62" s="1"/>
  <c r="L76" i="46"/>
  <c r="L8" i="46"/>
  <c r="L8" i="47"/>
  <c r="L8" i="18"/>
  <c r="L8" i="34"/>
  <c r="L59" i="34" s="1"/>
  <c r="K10" i="46"/>
  <c r="J57" i="61" l="1"/>
  <c r="K31" i="62"/>
  <c r="K82" i="61"/>
  <c r="J37" i="67"/>
  <c r="J38" i="67"/>
  <c r="I21" i="67"/>
  <c r="J26" i="67"/>
  <c r="J35" i="67"/>
  <c r="J30" i="67"/>
  <c r="K18" i="62"/>
  <c r="K23" i="62" s="1"/>
  <c r="J32" i="67"/>
  <c r="J36" i="67" s="1"/>
  <c r="J39" i="67"/>
  <c r="I422" i="62"/>
  <c r="I37" i="62"/>
  <c r="I40" i="62"/>
  <c r="L293" i="62"/>
  <c r="M91" i="62"/>
  <c r="M252" i="62" s="1"/>
  <c r="C252" i="62" s="1"/>
  <c r="M242" i="62"/>
  <c r="E14" i="45"/>
  <c r="M354" i="62"/>
  <c r="M141" i="62"/>
  <c r="M295" i="62" s="1"/>
  <c r="K18" i="13"/>
  <c r="K16" i="61" s="1"/>
  <c r="K32" i="61" s="1"/>
  <c r="K20" i="13"/>
  <c r="K28" i="67" s="1"/>
  <c r="L40" i="34"/>
  <c r="J410" i="62"/>
  <c r="J404" i="62"/>
  <c r="J407" i="62"/>
  <c r="J39" i="62" s="1"/>
  <c r="K170" i="61"/>
  <c r="K171" i="61" s="1"/>
  <c r="K174" i="61" s="1"/>
  <c r="H9" i="63"/>
  <c r="E76" i="46"/>
  <c r="I20" i="63"/>
  <c r="I21" i="63" s="1"/>
  <c r="C38" i="63"/>
  <c r="C14" i="63"/>
  <c r="G44" i="62" s="1"/>
  <c r="H42" i="18"/>
  <c r="I42" i="62"/>
  <c r="E12" i="63" s="1"/>
  <c r="M250" i="62"/>
  <c r="M51" i="62"/>
  <c r="M214" i="62"/>
  <c r="M368" i="62" s="1"/>
  <c r="M311" i="62"/>
  <c r="M208" i="62"/>
  <c r="M362" i="62" s="1"/>
  <c r="M115" i="62"/>
  <c r="M276" i="62" s="1"/>
  <c r="M164" i="62"/>
  <c r="M318" i="62" s="1"/>
  <c r="M188" i="62"/>
  <c r="M342" i="62" s="1"/>
  <c r="M335" i="62"/>
  <c r="M323" i="62"/>
  <c r="M227" i="62"/>
  <c r="M381" i="62" s="1"/>
  <c r="M125" i="62"/>
  <c r="M286" i="62" s="1"/>
  <c r="M172" i="62"/>
  <c r="M326" i="62" s="1"/>
  <c r="M149" i="62"/>
  <c r="M303" i="62" s="1"/>
  <c r="M143" i="62"/>
  <c r="M297" i="62" s="1"/>
  <c r="M251" i="62"/>
  <c r="M153" i="62"/>
  <c r="M307" i="62" s="1"/>
  <c r="M221" i="62"/>
  <c r="M375" i="62" s="1"/>
  <c r="M198" i="62"/>
  <c r="M352" i="62" s="1"/>
  <c r="M299" i="62"/>
  <c r="M152" i="62"/>
  <c r="M306" i="62" s="1"/>
  <c r="M225" i="62"/>
  <c r="M379" i="62" s="1"/>
  <c r="M178" i="62"/>
  <c r="M332" i="62" s="1"/>
  <c r="M130" i="62"/>
  <c r="M291" i="62" s="1"/>
  <c r="M113" i="62"/>
  <c r="M274" i="62" s="1"/>
  <c r="M123" i="62"/>
  <c r="M284" i="62" s="1"/>
  <c r="M192" i="62"/>
  <c r="M346" i="62" s="1"/>
  <c r="M101" i="62"/>
  <c r="M264" i="62" s="1"/>
  <c r="M105" i="62"/>
  <c r="M268" i="62" s="1"/>
  <c r="M213" i="62"/>
  <c r="M367" i="62" s="1"/>
  <c r="M215" i="62"/>
  <c r="M369" i="62" s="1"/>
  <c r="M231" i="62"/>
  <c r="M385" i="62" s="1"/>
  <c r="M171" i="62"/>
  <c r="M325" i="62" s="1"/>
  <c r="M209" i="62"/>
  <c r="M363" i="62" s="1"/>
  <c r="M185" i="62"/>
  <c r="M339" i="62" s="1"/>
  <c r="M102" i="62"/>
  <c r="M265" i="62" s="1"/>
  <c r="M204" i="62"/>
  <c r="M358" i="62" s="1"/>
  <c r="M176" i="62"/>
  <c r="M330" i="62" s="1"/>
  <c r="M161" i="62"/>
  <c r="M315" i="62" s="1"/>
  <c r="M119" i="62"/>
  <c r="M280" i="62" s="1"/>
  <c r="M272" i="62"/>
  <c r="M245" i="62"/>
  <c r="M92" i="62"/>
  <c r="M253" i="62" s="1"/>
  <c r="M191" i="62"/>
  <c r="M345" i="62" s="1"/>
  <c r="M195" i="62"/>
  <c r="M349" i="62" s="1"/>
  <c r="M190" i="62"/>
  <c r="M344" i="62" s="1"/>
  <c r="M218" i="62"/>
  <c r="M372" i="62" s="1"/>
  <c r="M166" i="62"/>
  <c r="M320" i="62" s="1"/>
  <c r="M197" i="62"/>
  <c r="M351" i="62" s="1"/>
  <c r="M183" i="62"/>
  <c r="M337" i="62" s="1"/>
  <c r="M261" i="62"/>
  <c r="M202" i="62"/>
  <c r="M356" i="62" s="1"/>
  <c r="M155" i="62"/>
  <c r="M309" i="62" s="1"/>
  <c r="M159" i="62"/>
  <c r="M313" i="62" s="1"/>
  <c r="M117" i="62"/>
  <c r="M278" i="62" s="1"/>
  <c r="M127" i="62"/>
  <c r="M288" i="62" s="1"/>
  <c r="M243" i="62"/>
  <c r="M341" i="62"/>
  <c r="M262" i="62"/>
  <c r="M230" i="62"/>
  <c r="M384" i="62" s="1"/>
  <c r="M232" i="62"/>
  <c r="M386" i="62" s="1"/>
  <c r="M189" i="62"/>
  <c r="M343" i="62" s="1"/>
  <c r="M220" i="62"/>
  <c r="M374" i="62" s="1"/>
  <c r="M173" i="62"/>
  <c r="M327" i="62" s="1"/>
  <c r="M233" i="62"/>
  <c r="M387" i="62" s="1"/>
  <c r="M216" i="62"/>
  <c r="M370" i="62" s="1"/>
  <c r="M348" i="62"/>
  <c r="M165" i="62"/>
  <c r="M319" i="62" s="1"/>
  <c r="M219" i="62"/>
  <c r="M373" i="62" s="1"/>
  <c r="M170" i="62"/>
  <c r="M324" i="62" s="1"/>
  <c r="M103" i="62"/>
  <c r="M266" i="62" s="1"/>
  <c r="M182" i="62"/>
  <c r="M336" i="62" s="1"/>
  <c r="M104" i="62"/>
  <c r="M267" i="62" s="1"/>
  <c r="M228" i="62"/>
  <c r="M382" i="62" s="1"/>
  <c r="M224" i="62"/>
  <c r="M378" i="62" s="1"/>
  <c r="M201" i="62"/>
  <c r="M355" i="62" s="1"/>
  <c r="M177" i="62"/>
  <c r="M331" i="62" s="1"/>
  <c r="M305" i="62"/>
  <c r="M158" i="62"/>
  <c r="M312" i="62" s="1"/>
  <c r="M129" i="62"/>
  <c r="M290" i="62" s="1"/>
  <c r="M116" i="62"/>
  <c r="M277" i="62" s="1"/>
  <c r="M112" i="62"/>
  <c r="M273" i="62" s="1"/>
  <c r="M126" i="62"/>
  <c r="M287" i="62" s="1"/>
  <c r="M246" i="62"/>
  <c r="K76" i="61"/>
  <c r="K80" i="61"/>
  <c r="K90" i="61"/>
  <c r="K147" i="61"/>
  <c r="K73" i="61"/>
  <c r="K79" i="61"/>
  <c r="K146" i="61"/>
  <c r="K77" i="61"/>
  <c r="K81" i="61"/>
  <c r="K87" i="61"/>
  <c r="K91" i="61"/>
  <c r="K72" i="61"/>
  <c r="K71" i="61"/>
  <c r="L69" i="61"/>
  <c r="L84" i="61"/>
  <c r="L85" i="61" s="1"/>
  <c r="M148" i="62"/>
  <c r="M302" i="62" s="1"/>
  <c r="M360" i="62"/>
  <c r="M146" i="62"/>
  <c r="M300" i="62" s="1"/>
  <c r="M210" i="62"/>
  <c r="M364" i="62" s="1"/>
  <c r="M234" i="62"/>
  <c r="M388" i="62" s="1"/>
  <c r="M196" i="62"/>
  <c r="M350" i="62" s="1"/>
  <c r="M260" i="62"/>
  <c r="M222" i="62"/>
  <c r="M376" i="62" s="1"/>
  <c r="M212" i="62"/>
  <c r="M366" i="62" s="1"/>
  <c r="M167" i="62"/>
  <c r="M321" i="62" s="1"/>
  <c r="M317" i="62"/>
  <c r="M207" i="62"/>
  <c r="M361" i="62" s="1"/>
  <c r="M147" i="62"/>
  <c r="M301" i="62" s="1"/>
  <c r="M184" i="62"/>
  <c r="M338" i="62" s="1"/>
  <c r="M154" i="62"/>
  <c r="M308" i="62" s="1"/>
  <c r="M100" i="62"/>
  <c r="M263" i="62" s="1"/>
  <c r="M226" i="62"/>
  <c r="M380" i="62" s="1"/>
  <c r="M203" i="62"/>
  <c r="M357" i="62" s="1"/>
  <c r="M179" i="62"/>
  <c r="M333" i="62" s="1"/>
  <c r="M329" i="62"/>
  <c r="M142" i="62"/>
  <c r="M296" i="62" s="1"/>
  <c r="M160" i="62"/>
  <c r="M314" i="62" s="1"/>
  <c r="M131" i="62"/>
  <c r="M292" i="62" s="1"/>
  <c r="M118" i="62"/>
  <c r="M279" i="62" s="1"/>
  <c r="M114" i="62"/>
  <c r="M275" i="62" s="1"/>
  <c r="M128" i="62"/>
  <c r="M289" i="62" s="1"/>
  <c r="M124" i="62"/>
  <c r="M285" i="62" s="1"/>
  <c r="M244" i="62"/>
  <c r="L63" i="46"/>
  <c r="L62" i="46"/>
  <c r="K256" i="62"/>
  <c r="K394" i="62" s="1"/>
  <c r="L106" i="62"/>
  <c r="L108" i="62" s="1"/>
  <c r="L120" i="62"/>
  <c r="L132" i="62"/>
  <c r="L21" i="62" s="1"/>
  <c r="K59" i="61" s="1"/>
  <c r="K135" i="62"/>
  <c r="L236" i="62"/>
  <c r="L86" i="62"/>
  <c r="K9" i="46"/>
  <c r="L4" i="53"/>
  <c r="L43" i="18"/>
  <c r="K88" i="13"/>
  <c r="K38" i="13"/>
  <c r="K11" i="34"/>
  <c r="J95" i="61" l="1"/>
  <c r="J56" i="61"/>
  <c r="J61" i="61" s="1"/>
  <c r="L20" i="62"/>
  <c r="K58" i="61" s="1"/>
  <c r="K24" i="67"/>
  <c r="I47" i="67"/>
  <c r="J33" i="67"/>
  <c r="K401" i="62"/>
  <c r="K38" i="62" s="1"/>
  <c r="J20" i="67"/>
  <c r="J31" i="67"/>
  <c r="J34" i="67"/>
  <c r="J27" i="67"/>
  <c r="L17" i="62"/>
  <c r="K55" i="61" s="1"/>
  <c r="K29" i="67"/>
  <c r="L22" i="62"/>
  <c r="K60" i="61" s="1"/>
  <c r="K25" i="67"/>
  <c r="L19" i="62"/>
  <c r="K23" i="67"/>
  <c r="L113" i="67"/>
  <c r="H112" i="67"/>
  <c r="K30" i="34"/>
  <c r="K28" i="34"/>
  <c r="K31" i="34"/>
  <c r="K29" i="34"/>
  <c r="K27" i="34"/>
  <c r="M293" i="62"/>
  <c r="J12" i="34"/>
  <c r="D43" i="18"/>
  <c r="H33" i="63"/>
  <c r="H31" i="63"/>
  <c r="H21" i="63"/>
  <c r="K86" i="46" s="1"/>
  <c r="K27" i="62"/>
  <c r="J421" i="62"/>
  <c r="J457" i="62" s="1"/>
  <c r="J93" i="61"/>
  <c r="J94" i="61"/>
  <c r="J92" i="61"/>
  <c r="K396" i="62"/>
  <c r="K35" i="62" s="1"/>
  <c r="K173" i="61"/>
  <c r="J38" i="34"/>
  <c r="K419" i="62"/>
  <c r="K175" i="61"/>
  <c r="L172" i="61"/>
  <c r="L177" i="61" s="1"/>
  <c r="L179" i="61" s="1"/>
  <c r="L30" i="62"/>
  <c r="K60" i="34"/>
  <c r="K82" i="46"/>
  <c r="F67" i="34"/>
  <c r="G46" i="62"/>
  <c r="F89" i="46"/>
  <c r="F51" i="61"/>
  <c r="L85" i="46"/>
  <c r="L86" i="46"/>
  <c r="B20" i="63"/>
  <c r="J22" i="34"/>
  <c r="J39" i="34"/>
  <c r="K455" i="62"/>
  <c r="J17" i="34"/>
  <c r="J37" i="34"/>
  <c r="J23" i="34"/>
  <c r="K416" i="62"/>
  <c r="K413" i="62"/>
  <c r="C330" i="62"/>
  <c r="C367" i="62"/>
  <c r="C332" i="62"/>
  <c r="C375" i="62"/>
  <c r="C296" i="62"/>
  <c r="C302" i="62"/>
  <c r="C301" i="62"/>
  <c r="C325" i="62"/>
  <c r="C387" i="62"/>
  <c r="C303" i="62"/>
  <c r="C267" i="62"/>
  <c r="C352" i="62"/>
  <c r="C341" i="62"/>
  <c r="C314" i="62"/>
  <c r="C357" i="62"/>
  <c r="C338" i="62"/>
  <c r="C321" i="62"/>
  <c r="C292" i="62"/>
  <c r="C260" i="62"/>
  <c r="C295" i="62"/>
  <c r="C308" i="62"/>
  <c r="K151" i="61"/>
  <c r="C244" i="62"/>
  <c r="C356" i="62"/>
  <c r="C291" i="62"/>
  <c r="M120" i="62"/>
  <c r="M86" i="62"/>
  <c r="C331" i="62"/>
  <c r="C350" i="62"/>
  <c r="C360" i="62"/>
  <c r="M236" i="62"/>
  <c r="M132" i="62"/>
  <c r="M21" i="62" s="1"/>
  <c r="L59" i="61" s="1"/>
  <c r="M106" i="62"/>
  <c r="M108" i="62" s="1"/>
  <c r="L71" i="46"/>
  <c r="L74" i="46" s="1"/>
  <c r="C275" i="62"/>
  <c r="L390" i="62"/>
  <c r="C366" i="62"/>
  <c r="C263" i="62"/>
  <c r="C363" i="62"/>
  <c r="C348" i="62"/>
  <c r="C339" i="62"/>
  <c r="C333" i="62"/>
  <c r="C337" i="62"/>
  <c r="C364" i="62"/>
  <c r="C342" i="62"/>
  <c r="C300" i="62"/>
  <c r="C373" i="62"/>
  <c r="C382" i="62"/>
  <c r="C274" i="62"/>
  <c r="C376" i="62"/>
  <c r="C280" i="62"/>
  <c r="C285" i="62"/>
  <c r="C318" i="62"/>
  <c r="C369" i="62"/>
  <c r="L94" i="62"/>
  <c r="C262" i="62"/>
  <c r="C305" i="62"/>
  <c r="C286" i="62"/>
  <c r="C379" i="62"/>
  <c r="C265" i="62"/>
  <c r="C312" i="62"/>
  <c r="C284" i="62"/>
  <c r="C311" i="62"/>
  <c r="L281" i="62"/>
  <c r="C276" i="62"/>
  <c r="C335" i="62"/>
  <c r="C315" i="62"/>
  <c r="C309" i="62"/>
  <c r="C323" i="62"/>
  <c r="C251" i="62"/>
  <c r="C277" i="62"/>
  <c r="L269" i="62"/>
  <c r="C264" i="62"/>
  <c r="C297" i="62"/>
  <c r="C355" i="62"/>
  <c r="C349" i="62"/>
  <c r="C358" i="62"/>
  <c r="C289" i="62"/>
  <c r="C343" i="62"/>
  <c r="C253" i="62"/>
  <c r="C362" i="62"/>
  <c r="C368" i="62"/>
  <c r="C370" i="62"/>
  <c r="C351" i="62"/>
  <c r="M254" i="62"/>
  <c r="C268" i="62"/>
  <c r="C346" i="62"/>
  <c r="C361" i="62"/>
  <c r="L247" i="62"/>
  <c r="C242" i="62"/>
  <c r="C266" i="62"/>
  <c r="C329" i="62"/>
  <c r="C279" i="62"/>
  <c r="L254" i="62"/>
  <c r="C250" i="62"/>
  <c r="C344" i="62"/>
  <c r="C378" i="62"/>
  <c r="C324" i="62"/>
  <c r="C384" i="62"/>
  <c r="C243" i="62"/>
  <c r="C386" i="62"/>
  <c r="C380" i="62"/>
  <c r="C381" i="62"/>
  <c r="C245" i="62"/>
  <c r="C326" i="62"/>
  <c r="L134" i="62"/>
  <c r="L237" i="62" s="1"/>
  <c r="C287" i="62"/>
  <c r="C336" i="62"/>
  <c r="C313" i="62"/>
  <c r="C327" i="62"/>
  <c r="C388" i="62"/>
  <c r="L5" i="53"/>
  <c r="L6" i="53" s="1"/>
  <c r="M16" i="48"/>
  <c r="M32" i="48" s="1"/>
  <c r="I12" i="41"/>
  <c r="I28" i="41" s="1"/>
  <c r="L26" i="34"/>
  <c r="C43" i="18"/>
  <c r="K37" i="67" l="1"/>
  <c r="K57" i="61"/>
  <c r="L31" i="62"/>
  <c r="L32" i="62" s="1"/>
  <c r="L82" i="61"/>
  <c r="M19" i="62"/>
  <c r="L23" i="67"/>
  <c r="M20" i="62"/>
  <c r="L58" i="61" s="1"/>
  <c r="L24" i="67"/>
  <c r="K39" i="67"/>
  <c r="J21" i="67"/>
  <c r="L18" i="62"/>
  <c r="K56" i="61" s="1"/>
  <c r="K32" i="67"/>
  <c r="M22" i="62"/>
  <c r="L60" i="61" s="1"/>
  <c r="L25" i="67"/>
  <c r="M17" i="62"/>
  <c r="L55" i="61" s="1"/>
  <c r="L29" i="67"/>
  <c r="C29" i="67" s="1"/>
  <c r="K26" i="67"/>
  <c r="K35" i="67"/>
  <c r="K30" i="67"/>
  <c r="K38" i="67"/>
  <c r="K407" i="62"/>
  <c r="K39" i="62" s="1"/>
  <c r="K410" i="62"/>
  <c r="K404" i="62"/>
  <c r="I28" i="63"/>
  <c r="L48" i="18"/>
  <c r="E85" i="46"/>
  <c r="M94" i="62"/>
  <c r="J40" i="62"/>
  <c r="J37" i="62"/>
  <c r="L23" i="62"/>
  <c r="C290" i="62"/>
  <c r="C317" i="62"/>
  <c r="M281" i="62"/>
  <c r="C307" i="62"/>
  <c r="M269" i="62"/>
  <c r="C278" i="62"/>
  <c r="C273" i="62"/>
  <c r="C306" i="62"/>
  <c r="C320" i="62"/>
  <c r="C385" i="62"/>
  <c r="C374" i="62"/>
  <c r="C372" i="62"/>
  <c r="C299" i="62"/>
  <c r="C319" i="62"/>
  <c r="C293" i="62"/>
  <c r="C288" i="62"/>
  <c r="M247" i="62"/>
  <c r="C345" i="62"/>
  <c r="M390" i="62"/>
  <c r="M134" i="62"/>
  <c r="M237" i="62" s="1"/>
  <c r="C246" i="62"/>
  <c r="E74" i="46"/>
  <c r="L77" i="46"/>
  <c r="J422" i="62"/>
  <c r="L256" i="62"/>
  <c r="L394" i="62" s="1"/>
  <c r="L135" i="62"/>
  <c r="C254" i="62"/>
  <c r="K32" i="18"/>
  <c r="K70" i="67" s="1"/>
  <c r="K30" i="18"/>
  <c r="K68" i="67" s="1"/>
  <c r="K26" i="18"/>
  <c r="K64" i="67" s="1"/>
  <c r="K24" i="18"/>
  <c r="K7" i="18"/>
  <c r="K6" i="18"/>
  <c r="K13" i="67" s="1"/>
  <c r="J32" i="18"/>
  <c r="J70" i="67" s="1"/>
  <c r="J30" i="18"/>
  <c r="J68" i="67" s="1"/>
  <c r="J26" i="18"/>
  <c r="J64" i="67" s="1"/>
  <c r="J24" i="18"/>
  <c r="J7" i="18"/>
  <c r="J6" i="18"/>
  <c r="J13" i="67" s="1"/>
  <c r="L36" i="34"/>
  <c r="L33" i="34"/>
  <c r="L32" i="34"/>
  <c r="K36" i="34"/>
  <c r="K33" i="34"/>
  <c r="K32" i="34"/>
  <c r="J10" i="46"/>
  <c r="K95" i="61" l="1"/>
  <c r="K17" i="34"/>
  <c r="K61" i="61"/>
  <c r="L57" i="61"/>
  <c r="M31" i="62"/>
  <c r="M32" i="62" s="1"/>
  <c r="L37" i="67"/>
  <c r="L39" i="67"/>
  <c r="L38" i="67"/>
  <c r="M18" i="62"/>
  <c r="L56" i="61" s="1"/>
  <c r="L32" i="67"/>
  <c r="C32" i="67" s="1"/>
  <c r="K31" i="67"/>
  <c r="K34" i="67"/>
  <c r="K27" i="67"/>
  <c r="L401" i="62"/>
  <c r="L38" i="62" s="1"/>
  <c r="K20" i="67"/>
  <c r="L35" i="67"/>
  <c r="C35" i="67" s="1"/>
  <c r="L30" i="67"/>
  <c r="K36" i="67"/>
  <c r="K33" i="67"/>
  <c r="J47" i="67"/>
  <c r="L26" i="67"/>
  <c r="J107" i="67"/>
  <c r="K103" i="67"/>
  <c r="L118" i="67"/>
  <c r="K105" i="67"/>
  <c r="J103" i="67"/>
  <c r="K107" i="67"/>
  <c r="J102" i="67"/>
  <c r="J62" i="67"/>
  <c r="K13" i="18"/>
  <c r="K90" i="67"/>
  <c r="K50" i="67"/>
  <c r="J13" i="18"/>
  <c r="J90" i="67"/>
  <c r="J50" i="67"/>
  <c r="J105" i="67"/>
  <c r="K102" i="67"/>
  <c r="K62" i="67"/>
  <c r="K12" i="34"/>
  <c r="M256" i="62"/>
  <c r="I34" i="63"/>
  <c r="I35" i="63" s="1"/>
  <c r="I29" i="63"/>
  <c r="K40" i="34"/>
  <c r="J18" i="13"/>
  <c r="J16" i="61" s="1"/>
  <c r="J32" i="61" s="1"/>
  <c r="J20" i="13"/>
  <c r="J28" i="67" s="1"/>
  <c r="K421" i="62"/>
  <c r="K457" i="62" s="1"/>
  <c r="L27" i="62"/>
  <c r="K92" i="61"/>
  <c r="K93" i="61"/>
  <c r="K94" i="61"/>
  <c r="L396" i="62"/>
  <c r="L413" i="62"/>
  <c r="L419" i="62"/>
  <c r="K41" i="18"/>
  <c r="J41" i="18"/>
  <c r="J170" i="61"/>
  <c r="J171" i="61" s="1"/>
  <c r="J175" i="61" s="1"/>
  <c r="G9" i="63"/>
  <c r="M23" i="62"/>
  <c r="L95" i="61" s="1"/>
  <c r="I42" i="18"/>
  <c r="J42" i="62"/>
  <c r="L416" i="62"/>
  <c r="K37" i="34"/>
  <c r="L455" i="62"/>
  <c r="K38" i="34"/>
  <c r="K39" i="34"/>
  <c r="K22" i="34"/>
  <c r="K23" i="34"/>
  <c r="C247" i="62"/>
  <c r="M135" i="62"/>
  <c r="J73" i="61"/>
  <c r="J79" i="61"/>
  <c r="J146" i="61"/>
  <c r="J147" i="61"/>
  <c r="J72" i="61"/>
  <c r="J76" i="61"/>
  <c r="J80" i="61"/>
  <c r="J71" i="61"/>
  <c r="J77" i="61"/>
  <c r="J81" i="61"/>
  <c r="J87" i="61"/>
  <c r="J91" i="61"/>
  <c r="J90" i="61"/>
  <c r="K84" i="61"/>
  <c r="K85" i="61" s="1"/>
  <c r="K69" i="61"/>
  <c r="J9" i="46"/>
  <c r="K4" i="53"/>
  <c r="J88" i="13"/>
  <c r="J38" i="13"/>
  <c r="J11" i="34"/>
  <c r="J127" i="13"/>
  <c r="J125" i="13"/>
  <c r="J18" i="18" s="1"/>
  <c r="K128" i="13"/>
  <c r="K21" i="18" s="1"/>
  <c r="K125" i="13"/>
  <c r="K18" i="18" s="1"/>
  <c r="K122" i="13"/>
  <c r="J123" i="13"/>
  <c r="J17" i="18" s="1"/>
  <c r="J122" i="13"/>
  <c r="K123" i="13"/>
  <c r="K17" i="18" s="1"/>
  <c r="K127" i="13"/>
  <c r="K129" i="13"/>
  <c r="K22" i="18" s="1"/>
  <c r="K133" i="13"/>
  <c r="I55" i="74" s="1"/>
  <c r="J128" i="13"/>
  <c r="J21" i="18" s="1"/>
  <c r="J133" i="13"/>
  <c r="H55" i="74" s="1"/>
  <c r="J129" i="13"/>
  <c r="J22" i="18" s="1"/>
  <c r="K16" i="18" l="1"/>
  <c r="I52" i="74"/>
  <c r="J16" i="18"/>
  <c r="J95" i="67" s="1"/>
  <c r="H52" i="74"/>
  <c r="L61" i="61"/>
  <c r="L27" i="67"/>
  <c r="L31" i="67"/>
  <c r="L34" i="67"/>
  <c r="L40" i="67"/>
  <c r="K21" i="67"/>
  <c r="M401" i="62"/>
  <c r="M38" i="62" s="1"/>
  <c r="L20" i="67"/>
  <c r="L21" i="67" s="1"/>
  <c r="L47" i="67" s="1"/>
  <c r="L36" i="67"/>
  <c r="C36" i="67" s="1"/>
  <c r="L33" i="67"/>
  <c r="J100" i="67"/>
  <c r="K95" i="67"/>
  <c r="J99" i="67"/>
  <c r="K96" i="67"/>
  <c r="K40" i="67"/>
  <c r="K97" i="67"/>
  <c r="I112" i="67"/>
  <c r="K99" i="67"/>
  <c r="K100" i="67"/>
  <c r="J96" i="67"/>
  <c r="J40" i="67"/>
  <c r="J97" i="67"/>
  <c r="K20" i="18"/>
  <c r="K140" i="13"/>
  <c r="K141" i="13" s="1"/>
  <c r="J20" i="18"/>
  <c r="J140" i="13"/>
  <c r="J141" i="13" s="1"/>
  <c r="J30" i="34"/>
  <c r="J28" i="34"/>
  <c r="J31" i="34"/>
  <c r="J29" i="34"/>
  <c r="J27" i="34"/>
  <c r="M394" i="62"/>
  <c r="M396" i="62" s="1"/>
  <c r="M27" i="62"/>
  <c r="L12" i="34"/>
  <c r="C256" i="62"/>
  <c r="G33" i="63"/>
  <c r="G31" i="63"/>
  <c r="G21" i="63"/>
  <c r="J86" i="46" s="1"/>
  <c r="L94" i="61"/>
  <c r="L92" i="61"/>
  <c r="L93" i="61"/>
  <c r="K172" i="61"/>
  <c r="K177" i="61" s="1"/>
  <c r="K179" i="61" s="1"/>
  <c r="J174" i="61"/>
  <c r="J173" i="61"/>
  <c r="F12" i="63"/>
  <c r="L37" i="34"/>
  <c r="M419" i="62"/>
  <c r="M455" i="62"/>
  <c r="L23" i="34"/>
  <c r="L39" i="34"/>
  <c r="M416" i="62"/>
  <c r="J9" i="18"/>
  <c r="K9" i="18"/>
  <c r="M413" i="62"/>
  <c r="L38" i="34"/>
  <c r="L22" i="34"/>
  <c r="J60" i="34"/>
  <c r="J82" i="46"/>
  <c r="K30" i="62"/>
  <c r="K32" i="62" s="1"/>
  <c r="K422" i="62"/>
  <c r="K37" i="62"/>
  <c r="K40" i="62"/>
  <c r="L410" i="62"/>
  <c r="L35" i="62"/>
  <c r="L404" i="62"/>
  <c r="L407" i="62"/>
  <c r="L39" i="62" s="1"/>
  <c r="J151" i="61"/>
  <c r="J31" i="18"/>
  <c r="J69" i="67" s="1"/>
  <c r="K31" i="18"/>
  <c r="K69" i="67" s="1"/>
  <c r="L9" i="53"/>
  <c r="K5" i="53"/>
  <c r="L16" i="48"/>
  <c r="L32" i="48" s="1"/>
  <c r="H12" i="41"/>
  <c r="H28" i="41" s="1"/>
  <c r="K26" i="34"/>
  <c r="K27" i="18"/>
  <c r="K65" i="67" s="1"/>
  <c r="J27" i="18"/>
  <c r="J65" i="67" s="1"/>
  <c r="K16" i="34"/>
  <c r="L16" i="34"/>
  <c r="K47" i="67" l="1"/>
  <c r="K106" i="67"/>
  <c r="J98" i="67"/>
  <c r="J104" i="67"/>
  <c r="J48" i="67"/>
  <c r="J106" i="67"/>
  <c r="K104" i="67"/>
  <c r="K48" i="67"/>
  <c r="K98" i="67"/>
  <c r="M35" i="62"/>
  <c r="M410" i="62"/>
  <c r="M404" i="62"/>
  <c r="M407" i="62"/>
  <c r="M39" i="62" s="1"/>
  <c r="K48" i="18"/>
  <c r="H28" i="63"/>
  <c r="L421" i="62"/>
  <c r="L457" i="62" s="1"/>
  <c r="K6" i="53"/>
  <c r="L11" i="53" s="1"/>
  <c r="L15" i="53" s="1"/>
  <c r="M15" i="53" s="1"/>
  <c r="M29" i="53"/>
  <c r="J42" i="18"/>
  <c r="K42" i="62"/>
  <c r="H30" i="18"/>
  <c r="H68" i="67" s="1"/>
  <c r="I30" i="18"/>
  <c r="I68" i="67" s="1"/>
  <c r="J112" i="67" l="1"/>
  <c r="K118" i="67"/>
  <c r="I105" i="67"/>
  <c r="H105" i="67"/>
  <c r="M421" i="62"/>
  <c r="M457" i="62" s="1"/>
  <c r="M42" i="62" s="1"/>
  <c r="I12" i="63" s="1"/>
  <c r="H34" i="63"/>
  <c r="H35" i="63" s="1"/>
  <c r="H29" i="63"/>
  <c r="D30" i="18"/>
  <c r="G12" i="63"/>
  <c r="M35" i="53"/>
  <c r="M36" i="53" s="1"/>
  <c r="M37" i="53" s="1"/>
  <c r="M38" i="53" s="1"/>
  <c r="L37" i="62"/>
  <c r="L40" i="62"/>
  <c r="L422" i="62"/>
  <c r="C30" i="18"/>
  <c r="M37" i="62" l="1"/>
  <c r="M40" i="62"/>
  <c r="M422" i="62"/>
  <c r="G13" i="63"/>
  <c r="K43" i="62" s="1"/>
  <c r="I13" i="63"/>
  <c r="M43" i="62" s="1"/>
  <c r="M39" i="53"/>
  <c r="M40" i="53"/>
  <c r="K42" i="18"/>
  <c r="L42" i="62"/>
  <c r="L42" i="18"/>
  <c r="R17" i="35"/>
  <c r="G33" i="35" s="1"/>
  <c r="R28" i="35"/>
  <c r="R29" i="35"/>
  <c r="R31" i="35"/>
  <c r="G35" i="35" s="1"/>
  <c r="R32" i="35"/>
  <c r="R33" i="35"/>
  <c r="R34" i="35"/>
  <c r="R35" i="35"/>
  <c r="R36" i="35"/>
  <c r="R37" i="35"/>
  <c r="R38" i="35"/>
  <c r="R39" i="35"/>
  <c r="R40" i="35"/>
  <c r="R41" i="35"/>
  <c r="R42" i="35"/>
  <c r="G36" i="35" s="1"/>
  <c r="R43" i="35"/>
  <c r="R15" i="35"/>
  <c r="L112" i="67" l="1"/>
  <c r="K112" i="67"/>
  <c r="J33" i="35"/>
  <c r="H33" i="35"/>
  <c r="I33" i="35" s="1"/>
  <c r="J35" i="35"/>
  <c r="H35" i="35"/>
  <c r="I35" i="35" s="1"/>
  <c r="J36" i="35"/>
  <c r="H36" i="35"/>
  <c r="I36" i="35" s="1"/>
  <c r="S43" i="35"/>
  <c r="G37" i="35"/>
  <c r="S28" i="35"/>
  <c r="AB28" i="35" s="1"/>
  <c r="U28" i="35" s="1"/>
  <c r="W28" i="35" s="1"/>
  <c r="G34" i="35"/>
  <c r="C90" i="13"/>
  <c r="P409" i="35"/>
  <c r="Q409" i="35" s="1"/>
  <c r="S38" i="35"/>
  <c r="AB38" i="35" s="1"/>
  <c r="P401" i="35"/>
  <c r="Q401" i="35" s="1"/>
  <c r="S29" i="35"/>
  <c r="AB29" i="35" s="1"/>
  <c r="P412" i="35"/>
  <c r="Q412" i="35" s="1"/>
  <c r="S41" i="35"/>
  <c r="AB41" i="35" s="1"/>
  <c r="P404" i="35"/>
  <c r="Q404" i="35" s="1"/>
  <c r="S33" i="35"/>
  <c r="AB33" i="35" s="1"/>
  <c r="U33" i="35" s="1"/>
  <c r="V33" i="35" s="1"/>
  <c r="P411" i="35"/>
  <c r="Q411" i="35" s="1"/>
  <c r="S40" i="35"/>
  <c r="AB40" i="35" s="1"/>
  <c r="P403" i="35"/>
  <c r="Q403" i="35" s="1"/>
  <c r="S32" i="35"/>
  <c r="AB32" i="35" s="1"/>
  <c r="U32" i="35" s="1"/>
  <c r="W32" i="35" s="1"/>
  <c r="P399" i="35"/>
  <c r="Q399" i="35" s="1"/>
  <c r="S17" i="35"/>
  <c r="P413" i="35"/>
  <c r="Q413" i="35" s="1"/>
  <c r="S42" i="35"/>
  <c r="AB42" i="35" s="1"/>
  <c r="U42" i="35" s="1"/>
  <c r="P405" i="35"/>
  <c r="Q405" i="35" s="1"/>
  <c r="S34" i="35"/>
  <c r="AB34" i="35" s="1"/>
  <c r="P408" i="35"/>
  <c r="Q408" i="35" s="1"/>
  <c r="S37" i="35"/>
  <c r="AB37" i="35" s="1"/>
  <c r="S15" i="35"/>
  <c r="AB15" i="35" s="1"/>
  <c r="P398" i="35"/>
  <c r="Q398" i="35" s="1"/>
  <c r="P407" i="35"/>
  <c r="Q407" i="35" s="1"/>
  <c r="S36" i="35"/>
  <c r="AB36" i="35" s="1"/>
  <c r="P410" i="35"/>
  <c r="Q410" i="35" s="1"/>
  <c r="S39" i="35"/>
  <c r="AB39" i="35" s="1"/>
  <c r="P406" i="35"/>
  <c r="Q406" i="35" s="1"/>
  <c r="S35" i="35"/>
  <c r="AB35" i="35" s="1"/>
  <c r="U35" i="35" s="1"/>
  <c r="P402" i="35"/>
  <c r="Q402" i="35" s="1"/>
  <c r="S31" i="35"/>
  <c r="AB31" i="35" s="1"/>
  <c r="P400" i="35"/>
  <c r="Q400" i="35" s="1"/>
  <c r="P414" i="35"/>
  <c r="Q414" i="35" s="1"/>
  <c r="AB43" i="35"/>
  <c r="H12" i="63"/>
  <c r="AA15" i="35"/>
  <c r="AA42" i="35"/>
  <c r="AA38" i="35"/>
  <c r="AA36" i="35"/>
  <c r="AA34" i="35"/>
  <c r="AA32" i="35"/>
  <c r="AA29" i="35"/>
  <c r="AA43" i="35"/>
  <c r="AA41" i="35"/>
  <c r="AA39" i="35"/>
  <c r="AA37" i="35"/>
  <c r="AA35" i="35"/>
  <c r="AA33" i="35"/>
  <c r="AA31" i="35"/>
  <c r="AA28" i="35"/>
  <c r="AA40" i="35"/>
  <c r="AA17" i="35"/>
  <c r="X42" i="35"/>
  <c r="Y42" i="35"/>
  <c r="X38" i="35"/>
  <c r="Y38" i="35"/>
  <c r="X34" i="35"/>
  <c r="Y34" i="35"/>
  <c r="X29" i="35"/>
  <c r="Y29" i="35"/>
  <c r="Y43" i="35"/>
  <c r="X43" i="35"/>
  <c r="Y39" i="35"/>
  <c r="X39" i="35"/>
  <c r="Y35" i="35"/>
  <c r="X35" i="35"/>
  <c r="Y31" i="35"/>
  <c r="X31" i="35"/>
  <c r="Y41" i="35"/>
  <c r="X41" i="35"/>
  <c r="Y37" i="35"/>
  <c r="X37" i="35"/>
  <c r="Y33" i="35"/>
  <c r="X33" i="35"/>
  <c r="X28" i="35"/>
  <c r="Y28" i="35"/>
  <c r="Y15" i="35"/>
  <c r="X15" i="35"/>
  <c r="Y40" i="35"/>
  <c r="X40" i="35"/>
  <c r="Y36" i="35"/>
  <c r="X36" i="35"/>
  <c r="Y32" i="35"/>
  <c r="X32" i="35"/>
  <c r="Y17" i="35"/>
  <c r="X17" i="35"/>
  <c r="E45" i="38"/>
  <c r="E50" i="38"/>
  <c r="D50" i="38" s="1"/>
  <c r="E26" i="38"/>
  <c r="G34" i="38"/>
  <c r="T44" i="35"/>
  <c r="J37" i="35" l="1"/>
  <c r="H37" i="35"/>
  <c r="I37" i="35" s="1"/>
  <c r="J34" i="35"/>
  <c r="H34" i="35"/>
  <c r="I34" i="35" s="1"/>
  <c r="W35" i="35"/>
  <c r="V35" i="35"/>
  <c r="W42" i="35"/>
  <c r="V42" i="35"/>
  <c r="H13" i="63"/>
  <c r="L43" i="62" s="1"/>
  <c r="V32" i="35"/>
  <c r="W33" i="35"/>
  <c r="G100" i="38"/>
  <c r="G124" i="38"/>
  <c r="G129" i="38"/>
  <c r="G121" i="38"/>
  <c r="G119" i="38"/>
  <c r="G116" i="38"/>
  <c r="G109" i="38"/>
  <c r="G125" i="38"/>
  <c r="G123" i="38"/>
  <c r="G122" i="38"/>
  <c r="G120" i="38"/>
  <c r="G118" i="38"/>
  <c r="G115" i="38"/>
  <c r="G112" i="38"/>
  <c r="G127" i="38"/>
  <c r="G117" i="38"/>
  <c r="G111" i="38"/>
  <c r="G110" i="38"/>
  <c r="D45" i="38"/>
  <c r="AB17" i="35"/>
  <c r="AB44" i="35" s="1"/>
  <c r="AA44" i="35"/>
  <c r="V15" i="35"/>
  <c r="W15" i="35"/>
  <c r="G97" i="38"/>
  <c r="G101" i="38"/>
  <c r="G99" i="38"/>
  <c r="G98" i="38"/>
  <c r="G96" i="38"/>
  <c r="V28" i="35"/>
  <c r="G95" i="38"/>
  <c r="G94" i="38"/>
  <c r="G93" i="38"/>
  <c r="G92" i="38"/>
  <c r="G91" i="38"/>
  <c r="G90" i="38"/>
  <c r="G89" i="38"/>
  <c r="G88" i="38"/>
  <c r="G87" i="38"/>
  <c r="G86" i="38"/>
  <c r="G102" i="38" l="1"/>
  <c r="R44" i="35"/>
  <c r="J32" i="34"/>
  <c r="I32" i="34"/>
  <c r="H7" i="18" l="1"/>
  <c r="I7" i="18"/>
  <c r="H24" i="18"/>
  <c r="I24" i="18"/>
  <c r="H26" i="18"/>
  <c r="H64" i="67" s="1"/>
  <c r="I26" i="18"/>
  <c r="I64" i="67" s="1"/>
  <c r="H32" i="18"/>
  <c r="H70" i="67" s="1"/>
  <c r="I32" i="18"/>
  <c r="I70" i="67" s="1"/>
  <c r="H6" i="18"/>
  <c r="H13" i="67" s="1"/>
  <c r="I6" i="18"/>
  <c r="I13" i="67" s="1"/>
  <c r="I33" i="34"/>
  <c r="J33" i="34"/>
  <c r="H36" i="34"/>
  <c r="I36" i="34"/>
  <c r="J36" i="34"/>
  <c r="H10" i="46"/>
  <c r="I10" i="46"/>
  <c r="I107" i="67" l="1"/>
  <c r="H107" i="67"/>
  <c r="H13" i="18"/>
  <c r="H90" i="67"/>
  <c r="H50" i="67"/>
  <c r="H103" i="67"/>
  <c r="I102" i="67"/>
  <c r="I62" i="67"/>
  <c r="H102" i="67"/>
  <c r="I13" i="18"/>
  <c r="I90" i="67"/>
  <c r="I50" i="67"/>
  <c r="I103" i="67"/>
  <c r="H18" i="13"/>
  <c r="H16" i="61" s="1"/>
  <c r="H32" i="61" s="1"/>
  <c r="H20" i="13"/>
  <c r="H28" i="67" s="1"/>
  <c r="I18" i="13"/>
  <c r="I16" i="61" s="1"/>
  <c r="I32" i="61" s="1"/>
  <c r="I40" i="34"/>
  <c r="I20" i="13"/>
  <c r="I28" i="67" s="1"/>
  <c r="J40" i="34"/>
  <c r="D32" i="18"/>
  <c r="D24" i="18"/>
  <c r="D26" i="18"/>
  <c r="H41" i="18"/>
  <c r="I41" i="18"/>
  <c r="H170" i="61"/>
  <c r="H171" i="61" s="1"/>
  <c r="H173" i="61" s="1"/>
  <c r="E9" i="63"/>
  <c r="I170" i="61"/>
  <c r="I171" i="61" s="1"/>
  <c r="I173" i="61" s="1"/>
  <c r="F9" i="63"/>
  <c r="H71" i="61"/>
  <c r="H77" i="61"/>
  <c r="H81" i="61"/>
  <c r="H87" i="61"/>
  <c r="H91" i="61"/>
  <c r="H76" i="61"/>
  <c r="H80" i="61"/>
  <c r="H90" i="61"/>
  <c r="H147" i="61"/>
  <c r="H73" i="61"/>
  <c r="H79" i="61"/>
  <c r="H146" i="61"/>
  <c r="H72" i="61"/>
  <c r="I72" i="61"/>
  <c r="I84" i="61"/>
  <c r="I85" i="61" s="1"/>
  <c r="I69" i="61"/>
  <c r="I71" i="61"/>
  <c r="I77" i="61"/>
  <c r="I81" i="61"/>
  <c r="I87" i="61"/>
  <c r="I91" i="61"/>
  <c r="I146" i="61"/>
  <c r="I76" i="61"/>
  <c r="I80" i="61"/>
  <c r="I90" i="61"/>
  <c r="I147" i="61"/>
  <c r="I73" i="61"/>
  <c r="I79" i="61"/>
  <c r="J84" i="61"/>
  <c r="J85" i="61" s="1"/>
  <c r="J69" i="61"/>
  <c r="C26" i="18"/>
  <c r="C32" i="18"/>
  <c r="C24" i="18"/>
  <c r="H9" i="46"/>
  <c r="I4" i="53"/>
  <c r="I9" i="46"/>
  <c r="J4" i="53"/>
  <c r="I38" i="13"/>
  <c r="I88" i="13"/>
  <c r="H38" i="13"/>
  <c r="H88" i="13"/>
  <c r="H11" i="34"/>
  <c r="I11" i="34"/>
  <c r="H125" i="13"/>
  <c r="H18" i="18" s="1"/>
  <c r="H128" i="13"/>
  <c r="H21" i="18" s="1"/>
  <c r="H129" i="13"/>
  <c r="I125" i="13"/>
  <c r="I18" i="18" s="1"/>
  <c r="I127" i="13"/>
  <c r="H127" i="13"/>
  <c r="I123" i="13"/>
  <c r="I17" i="18" s="1"/>
  <c r="I122" i="13"/>
  <c r="G52" i="74" s="1"/>
  <c r="H122" i="13"/>
  <c r="H123" i="13"/>
  <c r="H17" i="18" s="1"/>
  <c r="I129" i="13"/>
  <c r="I22" i="18" s="1"/>
  <c r="I133" i="13"/>
  <c r="G55" i="74" s="1"/>
  <c r="C41" i="38"/>
  <c r="H133" i="13"/>
  <c r="F55" i="74" s="1"/>
  <c r="I128" i="13"/>
  <c r="H41" i="38" l="1"/>
  <c r="P41" i="38"/>
  <c r="J41" i="38"/>
  <c r="I41" i="38"/>
  <c r="K41" i="38"/>
  <c r="N41" i="38"/>
  <c r="G41" i="38"/>
  <c r="G114" i="38" s="1"/>
  <c r="L41" i="38"/>
  <c r="Q41" i="38"/>
  <c r="F41" i="38"/>
  <c r="M41" i="38"/>
  <c r="O41" i="38"/>
  <c r="F52" i="74"/>
  <c r="I100" i="67"/>
  <c r="H97" i="67"/>
  <c r="H96" i="67"/>
  <c r="H40" i="67"/>
  <c r="H99" i="67"/>
  <c r="I96" i="67"/>
  <c r="I40" i="67"/>
  <c r="I97" i="67"/>
  <c r="H140" i="13"/>
  <c r="H141" i="13" s="1"/>
  <c r="I20" i="18"/>
  <c r="I140" i="13"/>
  <c r="I141" i="13" s="1"/>
  <c r="H31" i="34"/>
  <c r="H29" i="34"/>
  <c r="H27" i="34"/>
  <c r="H30" i="34"/>
  <c r="H28" i="34"/>
  <c r="I31" i="34"/>
  <c r="I29" i="34"/>
  <c r="I27" i="34"/>
  <c r="I30" i="34"/>
  <c r="I28" i="34"/>
  <c r="E33" i="63"/>
  <c r="E31" i="63"/>
  <c r="E21" i="63"/>
  <c r="H86" i="46" s="1"/>
  <c r="E13" i="63"/>
  <c r="I43" i="62" s="1"/>
  <c r="F33" i="63"/>
  <c r="F31" i="63"/>
  <c r="F21" i="63"/>
  <c r="I86" i="46" s="1"/>
  <c r="F13" i="63"/>
  <c r="J43" i="62" s="1"/>
  <c r="H22" i="18"/>
  <c r="H16" i="18"/>
  <c r="H175" i="61"/>
  <c r="H174" i="61"/>
  <c r="I172" i="61"/>
  <c r="H9" i="18"/>
  <c r="I9" i="18"/>
  <c r="J172" i="61"/>
  <c r="J177" i="61" s="1"/>
  <c r="J179" i="61" s="1"/>
  <c r="I175" i="61"/>
  <c r="I174" i="61"/>
  <c r="I30" i="62"/>
  <c r="I32" i="62" s="1"/>
  <c r="H60" i="34"/>
  <c r="H82" i="46"/>
  <c r="J30" i="62"/>
  <c r="J32" i="62" s="1"/>
  <c r="I60" i="34"/>
  <c r="I82" i="46"/>
  <c r="H151" i="61"/>
  <c r="I151" i="61"/>
  <c r="C30" i="38"/>
  <c r="D30" i="38" s="1"/>
  <c r="H31" i="18"/>
  <c r="H69" i="67" s="1"/>
  <c r="I31" i="18"/>
  <c r="I69" i="67" s="1"/>
  <c r="D26" i="38"/>
  <c r="I5" i="53"/>
  <c r="I6" i="53" s="1"/>
  <c r="J16" i="48"/>
  <c r="J32" i="48" s="1"/>
  <c r="F12" i="41"/>
  <c r="F28" i="41" s="1"/>
  <c r="J5" i="53"/>
  <c r="J6" i="53" s="1"/>
  <c r="K16" i="48"/>
  <c r="K32" i="48" s="1"/>
  <c r="G12" i="41"/>
  <c r="G28" i="41" s="1"/>
  <c r="I26" i="34"/>
  <c r="J26" i="34"/>
  <c r="G27" i="18"/>
  <c r="G65" i="67" s="1"/>
  <c r="H27" i="18"/>
  <c r="H65" i="67" s="1"/>
  <c r="E43" i="38"/>
  <c r="H20" i="18"/>
  <c r="I27" i="18"/>
  <c r="I65" i="67" s="1"/>
  <c r="I16" i="34"/>
  <c r="I16" i="18"/>
  <c r="H16" i="34"/>
  <c r="J16" i="34"/>
  <c r="I21" i="18"/>
  <c r="E41" i="38" l="1"/>
  <c r="D41" i="38" s="1"/>
  <c r="I95" i="67"/>
  <c r="H98" i="67"/>
  <c r="H106" i="67"/>
  <c r="I98" i="67"/>
  <c r="H104" i="67"/>
  <c r="H48" i="67"/>
  <c r="H95" i="67"/>
  <c r="I99" i="67"/>
  <c r="I104" i="67"/>
  <c r="I48" i="67"/>
  <c r="I106" i="67"/>
  <c r="H100" i="67"/>
  <c r="D27" i="18"/>
  <c r="G28" i="63"/>
  <c r="I177" i="61"/>
  <c r="I179" i="61" s="1"/>
  <c r="J48" i="18"/>
  <c r="D43" i="38"/>
  <c r="C27" i="18"/>
  <c r="J118" i="67" l="1"/>
  <c r="G34" i="63"/>
  <c r="G29" i="63"/>
  <c r="F28" i="63"/>
  <c r="F29" i="63" s="1"/>
  <c r="I48" i="18"/>
  <c r="G57" i="67" l="1"/>
  <c r="I118" i="67"/>
  <c r="G35" i="63"/>
  <c r="F34" i="63"/>
  <c r="F35" i="63" s="1"/>
  <c r="F10" i="18"/>
  <c r="K10" i="18"/>
  <c r="L10" i="18" l="1"/>
  <c r="I10" i="18" l="1"/>
  <c r="H10" i="18"/>
  <c r="J10" i="18" l="1"/>
  <c r="F50" i="18" l="1"/>
  <c r="F84" i="67" l="1"/>
  <c r="F51" i="18"/>
  <c r="F53" i="18"/>
  <c r="F62" i="18" l="1"/>
  <c r="F66" i="18" s="1"/>
  <c r="F85" i="67"/>
  <c r="F16" i="67"/>
  <c r="F77" i="18"/>
  <c r="F79" i="18"/>
  <c r="F55" i="18"/>
  <c r="F68" i="18" l="1"/>
  <c r="F71" i="18" s="1"/>
  <c r="F72" i="18" s="1"/>
  <c r="F67" i="18"/>
  <c r="F64" i="18"/>
  <c r="F88" i="67"/>
  <c r="F69" i="18" l="1"/>
  <c r="G61" i="18" s="1"/>
  <c r="G63" i="18" s="1"/>
  <c r="F287" i="35"/>
  <c r="F228" i="35" l="1"/>
  <c r="F202" i="35" l="1"/>
  <c r="F286" i="35"/>
  <c r="I228" i="35"/>
  <c r="I287" i="35"/>
  <c r="H228" i="35"/>
  <c r="H287" i="35"/>
  <c r="G228" i="35"/>
  <c r="G287" i="35"/>
  <c r="J228" i="35" l="1"/>
  <c r="F294" i="35"/>
  <c r="F271" i="35" s="1"/>
  <c r="F203" i="35"/>
  <c r="I286" i="35"/>
  <c r="I202" i="35"/>
  <c r="G286" i="35"/>
  <c r="G202" i="35"/>
  <c r="J286" i="35"/>
  <c r="F290" i="35"/>
  <c r="J290" i="35" s="1"/>
  <c r="F273" i="35"/>
  <c r="H286" i="35"/>
  <c r="H202" i="35"/>
  <c r="J287" i="35"/>
  <c r="F295" i="35" l="1"/>
  <c r="F205" i="35"/>
  <c r="F297" i="35" s="1"/>
  <c r="I294" i="35"/>
  <c r="I271" i="35" s="1"/>
  <c r="I203" i="35"/>
  <c r="H294" i="35"/>
  <c r="H271" i="35" s="1"/>
  <c r="H203" i="35"/>
  <c r="G294" i="35"/>
  <c r="J294" i="35" s="1"/>
  <c r="G203" i="35"/>
  <c r="J202" i="35"/>
  <c r="G273" i="35"/>
  <c r="G290" i="35"/>
  <c r="H273" i="35"/>
  <c r="H290" i="35"/>
  <c r="I273" i="35"/>
  <c r="I290" i="35"/>
  <c r="G271" i="35" l="1"/>
  <c r="J271" i="35" s="1"/>
  <c r="G205" i="35"/>
  <c r="G297" i="35" s="1"/>
  <c r="G274" i="35" s="1"/>
  <c r="G295" i="35"/>
  <c r="G272" i="35" s="1"/>
  <c r="F274" i="35"/>
  <c r="H295" i="35"/>
  <c r="H205" i="35"/>
  <c r="H297" i="35" s="1"/>
  <c r="H274" i="35" s="1"/>
  <c r="J203" i="35"/>
  <c r="J205" i="35" s="1"/>
  <c r="I295" i="35"/>
  <c r="I205" i="35"/>
  <c r="I297" i="35" s="1"/>
  <c r="I274" i="35" s="1"/>
  <c r="F272" i="35"/>
  <c r="F300" i="35"/>
  <c r="F302" i="35" s="1"/>
  <c r="G277" i="35" l="1"/>
  <c r="G279" i="35" s="1"/>
  <c r="J295" i="35"/>
  <c r="G300" i="35"/>
  <c r="G302" i="35" s="1"/>
  <c r="F277" i="35"/>
  <c r="F279" i="35" s="1"/>
  <c r="H272" i="35"/>
  <c r="H277" i="35" s="1"/>
  <c r="H279" i="35" s="1"/>
  <c r="H300" i="35"/>
  <c r="H302" i="35" s="1"/>
  <c r="I272" i="35"/>
  <c r="I277" i="35" s="1"/>
  <c r="I279" i="35" s="1"/>
  <c r="I300" i="35"/>
  <c r="I302" i="35" s="1"/>
  <c r="J297" i="35"/>
  <c r="J274" i="35"/>
  <c r="J272" i="35" l="1"/>
  <c r="Q71" i="38" l="1"/>
  <c r="K71" i="38"/>
  <c r="N71" i="38"/>
  <c r="E66" i="38"/>
  <c r="H71" i="38"/>
  <c r="E71" i="38" l="1"/>
  <c r="H62" i="13" l="1"/>
  <c r="I78" i="13" s="1"/>
  <c r="I62" i="13" l="1"/>
  <c r="J78" i="13" s="1"/>
  <c r="L62" i="13"/>
  <c r="K62" i="13"/>
  <c r="L78" i="13" s="1"/>
  <c r="J62" i="13"/>
  <c r="K78" i="13" s="1"/>
  <c r="K63" i="13" l="1"/>
  <c r="L79" i="13" s="1"/>
  <c r="H63" i="13"/>
  <c r="I79" i="13" s="1"/>
  <c r="I63" i="13"/>
  <c r="J79" i="13" s="1"/>
  <c r="L63" i="13"/>
  <c r="J63" i="13"/>
  <c r="K79" i="13" s="1"/>
  <c r="H64" i="13"/>
  <c r="H67" i="13" l="1"/>
  <c r="I80" i="13"/>
  <c r="I110" i="13" s="1"/>
  <c r="H65" i="13"/>
  <c r="H69" i="13" s="1"/>
  <c r="I64" i="13"/>
  <c r="J64" i="13"/>
  <c r="K64" i="13"/>
  <c r="L64" i="13"/>
  <c r="L67" i="13" s="1"/>
  <c r="I109" i="13" l="1"/>
  <c r="J67" i="13"/>
  <c r="K80" i="13"/>
  <c r="I67" i="13"/>
  <c r="J80" i="13"/>
  <c r="K67" i="13"/>
  <c r="L80" i="13"/>
  <c r="H66" i="13"/>
  <c r="H68" i="13" s="1"/>
  <c r="J65" i="13"/>
  <c r="J69" i="13" s="1"/>
  <c r="K65" i="13"/>
  <c r="K69" i="13" s="1"/>
  <c r="I65" i="13"/>
  <c r="I69" i="13" s="1"/>
  <c r="L65" i="13"/>
  <c r="L69" i="13" s="1"/>
  <c r="I113" i="13" l="1"/>
  <c r="I114" i="13" s="1"/>
  <c r="I14" i="18" s="1"/>
  <c r="I115" i="13"/>
  <c r="L110" i="13"/>
  <c r="L109" i="13"/>
  <c r="K110" i="13"/>
  <c r="K109" i="13"/>
  <c r="J110" i="13"/>
  <c r="J109" i="13"/>
  <c r="J66" i="13"/>
  <c r="J68" i="13" s="1"/>
  <c r="K66" i="13"/>
  <c r="K68" i="13" s="1"/>
  <c r="L66" i="13"/>
  <c r="L68" i="13" s="1"/>
  <c r="I66" i="13"/>
  <c r="I68" i="13" s="1"/>
  <c r="L115" i="13" l="1"/>
  <c r="K115" i="13"/>
  <c r="J115" i="13"/>
  <c r="G51" i="74"/>
  <c r="I74" i="61"/>
  <c r="I75" i="61"/>
  <c r="I15" i="18"/>
  <c r="I53" i="67" s="1"/>
  <c r="J113" i="13"/>
  <c r="J114" i="13" s="1"/>
  <c r="J14" i="18" s="1"/>
  <c r="L113" i="13"/>
  <c r="L114" i="13" s="1"/>
  <c r="L14" i="18" s="1"/>
  <c r="K113" i="13"/>
  <c r="K114" i="13" s="1"/>
  <c r="K14" i="18" s="1"/>
  <c r="I51" i="74" l="1"/>
  <c r="J51" i="74"/>
  <c r="I57" i="74"/>
  <c r="J50" i="74"/>
  <c r="W51" i="74"/>
  <c r="H51" i="74"/>
  <c r="H50" i="74" s="1"/>
  <c r="G57" i="74"/>
  <c r="U51" i="74" s="1"/>
  <c r="I105" i="61"/>
  <c r="I194" i="61" s="1"/>
  <c r="I196" i="61" s="1"/>
  <c r="I198" i="61" s="1"/>
  <c r="I44" i="18" s="1"/>
  <c r="I116" i="13"/>
  <c r="I142" i="13" s="1"/>
  <c r="I92" i="67"/>
  <c r="I93" i="67"/>
  <c r="I34" i="18"/>
  <c r="J75" i="61"/>
  <c r="J15" i="18"/>
  <c r="J53" i="67" s="1"/>
  <c r="J74" i="61"/>
  <c r="L74" i="61"/>
  <c r="L15" i="18"/>
  <c r="L53" i="67" s="1"/>
  <c r="L75" i="61"/>
  <c r="K74" i="61"/>
  <c r="K15" i="18"/>
  <c r="K53" i="67" s="1"/>
  <c r="K75" i="61"/>
  <c r="J57" i="74" l="1"/>
  <c r="X51" i="74"/>
  <c r="I283" i="74"/>
  <c r="W55" i="74"/>
  <c r="W76" i="74"/>
  <c r="W79" i="74"/>
  <c r="W57" i="74"/>
  <c r="W65" i="74"/>
  <c r="I58" i="74"/>
  <c r="W85" i="74"/>
  <c r="W80" i="74"/>
  <c r="W52" i="74"/>
  <c r="W66" i="74"/>
  <c r="W81" i="74"/>
  <c r="W82" i="74"/>
  <c r="W67" i="74"/>
  <c r="W75" i="74"/>
  <c r="W56" i="74"/>
  <c r="W83" i="74"/>
  <c r="W53" i="74"/>
  <c r="W77" i="74"/>
  <c r="H57" i="74"/>
  <c r="I50" i="74"/>
  <c r="V51" i="74"/>
  <c r="G283" i="74"/>
  <c r="U65" i="74"/>
  <c r="U76" i="74"/>
  <c r="U66" i="74"/>
  <c r="U79" i="74"/>
  <c r="U77" i="74"/>
  <c r="U81" i="74"/>
  <c r="U52" i="74"/>
  <c r="U67" i="74"/>
  <c r="U55" i="74"/>
  <c r="U80" i="74"/>
  <c r="U53" i="74"/>
  <c r="U83" i="74"/>
  <c r="U56" i="74"/>
  <c r="U57" i="74"/>
  <c r="U82" i="74"/>
  <c r="U75" i="74"/>
  <c r="G58" i="74"/>
  <c r="I106" i="61"/>
  <c r="H13" i="45"/>
  <c r="H28" i="45" s="1"/>
  <c r="H39" i="45" s="1"/>
  <c r="I45" i="18" s="1"/>
  <c r="I35" i="18"/>
  <c r="I36" i="18" s="1"/>
  <c r="I72" i="67"/>
  <c r="I57" i="67"/>
  <c r="I37" i="18"/>
  <c r="I144" i="13"/>
  <c r="I145" i="13" s="1"/>
  <c r="I117" i="13"/>
  <c r="I45" i="61"/>
  <c r="I46" i="61" s="1"/>
  <c r="L92" i="67"/>
  <c r="J92" i="67"/>
  <c r="L93" i="67"/>
  <c r="I109" i="67"/>
  <c r="K93" i="67"/>
  <c r="J93" i="67"/>
  <c r="K92" i="67"/>
  <c r="I83" i="67"/>
  <c r="I42" i="67"/>
  <c r="I61" i="67"/>
  <c r="I79" i="67"/>
  <c r="I82" i="67"/>
  <c r="I76" i="67"/>
  <c r="I75" i="67"/>
  <c r="I55" i="67"/>
  <c r="I60" i="67"/>
  <c r="I56" i="67"/>
  <c r="I59" i="67"/>
  <c r="I54" i="67"/>
  <c r="I58" i="67"/>
  <c r="I81" i="67"/>
  <c r="I52" i="67"/>
  <c r="F10" i="63"/>
  <c r="J34" i="62" s="1"/>
  <c r="I143" i="13"/>
  <c r="I38" i="18" s="1"/>
  <c r="K105" i="61"/>
  <c r="K106" i="61" s="1"/>
  <c r="K116" i="13"/>
  <c r="L105" i="61"/>
  <c r="L106" i="61" s="1"/>
  <c r="L116" i="13"/>
  <c r="F16" i="63"/>
  <c r="L34" i="18"/>
  <c r="K34" i="18"/>
  <c r="J116" i="13"/>
  <c r="J34" i="18"/>
  <c r="J105" i="61"/>
  <c r="J283" i="74" l="1"/>
  <c r="X55" i="74"/>
  <c r="X52" i="74"/>
  <c r="X81" i="74"/>
  <c r="X83" i="74"/>
  <c r="X76" i="74"/>
  <c r="X85" i="74"/>
  <c r="X77" i="74"/>
  <c r="X57" i="74"/>
  <c r="X75" i="74"/>
  <c r="X67" i="74"/>
  <c r="X65" i="74"/>
  <c r="X80" i="74"/>
  <c r="X82" i="74"/>
  <c r="J58" i="74"/>
  <c r="X56" i="74"/>
  <c r="X66" i="74"/>
  <c r="X79" i="74"/>
  <c r="X53" i="74"/>
  <c r="H283" i="74"/>
  <c r="V81" i="74"/>
  <c r="V80" i="74"/>
  <c r="V82" i="74"/>
  <c r="V85" i="74"/>
  <c r="V83" i="74"/>
  <c r="V75" i="74"/>
  <c r="V76" i="74"/>
  <c r="V66" i="74"/>
  <c r="V53" i="74"/>
  <c r="V56" i="74"/>
  <c r="V52" i="74"/>
  <c r="V55" i="74"/>
  <c r="V67" i="74"/>
  <c r="V77" i="74"/>
  <c r="H58" i="74"/>
  <c r="V79" i="74"/>
  <c r="V57" i="74"/>
  <c r="V65" i="74"/>
  <c r="I115" i="67"/>
  <c r="G63" i="74"/>
  <c r="U63" i="74" s="1"/>
  <c r="I78" i="67"/>
  <c r="L72" i="67"/>
  <c r="J72" i="67"/>
  <c r="K72" i="67"/>
  <c r="I39" i="18"/>
  <c r="K109" i="67"/>
  <c r="K57" i="67"/>
  <c r="K37" i="18"/>
  <c r="K144" i="13"/>
  <c r="L144" i="13"/>
  <c r="L37" i="18"/>
  <c r="J57" i="67"/>
  <c r="J37" i="18"/>
  <c r="J144" i="13"/>
  <c r="H57" i="67"/>
  <c r="L52" i="67"/>
  <c r="L57" i="67"/>
  <c r="K194" i="61"/>
  <c r="K196" i="61" s="1"/>
  <c r="K198" i="61" s="1"/>
  <c r="K44" i="18" s="1"/>
  <c r="F22" i="63"/>
  <c r="I87" i="46" s="1"/>
  <c r="F11" i="63"/>
  <c r="I84" i="46" s="1"/>
  <c r="F36" i="63"/>
  <c r="F37" i="63" s="1"/>
  <c r="L194" i="61"/>
  <c r="L196" i="61" s="1"/>
  <c r="L198" i="61" s="1"/>
  <c r="L44" i="18" s="1"/>
  <c r="F14" i="63"/>
  <c r="F15" i="63" s="1"/>
  <c r="J45" i="62" s="1"/>
  <c r="J109" i="67"/>
  <c r="J83" i="67"/>
  <c r="J42" i="67"/>
  <c r="J61" i="67"/>
  <c r="J79" i="67"/>
  <c r="J82" i="67"/>
  <c r="J76" i="67"/>
  <c r="J60" i="67"/>
  <c r="J59" i="67"/>
  <c r="J55" i="67"/>
  <c r="J54" i="67"/>
  <c r="J56" i="67"/>
  <c r="J58" i="67"/>
  <c r="J75" i="67"/>
  <c r="J81" i="67"/>
  <c r="K83" i="67"/>
  <c r="K42" i="67"/>
  <c r="K61" i="67"/>
  <c r="K79" i="67"/>
  <c r="K82" i="67"/>
  <c r="K76" i="67"/>
  <c r="K55" i="67"/>
  <c r="K59" i="67"/>
  <c r="K56" i="67"/>
  <c r="K60" i="67"/>
  <c r="K54" i="67"/>
  <c r="K58" i="67"/>
  <c r="K81" i="67"/>
  <c r="K75" i="67"/>
  <c r="I114" i="67"/>
  <c r="I77" i="67"/>
  <c r="J52" i="67"/>
  <c r="L83" i="67"/>
  <c r="L42" i="67"/>
  <c r="L61" i="67"/>
  <c r="L79" i="67"/>
  <c r="L82" i="67"/>
  <c r="L59" i="67"/>
  <c r="L60" i="67"/>
  <c r="L55" i="67"/>
  <c r="L54" i="67"/>
  <c r="L56" i="67"/>
  <c r="L58" i="67"/>
  <c r="L76" i="67"/>
  <c r="L81" i="67"/>
  <c r="L75" i="67"/>
  <c r="K52" i="67"/>
  <c r="L109" i="67"/>
  <c r="I61" i="34"/>
  <c r="I83" i="46"/>
  <c r="F18" i="63"/>
  <c r="F19" i="63" s="1"/>
  <c r="I50" i="61" s="1"/>
  <c r="L142" i="13"/>
  <c r="L35" i="18" s="1"/>
  <c r="L36" i="18" s="1"/>
  <c r="L117" i="13"/>
  <c r="J142" i="13"/>
  <c r="J117" i="13"/>
  <c r="K142" i="13"/>
  <c r="K35" i="18" s="1"/>
  <c r="K36" i="18" s="1"/>
  <c r="K117" i="13"/>
  <c r="J106" i="61"/>
  <c r="J194" i="61"/>
  <c r="J196" i="61" s="1"/>
  <c r="J198" i="61" s="1"/>
  <c r="J44" i="18" s="1"/>
  <c r="I47" i="61"/>
  <c r="F17" i="63"/>
  <c r="I48" i="61" s="1"/>
  <c r="J288" i="74" l="1"/>
  <c r="I288" i="74"/>
  <c r="G10" i="63"/>
  <c r="G14" i="63" s="1"/>
  <c r="J35" i="18"/>
  <c r="J36" i="18" s="1"/>
  <c r="F23" i="63"/>
  <c r="I88" i="46" s="1"/>
  <c r="J145" i="13"/>
  <c r="L145" i="13"/>
  <c r="K145" i="13"/>
  <c r="I62" i="34"/>
  <c r="H16" i="63"/>
  <c r="K47" i="61" s="1"/>
  <c r="J44" i="62"/>
  <c r="I49" i="61"/>
  <c r="I16" i="63"/>
  <c r="L47" i="61" s="1"/>
  <c r="I13" i="45"/>
  <c r="I28" i="45" s="1"/>
  <c r="I39" i="45" s="1"/>
  <c r="J45" i="18" s="1"/>
  <c r="H63" i="74" s="1"/>
  <c r="L114" i="67"/>
  <c r="L77" i="67"/>
  <c r="K114" i="67"/>
  <c r="K77" i="67"/>
  <c r="J143" i="13"/>
  <c r="J38" i="18" s="1"/>
  <c r="J39" i="18" s="1"/>
  <c r="J45" i="61"/>
  <c r="J46" i="61" s="1"/>
  <c r="K143" i="13"/>
  <c r="K38" i="18" s="1"/>
  <c r="K39" i="18" s="1"/>
  <c r="J13" i="45"/>
  <c r="J28" i="45" s="1"/>
  <c r="J39" i="45" s="1"/>
  <c r="K45" i="18" s="1"/>
  <c r="I63" i="74" s="1"/>
  <c r="W63" i="74" s="1"/>
  <c r="K45" i="61"/>
  <c r="K46" i="61" s="1"/>
  <c r="H10" i="63"/>
  <c r="L45" i="61"/>
  <c r="L46" i="61" s="1"/>
  <c r="L143" i="13"/>
  <c r="L38" i="18" s="1"/>
  <c r="L39" i="18" s="1"/>
  <c r="I10" i="63"/>
  <c r="K13" i="45"/>
  <c r="K28" i="45" s="1"/>
  <c r="K39" i="45" s="1"/>
  <c r="L45" i="18" s="1"/>
  <c r="J63" i="74" s="1"/>
  <c r="X63" i="74" s="1"/>
  <c r="G16" i="63"/>
  <c r="V63" i="74" l="1"/>
  <c r="K34" i="62"/>
  <c r="L115" i="67"/>
  <c r="L78" i="67"/>
  <c r="K115" i="67"/>
  <c r="K78" i="67"/>
  <c r="J115" i="67"/>
  <c r="J78" i="67"/>
  <c r="J83" i="46"/>
  <c r="J61" i="34"/>
  <c r="G11" i="63"/>
  <c r="J62" i="34" s="1"/>
  <c r="G22" i="63"/>
  <c r="J87" i="46" s="1"/>
  <c r="G36" i="63"/>
  <c r="G37" i="63" s="1"/>
  <c r="H17" i="63"/>
  <c r="K48" i="61" s="1"/>
  <c r="I17" i="63"/>
  <c r="L48" i="61" s="1"/>
  <c r="G18" i="63"/>
  <c r="G19" i="63" s="1"/>
  <c r="J50" i="61" s="1"/>
  <c r="J114" i="67"/>
  <c r="J77" i="67"/>
  <c r="H36" i="63"/>
  <c r="H37" i="63" s="1"/>
  <c r="K61" i="34"/>
  <c r="H22" i="63"/>
  <c r="K83" i="46"/>
  <c r="L34" i="62"/>
  <c r="H11" i="63"/>
  <c r="H14" i="63"/>
  <c r="H18" i="63"/>
  <c r="H19" i="63" s="1"/>
  <c r="K50" i="61" s="1"/>
  <c r="M34" i="62"/>
  <c r="I14" i="63"/>
  <c r="L61" i="34"/>
  <c r="I36" i="63"/>
  <c r="I37" i="63" s="1"/>
  <c r="I11" i="63"/>
  <c r="L83" i="46"/>
  <c r="I22" i="63"/>
  <c r="I18" i="63"/>
  <c r="G15" i="63"/>
  <c r="K45" i="62" s="1"/>
  <c r="K44" i="62"/>
  <c r="J47" i="61"/>
  <c r="G17" i="63"/>
  <c r="J48" i="61" s="1"/>
  <c r="J84" i="46" l="1"/>
  <c r="G23" i="63"/>
  <c r="J88" i="46" s="1"/>
  <c r="J49" i="61"/>
  <c r="K49" i="61"/>
  <c r="M44" i="62"/>
  <c r="I15" i="63"/>
  <c r="M45" i="62" s="1"/>
  <c r="L49" i="61"/>
  <c r="I19" i="63"/>
  <c r="L50" i="61" s="1"/>
  <c r="L84" i="46"/>
  <c r="L62" i="34"/>
  <c r="K84" i="46"/>
  <c r="K62" i="34"/>
  <c r="K87" i="46"/>
  <c r="H23" i="63"/>
  <c r="K88" i="46" s="1"/>
  <c r="H15" i="63"/>
  <c r="L45" i="62" s="1"/>
  <c r="L44" i="62"/>
  <c r="L87" i="46"/>
  <c r="I23" i="63"/>
  <c r="L88" i="46" s="1"/>
  <c r="E14" i="41" l="1"/>
  <c r="E27" i="41" s="1"/>
  <c r="F12" i="45" s="1"/>
  <c r="G18" i="61"/>
  <c r="G31" i="61" s="1"/>
  <c r="G39" i="61" s="1"/>
  <c r="G16" i="13"/>
  <c r="G97" i="61" s="1"/>
  <c r="G35" i="13"/>
  <c r="E11" i="41" l="1"/>
  <c r="G146" i="61"/>
  <c r="G87" i="61"/>
  <c r="G84" i="61"/>
  <c r="H200" i="62"/>
  <c r="G89" i="61"/>
  <c r="H111" i="62"/>
  <c r="H98" i="62"/>
  <c r="G78" i="61"/>
  <c r="E29" i="41"/>
  <c r="G73" i="61"/>
  <c r="G61" i="13"/>
  <c r="H77" i="13" s="1"/>
  <c r="G88" i="13"/>
  <c r="G45" i="13"/>
  <c r="G71" i="61"/>
  <c r="H40" i="34"/>
  <c r="G46" i="13"/>
  <c r="G90" i="61"/>
  <c r="G81" i="61"/>
  <c r="G38" i="13"/>
  <c r="H84" i="61"/>
  <c r="H85" i="61" s="1"/>
  <c r="G19" i="67"/>
  <c r="G103" i="67" s="1"/>
  <c r="C103" i="67" s="1"/>
  <c r="G34" i="61"/>
  <c r="H4" i="53"/>
  <c r="J9" i="53" s="1"/>
  <c r="G129" i="13"/>
  <c r="C25" i="38" s="1"/>
  <c r="G128" i="13"/>
  <c r="C24" i="38" s="1"/>
  <c r="G123" i="13"/>
  <c r="C123" i="13" s="1"/>
  <c r="G69" i="61"/>
  <c r="G62" i="13"/>
  <c r="H78" i="13" s="1"/>
  <c r="G122" i="13"/>
  <c r="C19" i="38" s="1"/>
  <c r="G11" i="34"/>
  <c r="G133" i="13"/>
  <c r="C29" i="38" s="1"/>
  <c r="D29" i="38" s="1"/>
  <c r="G127" i="13"/>
  <c r="C127" i="13" s="1"/>
  <c r="G125" i="13"/>
  <c r="C125" i="13" s="1"/>
  <c r="G41" i="61"/>
  <c r="G37" i="61"/>
  <c r="G15" i="61"/>
  <c r="E30" i="41"/>
  <c r="G64" i="13"/>
  <c r="H80" i="13" s="1"/>
  <c r="G63" i="13"/>
  <c r="H79" i="13" s="1"/>
  <c r="G106" i="13"/>
  <c r="G47" i="13"/>
  <c r="G76" i="61"/>
  <c r="G79" i="61"/>
  <c r="G72" i="61"/>
  <c r="G9" i="46"/>
  <c r="G40" i="34"/>
  <c r="G10" i="46"/>
  <c r="G20" i="13"/>
  <c r="G28" i="67" s="1"/>
  <c r="G147" i="61"/>
  <c r="G80" i="61"/>
  <c r="G91" i="61"/>
  <c r="G77" i="61"/>
  <c r="G44" i="13"/>
  <c r="G81" i="13"/>
  <c r="G109" i="13" s="1"/>
  <c r="G124" i="13"/>
  <c r="I18" i="48"/>
  <c r="G18" i="13"/>
  <c r="D9" i="63"/>
  <c r="G170" i="61"/>
  <c r="G171" i="61" s="1"/>
  <c r="H69" i="61"/>
  <c r="M24" i="38" l="1"/>
  <c r="N24" i="38"/>
  <c r="L24" i="38"/>
  <c r="O24" i="38"/>
  <c r="H24" i="38"/>
  <c r="P24" i="38"/>
  <c r="I24" i="38"/>
  <c r="Q24" i="38"/>
  <c r="J24" i="38"/>
  <c r="K24" i="38"/>
  <c r="G29" i="34"/>
  <c r="L19" i="34"/>
  <c r="M19" i="38"/>
  <c r="N19" i="38"/>
  <c r="O19" i="38"/>
  <c r="P19" i="38"/>
  <c r="Q19" i="38"/>
  <c r="L19" i="38"/>
  <c r="N25" i="38"/>
  <c r="M25" i="38"/>
  <c r="L25" i="38"/>
  <c r="O25" i="38"/>
  <c r="Q25" i="38"/>
  <c r="P25" i="38"/>
  <c r="G151" i="61"/>
  <c r="G104" i="67"/>
  <c r="C104" i="67" s="1"/>
  <c r="G120" i="67"/>
  <c r="C120" i="67" s="1"/>
  <c r="C122" i="13"/>
  <c r="C23" i="38"/>
  <c r="G94" i="67"/>
  <c r="G19" i="34"/>
  <c r="H19" i="34" s="1"/>
  <c r="H272" i="62"/>
  <c r="H120" i="62"/>
  <c r="H354" i="62"/>
  <c r="H236" i="62"/>
  <c r="H261" i="62"/>
  <c r="H106" i="62"/>
  <c r="G102" i="67"/>
  <c r="C102" i="67" s="1"/>
  <c r="C22" i="38"/>
  <c r="C128" i="13"/>
  <c r="C19" i="67"/>
  <c r="G18" i="18"/>
  <c r="C18" i="18" s="1"/>
  <c r="G30" i="67"/>
  <c r="C30" i="67" s="1"/>
  <c r="G119" i="67"/>
  <c r="C119" i="67" s="1"/>
  <c r="G101" i="67"/>
  <c r="C101" i="67" s="1"/>
  <c r="G107" i="67"/>
  <c r="C107" i="67" s="1"/>
  <c r="C133" i="13"/>
  <c r="G16" i="18"/>
  <c r="D16" i="18" s="1"/>
  <c r="G113" i="67"/>
  <c r="C113" i="67" s="1"/>
  <c r="G9" i="18"/>
  <c r="G48" i="67" s="1"/>
  <c r="C48" i="67" s="1"/>
  <c r="G31" i="18"/>
  <c r="D31" i="18" s="1"/>
  <c r="G108" i="67"/>
  <c r="C108" i="67" s="1"/>
  <c r="G21" i="18"/>
  <c r="D21" i="18" s="1"/>
  <c r="G105" i="67"/>
  <c r="C105" i="67" s="1"/>
  <c r="G33" i="67"/>
  <c r="C33" i="67" s="1"/>
  <c r="G116" i="67"/>
  <c r="C116" i="67" s="1"/>
  <c r="G46" i="67"/>
  <c r="C46" i="67" s="1"/>
  <c r="H22" i="67"/>
  <c r="G140" i="13"/>
  <c r="G141" i="13" s="1"/>
  <c r="G31" i="34"/>
  <c r="G27" i="34"/>
  <c r="C20" i="38"/>
  <c r="G65" i="13"/>
  <c r="G69" i="13" s="1"/>
  <c r="G22" i="18"/>
  <c r="D22" i="18" s="1"/>
  <c r="G28" i="34"/>
  <c r="G30" i="34"/>
  <c r="G16" i="34"/>
  <c r="C129" i="13"/>
  <c r="G20" i="18"/>
  <c r="D20" i="18" s="1"/>
  <c r="H110" i="13"/>
  <c r="H30" i="62"/>
  <c r="D33" i="63"/>
  <c r="B9" i="63"/>
  <c r="G82" i="46"/>
  <c r="D31" i="63"/>
  <c r="D21" i="63"/>
  <c r="G86" i="46" s="1"/>
  <c r="G60" i="34"/>
  <c r="I31" i="48"/>
  <c r="I15" i="48"/>
  <c r="G115" i="13"/>
  <c r="G114" i="13"/>
  <c r="C9" i="18"/>
  <c r="G69" i="67"/>
  <c r="G67" i="13"/>
  <c r="H172" i="61"/>
  <c r="H177" i="61" s="1"/>
  <c r="G172" i="61"/>
  <c r="G174" i="61"/>
  <c r="G173" i="61"/>
  <c r="G175" i="61"/>
  <c r="E12" i="41"/>
  <c r="E28" i="41" s="1"/>
  <c r="G26" i="34"/>
  <c r="H26" i="34"/>
  <c r="H5" i="53"/>
  <c r="H6" i="53" s="1"/>
  <c r="I16" i="48"/>
  <c r="G16" i="61"/>
  <c r="G32" i="61" s="1"/>
  <c r="C124" i="13"/>
  <c r="C21" i="38"/>
  <c r="H107" i="62"/>
  <c r="G49" i="13"/>
  <c r="C22" i="18"/>
  <c r="J15" i="53"/>
  <c r="K15" i="53" s="1"/>
  <c r="K29" i="53"/>
  <c r="G17" i="18"/>
  <c r="H109" i="13"/>
  <c r="H111" i="13"/>
  <c r="H23" i="18" s="1"/>
  <c r="E19" i="38" l="1"/>
  <c r="D19" i="38" s="1"/>
  <c r="E24" i="38"/>
  <c r="D24" i="38" s="1"/>
  <c r="O21" i="38"/>
  <c r="P21" i="38"/>
  <c r="N21" i="38"/>
  <c r="Q21" i="38"/>
  <c r="L21" i="38"/>
  <c r="M21" i="38"/>
  <c r="I19" i="34"/>
  <c r="J19" i="34"/>
  <c r="K19" i="34"/>
  <c r="Q22" i="38"/>
  <c r="L22" i="38"/>
  <c r="P22" i="38"/>
  <c r="M22" i="38"/>
  <c r="N22" i="38"/>
  <c r="N34" i="38" s="1"/>
  <c r="N88" i="38" s="1"/>
  <c r="O22" i="38"/>
  <c r="M20" i="38"/>
  <c r="N20" i="38"/>
  <c r="O20" i="38"/>
  <c r="P20" i="38"/>
  <c r="Q20" i="38"/>
  <c r="L20" i="38"/>
  <c r="L23" i="38"/>
  <c r="K23" i="38"/>
  <c r="M23" i="38"/>
  <c r="N23" i="38"/>
  <c r="O23" i="38"/>
  <c r="P23" i="38"/>
  <c r="I23" i="38"/>
  <c r="Q23" i="38"/>
  <c r="J23" i="38"/>
  <c r="H23" i="38"/>
  <c r="E25" i="38"/>
  <c r="D25" i="38" s="1"/>
  <c r="C20" i="18"/>
  <c r="H108" i="62"/>
  <c r="C21" i="18"/>
  <c r="I42" i="34"/>
  <c r="K42" i="34"/>
  <c r="J42" i="34"/>
  <c r="H269" i="62"/>
  <c r="C261" i="62"/>
  <c r="H390" i="62"/>
  <c r="C354" i="62"/>
  <c r="H281" i="62"/>
  <c r="C272" i="62"/>
  <c r="G106" i="67"/>
  <c r="C106" i="67" s="1"/>
  <c r="H19" i="62"/>
  <c r="H134" i="62"/>
  <c r="H135" i="62" s="1"/>
  <c r="G23" i="67"/>
  <c r="H22" i="62"/>
  <c r="G60" i="61" s="1"/>
  <c r="G25" i="67"/>
  <c r="C25" i="67" s="1"/>
  <c r="H20" i="62"/>
  <c r="G58" i="61" s="1"/>
  <c r="G24" i="67"/>
  <c r="C24" i="67" s="1"/>
  <c r="D18" i="18"/>
  <c r="C16" i="18"/>
  <c r="G66" i="13"/>
  <c r="G68" i="13" s="1"/>
  <c r="G95" i="67"/>
  <c r="C95" i="67" s="1"/>
  <c r="G97" i="67"/>
  <c r="C97" i="67" s="1"/>
  <c r="G98" i="67"/>
  <c r="C98" i="67" s="1"/>
  <c r="G99" i="67"/>
  <c r="C99" i="67" s="1"/>
  <c r="C31" i="18"/>
  <c r="G100" i="67"/>
  <c r="C100" i="67" s="1"/>
  <c r="K35" i="53"/>
  <c r="K36" i="53" s="1"/>
  <c r="K37" i="53" s="1"/>
  <c r="I32" i="48"/>
  <c r="H113" i="13"/>
  <c r="H114" i="13" s="1"/>
  <c r="H115" i="13"/>
  <c r="H15" i="18" s="1"/>
  <c r="D17" i="18"/>
  <c r="C17" i="18"/>
  <c r="G96" i="67"/>
  <c r="C96" i="67" s="1"/>
  <c r="E28" i="63"/>
  <c r="H179" i="61"/>
  <c r="H48" i="18"/>
  <c r="C18" i="38"/>
  <c r="G15" i="18"/>
  <c r="C30" i="62"/>
  <c r="D23" i="18"/>
  <c r="C23" i="18"/>
  <c r="H94" i="67"/>
  <c r="C94" i="67" s="1"/>
  <c r="G177" i="61"/>
  <c r="C17" i="38"/>
  <c r="G116" i="13"/>
  <c r="G14" i="18"/>
  <c r="G74" i="61"/>
  <c r="G75" i="61"/>
  <c r="B21" i="63"/>
  <c r="E86" i="46" s="1"/>
  <c r="E82" i="46"/>
  <c r="B31" i="63"/>
  <c r="D60" i="34"/>
  <c r="B33" i="63"/>
  <c r="F51" i="74" l="1"/>
  <c r="E20" i="38"/>
  <c r="D20" i="38" s="1"/>
  <c r="Q34" i="38"/>
  <c r="P34" i="38"/>
  <c r="P121" i="38" s="1"/>
  <c r="Q112" i="38"/>
  <c r="Q98" i="38"/>
  <c r="Q124" i="38"/>
  <c r="Q110" i="38"/>
  <c r="Q99" i="38"/>
  <c r="Q95" i="38"/>
  <c r="Q87" i="38"/>
  <c r="Q100" i="38"/>
  <c r="Q129" i="38"/>
  <c r="Q101" i="38"/>
  <c r="Q94" i="38"/>
  <c r="Q86" i="38"/>
  <c r="Q127" i="38"/>
  <c r="Q122" i="38"/>
  <c r="Q125" i="38"/>
  <c r="Q96" i="38"/>
  <c r="Q120" i="38"/>
  <c r="Q123" i="38"/>
  <c r="Q115" i="38"/>
  <c r="Q118" i="38"/>
  <c r="Q121" i="38"/>
  <c r="Q111" i="38"/>
  <c r="Q117" i="38"/>
  <c r="Q109" i="38"/>
  <c r="Q114" i="38"/>
  <c r="Q97" i="38"/>
  <c r="Q88" i="38"/>
  <c r="Q93" i="38"/>
  <c r="Q92" i="38"/>
  <c r="P123" i="38"/>
  <c r="P95" i="38"/>
  <c r="P94" i="38"/>
  <c r="P98" i="38"/>
  <c r="P100" i="38"/>
  <c r="P96" i="38"/>
  <c r="P101" i="38"/>
  <c r="P88" i="38"/>
  <c r="N90" i="38"/>
  <c r="N125" i="38"/>
  <c r="N119" i="38"/>
  <c r="N110" i="38"/>
  <c r="N124" i="38"/>
  <c r="N118" i="38"/>
  <c r="N109" i="38"/>
  <c r="N123" i="38"/>
  <c r="N117" i="38"/>
  <c r="N129" i="38"/>
  <c r="N97" i="38"/>
  <c r="N95" i="38"/>
  <c r="N87" i="38"/>
  <c r="N115" i="38"/>
  <c r="N99" i="38"/>
  <c r="N96" i="38"/>
  <c r="N94" i="38"/>
  <c r="N86" i="38"/>
  <c r="N100" i="38"/>
  <c r="N122" i="38"/>
  <c r="N114" i="38"/>
  <c r="N101" i="38"/>
  <c r="N127" i="38"/>
  <c r="N121" i="38"/>
  <c r="N112" i="38"/>
  <c r="N98" i="38"/>
  <c r="N120" i="38"/>
  <c r="N111" i="38"/>
  <c r="N91" i="38"/>
  <c r="Q89" i="38"/>
  <c r="E21" i="38"/>
  <c r="D21" i="38" s="1"/>
  <c r="H237" i="62"/>
  <c r="E23" i="38"/>
  <c r="D23" i="38" s="1"/>
  <c r="H34" i="38"/>
  <c r="H91" i="38" s="1"/>
  <c r="K34" i="38"/>
  <c r="K91" i="38" s="1"/>
  <c r="E22" i="38"/>
  <c r="D22" i="38" s="1"/>
  <c r="N93" i="38"/>
  <c r="J34" i="38"/>
  <c r="J91" i="38" s="1"/>
  <c r="N89" i="38"/>
  <c r="Q90" i="38"/>
  <c r="Q91" i="38"/>
  <c r="M34" i="38"/>
  <c r="N92" i="38"/>
  <c r="G38" i="67"/>
  <c r="C38" i="67" s="1"/>
  <c r="C281" i="62"/>
  <c r="G39" i="67"/>
  <c r="C39" i="67" s="1"/>
  <c r="H394" i="62"/>
  <c r="H396" i="62" s="1"/>
  <c r="C390" i="62"/>
  <c r="G37" i="67"/>
  <c r="C37" i="67" s="1"/>
  <c r="C269" i="62"/>
  <c r="G24" i="63"/>
  <c r="J47" i="18"/>
  <c r="F24" i="63"/>
  <c r="I47" i="18"/>
  <c r="G26" i="67"/>
  <c r="C23" i="67"/>
  <c r="G57" i="61"/>
  <c r="G61" i="61" s="1"/>
  <c r="H31" i="62"/>
  <c r="H32" i="62" s="1"/>
  <c r="H82" i="61"/>
  <c r="H23" i="62"/>
  <c r="H24" i="63"/>
  <c r="K47" i="18"/>
  <c r="K38" i="53"/>
  <c r="K39" i="53"/>
  <c r="K40" i="53"/>
  <c r="L119" i="13"/>
  <c r="L120" i="13" s="1"/>
  <c r="G119" i="13"/>
  <c r="K119" i="13"/>
  <c r="K120" i="13" s="1"/>
  <c r="I119" i="13"/>
  <c r="I120" i="13" s="1"/>
  <c r="G117" i="13"/>
  <c r="J119" i="13"/>
  <c r="J120" i="13" s="1"/>
  <c r="H119" i="13"/>
  <c r="H120" i="13" s="1"/>
  <c r="G142" i="13"/>
  <c r="H116" i="13"/>
  <c r="H14" i="18"/>
  <c r="C14" i="18" s="1"/>
  <c r="H75" i="61"/>
  <c r="H74" i="61"/>
  <c r="G92" i="67"/>
  <c r="G34" i="18"/>
  <c r="G62" i="67" s="1"/>
  <c r="F17" i="38"/>
  <c r="D28" i="63"/>
  <c r="G48" i="18"/>
  <c r="G179" i="61"/>
  <c r="C177" i="61"/>
  <c r="D15" i="18"/>
  <c r="C15" i="18"/>
  <c r="G93" i="67"/>
  <c r="G53" i="67"/>
  <c r="H118" i="67"/>
  <c r="E34" i="63"/>
  <c r="E35" i="63" s="1"/>
  <c r="E29" i="63"/>
  <c r="H93" i="67"/>
  <c r="H53" i="67"/>
  <c r="F57" i="74" l="1"/>
  <c r="F50" i="74"/>
  <c r="T51" i="74"/>
  <c r="G50" i="74"/>
  <c r="P89" i="38"/>
  <c r="P91" i="38"/>
  <c r="P127" i="38"/>
  <c r="P115" i="38"/>
  <c r="P87" i="38"/>
  <c r="P93" i="38"/>
  <c r="P99" i="38"/>
  <c r="P110" i="38"/>
  <c r="P118" i="38"/>
  <c r="P92" i="38"/>
  <c r="P129" i="38"/>
  <c r="P117" i="38"/>
  <c r="P112" i="38"/>
  <c r="P125" i="38"/>
  <c r="P111" i="38"/>
  <c r="P86" i="38"/>
  <c r="P102" i="38" s="1"/>
  <c r="P122" i="38"/>
  <c r="P120" i="38"/>
  <c r="P97" i="38"/>
  <c r="P114" i="38"/>
  <c r="P90" i="38"/>
  <c r="P109" i="38"/>
  <c r="P124" i="38"/>
  <c r="M120" i="38"/>
  <c r="M109" i="38"/>
  <c r="M96" i="38"/>
  <c r="M117" i="38"/>
  <c r="M125" i="38"/>
  <c r="M100" i="38"/>
  <c r="M114" i="38"/>
  <c r="M122" i="38"/>
  <c r="M124" i="38"/>
  <c r="M111" i="38"/>
  <c r="M118" i="38"/>
  <c r="M98" i="38"/>
  <c r="M123" i="38"/>
  <c r="M127" i="38"/>
  <c r="M115" i="38"/>
  <c r="M99" i="38"/>
  <c r="M129" i="38"/>
  <c r="M112" i="38"/>
  <c r="M101" i="38"/>
  <c r="M95" i="38"/>
  <c r="M87" i="38"/>
  <c r="M97" i="38"/>
  <c r="M94" i="38"/>
  <c r="M86" i="38"/>
  <c r="M121" i="38"/>
  <c r="M110" i="38"/>
  <c r="M93" i="38"/>
  <c r="M92" i="38"/>
  <c r="M88" i="38"/>
  <c r="N102" i="38"/>
  <c r="M89" i="38"/>
  <c r="K118" i="38"/>
  <c r="K109" i="38"/>
  <c r="K97" i="38"/>
  <c r="K94" i="38"/>
  <c r="K86" i="38"/>
  <c r="K125" i="38"/>
  <c r="K117" i="38"/>
  <c r="K99" i="38"/>
  <c r="K93" i="38"/>
  <c r="K129" i="38"/>
  <c r="K124" i="38"/>
  <c r="K101" i="38"/>
  <c r="K115" i="38"/>
  <c r="K123" i="38"/>
  <c r="K122" i="38"/>
  <c r="K114" i="38"/>
  <c r="K127" i="38"/>
  <c r="K90" i="38"/>
  <c r="K121" i="38"/>
  <c r="K112" i="38"/>
  <c r="K89" i="38"/>
  <c r="K120" i="38"/>
  <c r="K111" i="38"/>
  <c r="K96" i="38"/>
  <c r="K88" i="38"/>
  <c r="K87" i="38"/>
  <c r="K100" i="38"/>
  <c r="K119" i="38"/>
  <c r="K110" i="38"/>
  <c r="K98" i="38"/>
  <c r="K95" i="38"/>
  <c r="K92" i="38"/>
  <c r="M91" i="38"/>
  <c r="M90" i="38"/>
  <c r="Q102" i="38"/>
  <c r="H123" i="38"/>
  <c r="H118" i="38"/>
  <c r="H109" i="38"/>
  <c r="H89" i="38"/>
  <c r="H88" i="38"/>
  <c r="H112" i="38"/>
  <c r="H125" i="38"/>
  <c r="H127" i="38"/>
  <c r="H117" i="38"/>
  <c r="H101" i="38"/>
  <c r="H87" i="38"/>
  <c r="H110" i="38"/>
  <c r="H97" i="38"/>
  <c r="H90" i="38"/>
  <c r="H98" i="38"/>
  <c r="H94" i="38"/>
  <c r="H129" i="38"/>
  <c r="H115" i="38"/>
  <c r="H99" i="38"/>
  <c r="H96" i="38"/>
  <c r="H122" i="38"/>
  <c r="H111" i="38"/>
  <c r="H114" i="38"/>
  <c r="H95" i="38"/>
  <c r="H121" i="38"/>
  <c r="H100" i="38"/>
  <c r="H86" i="38"/>
  <c r="H93" i="38"/>
  <c r="H124" i="38"/>
  <c r="H120" i="38"/>
  <c r="H92" i="38"/>
  <c r="J115" i="38"/>
  <c r="J123" i="38"/>
  <c r="J99" i="38"/>
  <c r="J89" i="38"/>
  <c r="J122" i="38"/>
  <c r="J114" i="38"/>
  <c r="J101" i="38"/>
  <c r="J86" i="38"/>
  <c r="J121" i="38"/>
  <c r="J112" i="38"/>
  <c r="J98" i="38"/>
  <c r="J90" i="38"/>
  <c r="J100" i="38"/>
  <c r="J120" i="38"/>
  <c r="J111" i="38"/>
  <c r="J95" i="38"/>
  <c r="J88" i="38"/>
  <c r="J127" i="38"/>
  <c r="J119" i="38"/>
  <c r="J110" i="38"/>
  <c r="J94" i="38"/>
  <c r="J87" i="38"/>
  <c r="J118" i="38"/>
  <c r="J109" i="38"/>
  <c r="J93" i="38"/>
  <c r="J125" i="38"/>
  <c r="J117" i="38"/>
  <c r="J129" i="38"/>
  <c r="J124" i="38"/>
  <c r="J97" i="38"/>
  <c r="J96" i="38"/>
  <c r="J92" i="38"/>
  <c r="G52" i="67"/>
  <c r="G63" i="67"/>
  <c r="D14" i="18"/>
  <c r="K117" i="67"/>
  <c r="K121" i="67" s="1"/>
  <c r="K123" i="67" s="1"/>
  <c r="K80" i="67"/>
  <c r="K50" i="18"/>
  <c r="J14" i="45"/>
  <c r="G92" i="61"/>
  <c r="G95" i="61"/>
  <c r="H416" i="62"/>
  <c r="H419" i="62"/>
  <c r="H413" i="62"/>
  <c r="G93" i="61"/>
  <c r="H455" i="62"/>
  <c r="C455" i="62" s="1"/>
  <c r="G20" i="67"/>
  <c r="G37" i="34"/>
  <c r="G22" i="34"/>
  <c r="H27" i="62"/>
  <c r="G38" i="34"/>
  <c r="G12" i="34"/>
  <c r="G23" i="34"/>
  <c r="G94" i="61"/>
  <c r="H401" i="62"/>
  <c r="H38" i="62" s="1"/>
  <c r="G39" i="34"/>
  <c r="G17" i="34"/>
  <c r="H95" i="61"/>
  <c r="H105" i="61" s="1"/>
  <c r="H37" i="34"/>
  <c r="H17" i="34"/>
  <c r="H39" i="34"/>
  <c r="H22" i="34"/>
  <c r="I117" i="67"/>
  <c r="I121" i="67" s="1"/>
  <c r="I123" i="67" s="1"/>
  <c r="I80" i="67"/>
  <c r="H14" i="45"/>
  <c r="I50" i="18"/>
  <c r="J117" i="67"/>
  <c r="J121" i="67" s="1"/>
  <c r="J123" i="67" s="1"/>
  <c r="J80" i="67"/>
  <c r="I14" i="45"/>
  <c r="J50" i="18"/>
  <c r="K63" i="34"/>
  <c r="H25" i="63"/>
  <c r="K64" i="34" s="1"/>
  <c r="H26" i="63"/>
  <c r="H38" i="63"/>
  <c r="G31" i="67"/>
  <c r="C31" i="67" s="1"/>
  <c r="G34" i="67"/>
  <c r="C34" i="67" s="1"/>
  <c r="C26" i="67"/>
  <c r="G27" i="67"/>
  <c r="C27" i="67" s="1"/>
  <c r="G40" i="67"/>
  <c r="C40" i="67" s="1"/>
  <c r="I63" i="34"/>
  <c r="F25" i="63"/>
  <c r="I64" i="34" s="1"/>
  <c r="F26" i="63"/>
  <c r="F38" i="63"/>
  <c r="J63" i="34"/>
  <c r="G25" i="63"/>
  <c r="J64" i="34" s="1"/>
  <c r="G38" i="63"/>
  <c r="G26" i="63"/>
  <c r="H410" i="62"/>
  <c r="H407" i="62"/>
  <c r="H39" i="62" s="1"/>
  <c r="H35" i="62"/>
  <c r="C35" i="62" s="1"/>
  <c r="H404" i="62"/>
  <c r="C396" i="62"/>
  <c r="C93" i="67"/>
  <c r="C48" i="18"/>
  <c r="G118" i="67"/>
  <c r="C118" i="67" s="1"/>
  <c r="D48" i="18"/>
  <c r="G81" i="67"/>
  <c r="F18" i="38"/>
  <c r="F34" i="38" s="1"/>
  <c r="C34" i="18"/>
  <c r="C52" i="67" s="1"/>
  <c r="H142" i="13"/>
  <c r="C142" i="13" s="1"/>
  <c r="H117" i="13"/>
  <c r="F13" i="45"/>
  <c r="F28" i="45" s="1"/>
  <c r="C34" i="38"/>
  <c r="G45" i="61"/>
  <c r="G35" i="18"/>
  <c r="G36" i="18" s="1"/>
  <c r="G143" i="13"/>
  <c r="G38" i="18" s="1"/>
  <c r="D10" i="63"/>
  <c r="C119" i="13"/>
  <c r="G120" i="13"/>
  <c r="C120" i="13" s="1"/>
  <c r="C42" i="38"/>
  <c r="C179" i="61"/>
  <c r="B28" i="63"/>
  <c r="D34" i="63"/>
  <c r="D35" i="63" s="1"/>
  <c r="D29" i="63"/>
  <c r="I17" i="38"/>
  <c r="G42" i="67"/>
  <c r="G79" i="67"/>
  <c r="G37" i="18"/>
  <c r="G83" i="67"/>
  <c r="G144" i="13"/>
  <c r="G145" i="13" s="1"/>
  <c r="G72" i="67"/>
  <c r="G76" i="67"/>
  <c r="G82" i="67"/>
  <c r="G59" i="67"/>
  <c r="G58" i="67"/>
  <c r="G60" i="67"/>
  <c r="G56" i="67"/>
  <c r="G54" i="67"/>
  <c r="G55" i="67"/>
  <c r="G109" i="67"/>
  <c r="H92" i="67"/>
  <c r="H109" i="67" s="1"/>
  <c r="H34" i="18"/>
  <c r="H52" i="67" l="1"/>
  <c r="H62" i="67"/>
  <c r="K56" i="18"/>
  <c r="I62" i="74"/>
  <c r="J56" i="18"/>
  <c r="H62" i="74"/>
  <c r="I56" i="18"/>
  <c r="G62" i="74"/>
  <c r="F283" i="74"/>
  <c r="T65" i="74"/>
  <c r="T75" i="74"/>
  <c r="T66" i="74"/>
  <c r="T82" i="74"/>
  <c r="T79" i="74"/>
  <c r="T76" i="74"/>
  <c r="T53" i="74"/>
  <c r="T83" i="74"/>
  <c r="T77" i="74"/>
  <c r="T57" i="74"/>
  <c r="F58" i="74"/>
  <c r="T56" i="74"/>
  <c r="T81" i="74"/>
  <c r="T67" i="74"/>
  <c r="T80" i="74"/>
  <c r="T55" i="74"/>
  <c r="T52" i="74"/>
  <c r="H102" i="38"/>
  <c r="K102" i="38"/>
  <c r="M42" i="38"/>
  <c r="M116" i="38" s="1"/>
  <c r="L42" i="38"/>
  <c r="N42" i="38"/>
  <c r="N116" i="38" s="1"/>
  <c r="K42" i="38"/>
  <c r="K116" i="38" s="1"/>
  <c r="J42" i="38"/>
  <c r="J116" i="38" s="1"/>
  <c r="Q42" i="38"/>
  <c r="Q116" i="38" s="1"/>
  <c r="I42" i="38"/>
  <c r="P42" i="38"/>
  <c r="P116" i="38" s="1"/>
  <c r="H42" i="38"/>
  <c r="O42" i="38"/>
  <c r="J102" i="38"/>
  <c r="G42" i="34"/>
  <c r="G47" i="18" s="1"/>
  <c r="L17" i="34"/>
  <c r="L42" i="34" s="1"/>
  <c r="M102" i="38"/>
  <c r="G27" i="63"/>
  <c r="J66" i="34" s="1"/>
  <c r="J65" i="34"/>
  <c r="J46" i="62"/>
  <c r="F39" i="63"/>
  <c r="I89" i="46"/>
  <c r="I51" i="61"/>
  <c r="I67" i="34"/>
  <c r="K65" i="34"/>
  <c r="H27" i="63"/>
  <c r="K66" i="34" s="1"/>
  <c r="J124" i="67"/>
  <c r="J125" i="67"/>
  <c r="I124" i="67"/>
  <c r="I125" i="67"/>
  <c r="C48" i="38"/>
  <c r="D24" i="63"/>
  <c r="D26" i="63" s="1"/>
  <c r="H421" i="62"/>
  <c r="K51" i="18"/>
  <c r="K43" i="67"/>
  <c r="K44" i="67" s="1"/>
  <c r="K84" i="67"/>
  <c r="K53" i="18"/>
  <c r="K124" i="67"/>
  <c r="K125" i="67"/>
  <c r="F39" i="45"/>
  <c r="G39" i="63"/>
  <c r="J67" i="34"/>
  <c r="J89" i="46"/>
  <c r="J51" i="61"/>
  <c r="K46" i="62"/>
  <c r="F27" i="63"/>
  <c r="I66" i="34" s="1"/>
  <c r="I65" i="34"/>
  <c r="K89" i="46"/>
  <c r="H39" i="63"/>
  <c r="K51" i="61"/>
  <c r="L46" i="62"/>
  <c r="K67" i="34"/>
  <c r="J51" i="18"/>
  <c r="J84" i="67"/>
  <c r="J53" i="18"/>
  <c r="J43" i="67"/>
  <c r="J44" i="67" s="1"/>
  <c r="I51" i="18"/>
  <c r="I43" i="67"/>
  <c r="I44" i="67" s="1"/>
  <c r="I53" i="18"/>
  <c r="I84" i="67"/>
  <c r="H42" i="34"/>
  <c r="G105" i="61"/>
  <c r="I141" i="38"/>
  <c r="M141" i="38"/>
  <c r="H141" i="38"/>
  <c r="L141" i="38"/>
  <c r="K141" i="38"/>
  <c r="Q141" i="38"/>
  <c r="G141" i="38"/>
  <c r="O141" i="38"/>
  <c r="F141" i="38"/>
  <c r="N141" i="38"/>
  <c r="J141" i="38"/>
  <c r="P141" i="38"/>
  <c r="C20" i="67"/>
  <c r="G10" i="18"/>
  <c r="C10" i="18" s="1"/>
  <c r="G21" i="67"/>
  <c r="C53" i="67"/>
  <c r="C109" i="67"/>
  <c r="L17" i="38"/>
  <c r="I18" i="38"/>
  <c r="I34" i="38" s="1"/>
  <c r="G39" i="18"/>
  <c r="G46" i="61"/>
  <c r="F35" i="38"/>
  <c r="F91" i="38"/>
  <c r="F95" i="38"/>
  <c r="F92" i="38"/>
  <c r="F96" i="38"/>
  <c r="F97" i="38"/>
  <c r="F114" i="38"/>
  <c r="F116" i="38"/>
  <c r="F115" i="38"/>
  <c r="F117" i="38"/>
  <c r="F124" i="38"/>
  <c r="F126" i="38"/>
  <c r="F99" i="38"/>
  <c r="F110" i="38"/>
  <c r="F129" i="38"/>
  <c r="F120" i="38"/>
  <c r="F119" i="38"/>
  <c r="F121" i="38"/>
  <c r="F123" i="38"/>
  <c r="F89" i="38"/>
  <c r="F90" i="38"/>
  <c r="F98" i="38"/>
  <c r="F108" i="38"/>
  <c r="F109" i="38"/>
  <c r="F127" i="38"/>
  <c r="F101" i="38"/>
  <c r="F112" i="38"/>
  <c r="F93" i="38"/>
  <c r="F94" i="38"/>
  <c r="F118" i="38"/>
  <c r="F122" i="38"/>
  <c r="F100" i="38"/>
  <c r="F88" i="38"/>
  <c r="F128" i="38"/>
  <c r="F111" i="38"/>
  <c r="F125" i="38"/>
  <c r="F86" i="38"/>
  <c r="H42" i="67"/>
  <c r="C42" i="67" s="1"/>
  <c r="H60" i="67"/>
  <c r="H75" i="67"/>
  <c r="H83" i="67"/>
  <c r="H72" i="67"/>
  <c r="H55" i="67"/>
  <c r="H76" i="67"/>
  <c r="H59" i="67"/>
  <c r="H144" i="13"/>
  <c r="H145" i="13" s="1"/>
  <c r="H56" i="67"/>
  <c r="H37" i="18"/>
  <c r="H58" i="67"/>
  <c r="H54" i="67"/>
  <c r="H82" i="67"/>
  <c r="H79" i="67"/>
  <c r="H61" i="67"/>
  <c r="H81" i="67"/>
  <c r="H194" i="61"/>
  <c r="H196" i="61" s="1"/>
  <c r="H106" i="61"/>
  <c r="C92" i="67"/>
  <c r="D34" i="18"/>
  <c r="E48" i="18" s="1"/>
  <c r="B34" i="63"/>
  <c r="B35" i="63" s="1"/>
  <c r="B29" i="63"/>
  <c r="H34" i="62"/>
  <c r="D11" i="63"/>
  <c r="G61" i="34"/>
  <c r="G83" i="46"/>
  <c r="D22" i="63"/>
  <c r="D36" i="63"/>
  <c r="D37" i="63" s="1"/>
  <c r="E10" i="63"/>
  <c r="H143" i="13"/>
  <c r="H38" i="18" s="1"/>
  <c r="H35" i="18"/>
  <c r="H36" i="18" s="1"/>
  <c r="G13" i="45"/>
  <c r="H45" i="61"/>
  <c r="H46" i="61" s="1"/>
  <c r="C62" i="67"/>
  <c r="C79" i="67"/>
  <c r="C66" i="67"/>
  <c r="C67" i="67"/>
  <c r="C76" i="67"/>
  <c r="C57" i="67"/>
  <c r="C65" i="67"/>
  <c r="C72" i="67"/>
  <c r="C68" i="67"/>
  <c r="C82" i="67"/>
  <c r="C63" i="67"/>
  <c r="C83" i="67"/>
  <c r="C70" i="67"/>
  <c r="C71" i="67"/>
  <c r="C64" i="67"/>
  <c r="C54" i="67"/>
  <c r="C59" i="67"/>
  <c r="C56" i="67"/>
  <c r="C58" i="67"/>
  <c r="C69" i="67"/>
  <c r="C60" i="67"/>
  <c r="C61" i="67"/>
  <c r="C55" i="67"/>
  <c r="F87" i="38"/>
  <c r="C81" i="67"/>
  <c r="I68" i="74" l="1"/>
  <c r="W62" i="74"/>
  <c r="I61" i="74"/>
  <c r="V62" i="74"/>
  <c r="H68" i="74"/>
  <c r="H288" i="74"/>
  <c r="G288" i="74"/>
  <c r="G68" i="74"/>
  <c r="H61" i="74"/>
  <c r="U62" i="74"/>
  <c r="I24" i="63"/>
  <c r="L47" i="18"/>
  <c r="O48" i="38"/>
  <c r="H48" i="38"/>
  <c r="P48" i="38"/>
  <c r="I48" i="38"/>
  <c r="Q48" i="38"/>
  <c r="N48" i="38"/>
  <c r="J48" i="38"/>
  <c r="G48" i="38"/>
  <c r="K48" i="38"/>
  <c r="L48" i="38"/>
  <c r="M48" i="38"/>
  <c r="E42" i="38"/>
  <c r="D42" i="38" s="1"/>
  <c r="H116" i="38"/>
  <c r="G47" i="67"/>
  <c r="C47" i="67" s="1"/>
  <c r="C21" i="67"/>
  <c r="E24" i="63"/>
  <c r="E26" i="63" s="1"/>
  <c r="H47" i="18"/>
  <c r="I14" i="67"/>
  <c r="I15" i="67" s="1"/>
  <c r="I77" i="18"/>
  <c r="I54" i="18"/>
  <c r="I86" i="67" s="1"/>
  <c r="I62" i="18"/>
  <c r="I85" i="67"/>
  <c r="I79" i="18"/>
  <c r="J62" i="18"/>
  <c r="J14" i="67"/>
  <c r="J15" i="67" s="1"/>
  <c r="J79" i="18"/>
  <c r="J85" i="67"/>
  <c r="J77" i="18"/>
  <c r="J54" i="18"/>
  <c r="J86" i="67" s="1"/>
  <c r="L47" i="62"/>
  <c r="K90" i="46"/>
  <c r="K68" i="34"/>
  <c r="K52" i="61"/>
  <c r="J52" i="61"/>
  <c r="J68" i="34"/>
  <c r="K47" i="62"/>
  <c r="J90" i="46"/>
  <c r="G117" i="67"/>
  <c r="G80" i="67"/>
  <c r="C42" i="34"/>
  <c r="I90" i="46"/>
  <c r="J47" i="62"/>
  <c r="I52" i="61"/>
  <c r="I68" i="34"/>
  <c r="D13" i="45"/>
  <c r="G28" i="45"/>
  <c r="G106" i="61"/>
  <c r="C40" i="38"/>
  <c r="G194" i="61"/>
  <c r="C49" i="38"/>
  <c r="G45" i="18"/>
  <c r="E63" i="74" s="1"/>
  <c r="S63" i="74" s="1"/>
  <c r="K62" i="18"/>
  <c r="K85" i="67"/>
  <c r="K54" i="18"/>
  <c r="K86" i="67" s="1"/>
  <c r="K14" i="67"/>
  <c r="K15" i="67" s="1"/>
  <c r="K77" i="18"/>
  <c r="K79" i="18"/>
  <c r="H422" i="62"/>
  <c r="H40" i="62"/>
  <c r="H37" i="62"/>
  <c r="C37" i="62" s="1"/>
  <c r="H457" i="62"/>
  <c r="G63" i="34"/>
  <c r="D25" i="63"/>
  <c r="G64" i="34" s="1"/>
  <c r="H39" i="18"/>
  <c r="C45" i="61"/>
  <c r="H198" i="61"/>
  <c r="H44" i="18" s="1"/>
  <c r="E16" i="63"/>
  <c r="E18" i="63" s="1"/>
  <c r="D27" i="63"/>
  <c r="G66" i="34" s="1"/>
  <c r="G65" i="34"/>
  <c r="E34" i="18"/>
  <c r="E26" i="18"/>
  <c r="E29" i="18"/>
  <c r="E33" i="18"/>
  <c r="E28" i="18"/>
  <c r="E25" i="18"/>
  <c r="E30" i="18"/>
  <c r="E49" i="18"/>
  <c r="E27" i="18"/>
  <c r="E43" i="18"/>
  <c r="E24" i="18"/>
  <c r="E32" i="18"/>
  <c r="E46" i="18"/>
  <c r="E19" i="18"/>
  <c r="E18" i="18"/>
  <c r="E31" i="18"/>
  <c r="E20" i="18"/>
  <c r="E22" i="18"/>
  <c r="E16" i="18"/>
  <c r="E21" i="18"/>
  <c r="E23" i="18"/>
  <c r="E17" i="18"/>
  <c r="E15" i="18"/>
  <c r="E14" i="18"/>
  <c r="G35" i="38"/>
  <c r="I91" i="38"/>
  <c r="I95" i="38"/>
  <c r="I98" i="38"/>
  <c r="I111" i="38"/>
  <c r="I117" i="38"/>
  <c r="I112" i="38"/>
  <c r="I114" i="38"/>
  <c r="I129" i="38"/>
  <c r="I127" i="38"/>
  <c r="I88" i="38"/>
  <c r="I92" i="38"/>
  <c r="I101" i="38"/>
  <c r="I115" i="38"/>
  <c r="I121" i="38"/>
  <c r="I116" i="38"/>
  <c r="I118" i="38"/>
  <c r="I100" i="38"/>
  <c r="I89" i="38"/>
  <c r="I96" i="38"/>
  <c r="I109" i="38"/>
  <c r="I120" i="38"/>
  <c r="I125" i="38"/>
  <c r="I90" i="38"/>
  <c r="I97" i="38"/>
  <c r="I128" i="38"/>
  <c r="I93" i="38"/>
  <c r="I99" i="38"/>
  <c r="I122" i="38"/>
  <c r="I124" i="38"/>
  <c r="I94" i="38"/>
  <c r="I110" i="38"/>
  <c r="I126" i="38"/>
  <c r="I123" i="38"/>
  <c r="L18" i="38"/>
  <c r="L34" i="38" s="1"/>
  <c r="O17" i="38"/>
  <c r="E22" i="63"/>
  <c r="E36" i="63"/>
  <c r="E37" i="63" s="1"/>
  <c r="I34" i="62"/>
  <c r="C34" i="62" s="1"/>
  <c r="H83" i="46"/>
  <c r="E14" i="63"/>
  <c r="E11" i="63"/>
  <c r="H61" i="34"/>
  <c r="D23" i="63"/>
  <c r="G88" i="46" s="1"/>
  <c r="G87" i="46"/>
  <c r="G84" i="46"/>
  <c r="G62" i="34"/>
  <c r="B10" i="63"/>
  <c r="F102" i="38"/>
  <c r="I87" i="38"/>
  <c r="I86" i="38"/>
  <c r="D47" i="18" l="1"/>
  <c r="E47" i="18" s="1"/>
  <c r="I220" i="74"/>
  <c r="I224" i="74" s="1"/>
  <c r="I225" i="74" s="1"/>
  <c r="I70" i="74"/>
  <c r="I69" i="74"/>
  <c r="I206" i="74"/>
  <c r="I209" i="74" s="1"/>
  <c r="I210" i="74" s="1"/>
  <c r="I84" i="74"/>
  <c r="W68" i="74"/>
  <c r="V68" i="74"/>
  <c r="H206" i="74"/>
  <c r="H209" i="74" s="1"/>
  <c r="H210" i="74" s="1"/>
  <c r="H220" i="74"/>
  <c r="H224" i="74" s="1"/>
  <c r="H225" i="74" s="1"/>
  <c r="H69" i="74"/>
  <c r="H84" i="74"/>
  <c r="H70" i="74"/>
  <c r="E38" i="63"/>
  <c r="E39" i="63" s="1"/>
  <c r="G84" i="74"/>
  <c r="G70" i="74"/>
  <c r="G69" i="74"/>
  <c r="U68" i="74"/>
  <c r="G220" i="74"/>
  <c r="G224" i="74" s="1"/>
  <c r="G225" i="74" s="1"/>
  <c r="G206" i="74"/>
  <c r="G209" i="74" s="1"/>
  <c r="G210" i="74" s="1"/>
  <c r="B24" i="63"/>
  <c r="D63" i="34" s="1"/>
  <c r="L86" i="38"/>
  <c r="M126" i="38"/>
  <c r="M128" i="38"/>
  <c r="P128" i="38"/>
  <c r="P126" i="38"/>
  <c r="H126" i="38"/>
  <c r="H128" i="38"/>
  <c r="K126" i="38"/>
  <c r="K128" i="38"/>
  <c r="E48" i="38"/>
  <c r="D48" i="38" s="1"/>
  <c r="G128" i="38"/>
  <c r="G126" i="38"/>
  <c r="J128" i="38"/>
  <c r="J126" i="38"/>
  <c r="L117" i="67"/>
  <c r="L121" i="67" s="1"/>
  <c r="L123" i="67" s="1"/>
  <c r="L80" i="67"/>
  <c r="K14" i="45"/>
  <c r="L50" i="18"/>
  <c r="J62" i="74" s="1"/>
  <c r="N128" i="38"/>
  <c r="N126" i="38"/>
  <c r="L63" i="34"/>
  <c r="I25" i="63"/>
  <c r="L64" i="34" s="1"/>
  <c r="I38" i="63"/>
  <c r="I26" i="63"/>
  <c r="Q126" i="38"/>
  <c r="Q128" i="38"/>
  <c r="H40" i="38"/>
  <c r="H44" i="38" s="1"/>
  <c r="J40" i="38"/>
  <c r="J44" i="38" s="1"/>
  <c r="L40" i="38"/>
  <c r="L44" i="38" s="1"/>
  <c r="N40" i="38"/>
  <c r="N44" i="38" s="1"/>
  <c r="P40" i="38"/>
  <c r="P44" i="38" s="1"/>
  <c r="F40" i="38"/>
  <c r="G40" i="38"/>
  <c r="G44" i="38" s="1"/>
  <c r="I40" i="38"/>
  <c r="K40" i="38"/>
  <c r="K44" i="38" s="1"/>
  <c r="M40" i="38"/>
  <c r="M44" i="38" s="1"/>
  <c r="O40" i="38"/>
  <c r="Q40" i="38"/>
  <c r="Q44" i="38" s="1"/>
  <c r="C47" i="18"/>
  <c r="C80" i="67" s="1"/>
  <c r="C44" i="38"/>
  <c r="G196" i="61"/>
  <c r="H117" i="67"/>
  <c r="H80" i="67"/>
  <c r="C39" i="38"/>
  <c r="H42" i="62"/>
  <c r="G42" i="18"/>
  <c r="C457" i="62"/>
  <c r="G115" i="67"/>
  <c r="G78" i="67"/>
  <c r="G39" i="45"/>
  <c r="D28" i="45"/>
  <c r="H63" i="34"/>
  <c r="E25" i="63"/>
  <c r="H64" i="34" s="1"/>
  <c r="B11" i="63"/>
  <c r="B22" i="63"/>
  <c r="D61" i="34"/>
  <c r="E83" i="46"/>
  <c r="B36" i="63"/>
  <c r="B37" i="63" s="1"/>
  <c r="E27" i="63"/>
  <c r="H66" i="34" s="1"/>
  <c r="H65" i="34"/>
  <c r="E15" i="63"/>
  <c r="I45" i="62" s="1"/>
  <c r="I44" i="62"/>
  <c r="H87" i="46"/>
  <c r="E23" i="63"/>
  <c r="H88" i="46" s="1"/>
  <c r="O18" i="38"/>
  <c r="O34" i="38" s="1"/>
  <c r="H114" i="67"/>
  <c r="H77" i="67"/>
  <c r="G14" i="45"/>
  <c r="I102" i="38"/>
  <c r="H84" i="46"/>
  <c r="H62" i="34"/>
  <c r="E19" i="63"/>
  <c r="H50" i="61" s="1"/>
  <c r="H49" i="61"/>
  <c r="E17" i="38"/>
  <c r="L94" i="38"/>
  <c r="L89" i="38"/>
  <c r="L110" i="38"/>
  <c r="L128" i="38"/>
  <c r="L109" i="38"/>
  <c r="L115" i="38"/>
  <c r="L126" i="38"/>
  <c r="L125" i="38"/>
  <c r="L91" i="38"/>
  <c r="L90" i="38"/>
  <c r="L93" i="38"/>
  <c r="L117" i="38"/>
  <c r="L122" i="38"/>
  <c r="L116" i="38"/>
  <c r="L111" i="38"/>
  <c r="L88" i="38"/>
  <c r="L124" i="38"/>
  <c r="L92" i="38"/>
  <c r="L96" i="38"/>
  <c r="L118" i="38"/>
  <c r="L121" i="38"/>
  <c r="L123" i="38"/>
  <c r="L99" i="38"/>
  <c r="L120" i="38"/>
  <c r="L129" i="38"/>
  <c r="L98" i="38"/>
  <c r="L95" i="38"/>
  <c r="L112" i="38"/>
  <c r="L100" i="38"/>
  <c r="L97" i="38"/>
  <c r="L101" i="38"/>
  <c r="L114" i="38"/>
  <c r="L127" i="38"/>
  <c r="L87" i="38"/>
  <c r="H35" i="38"/>
  <c r="E17" i="63"/>
  <c r="H48" i="61" s="1"/>
  <c r="H47" i="61"/>
  <c r="I46" i="62" l="1"/>
  <c r="H89" i="46"/>
  <c r="H67" i="34"/>
  <c r="H51" i="61"/>
  <c r="C117" i="67"/>
  <c r="J68" i="74"/>
  <c r="X62" i="74"/>
  <c r="J61" i="74"/>
  <c r="W84" i="74"/>
  <c r="I86" i="74"/>
  <c r="V84" i="74"/>
  <c r="H86" i="74"/>
  <c r="B26" i="63"/>
  <c r="B27" i="63" s="1"/>
  <c r="D66" i="34" s="1"/>
  <c r="B25" i="63"/>
  <c r="D64" i="34" s="1"/>
  <c r="U84" i="74"/>
  <c r="G86" i="74"/>
  <c r="M39" i="38"/>
  <c r="N39" i="38"/>
  <c r="Q39" i="38"/>
  <c r="O39" i="38"/>
  <c r="H39" i="38"/>
  <c r="P39" i="38"/>
  <c r="I39" i="38"/>
  <c r="G39" i="38"/>
  <c r="J39" i="38"/>
  <c r="L39" i="38"/>
  <c r="K39" i="38"/>
  <c r="L56" i="18"/>
  <c r="L51" i="18"/>
  <c r="L84" i="67"/>
  <c r="L43" i="67"/>
  <c r="L44" i="67" s="1"/>
  <c r="L53" i="18"/>
  <c r="I27" i="63"/>
  <c r="L66" i="34" s="1"/>
  <c r="L65" i="34"/>
  <c r="E49" i="38"/>
  <c r="D49" i="38" s="1"/>
  <c r="L51" i="61"/>
  <c r="I39" i="63"/>
  <c r="M46" i="62"/>
  <c r="L89" i="46"/>
  <c r="L67" i="34"/>
  <c r="L125" i="67"/>
  <c r="L124" i="67"/>
  <c r="L113" i="38"/>
  <c r="I44" i="38"/>
  <c r="I113" i="38"/>
  <c r="F44" i="38"/>
  <c r="F51" i="38" s="1"/>
  <c r="F113" i="38"/>
  <c r="O44" i="38"/>
  <c r="O51" i="38" s="1"/>
  <c r="E18" i="38"/>
  <c r="H45" i="18"/>
  <c r="F63" i="74" s="1"/>
  <c r="T63" i="74" s="1"/>
  <c r="D39" i="45"/>
  <c r="D42" i="18"/>
  <c r="E42" i="18" s="1"/>
  <c r="C42" i="18"/>
  <c r="C75" i="67" s="1"/>
  <c r="G112" i="67"/>
  <c r="C112" i="67" s="1"/>
  <c r="G75" i="67"/>
  <c r="C51" i="38"/>
  <c r="C53" i="38" s="1"/>
  <c r="C196" i="61"/>
  <c r="D16" i="63"/>
  <c r="G198" i="61"/>
  <c r="D12" i="63"/>
  <c r="C42" i="62"/>
  <c r="L102" i="38"/>
  <c r="O94" i="38"/>
  <c r="O101" i="38"/>
  <c r="O90" i="38"/>
  <c r="O99" i="38"/>
  <c r="O121" i="38"/>
  <c r="O122" i="38"/>
  <c r="O109" i="38"/>
  <c r="O116" i="38"/>
  <c r="O124" i="38"/>
  <c r="O96" i="38"/>
  <c r="O88" i="38"/>
  <c r="O98" i="38"/>
  <c r="O113" i="38"/>
  <c r="O110" i="38"/>
  <c r="O111" i="38"/>
  <c r="O128" i="38"/>
  <c r="O120" i="38"/>
  <c r="O125" i="38"/>
  <c r="O91" i="38"/>
  <c r="O89" i="38"/>
  <c r="O114" i="38"/>
  <c r="O108" i="38"/>
  <c r="O126" i="38"/>
  <c r="O97" i="38"/>
  <c r="O117" i="38"/>
  <c r="O119" i="38"/>
  <c r="O123" i="38"/>
  <c r="O127" i="38"/>
  <c r="O129" i="38"/>
  <c r="O100" i="38"/>
  <c r="O93" i="38"/>
  <c r="O112" i="38"/>
  <c r="O92" i="38"/>
  <c r="O115" i="38"/>
  <c r="O95" i="38"/>
  <c r="O118" i="38"/>
  <c r="O86" i="38"/>
  <c r="E84" i="46"/>
  <c r="D62" i="34"/>
  <c r="I35" i="38"/>
  <c r="D18" i="38"/>
  <c r="E34" i="38"/>
  <c r="E87" i="38" s="1"/>
  <c r="D17" i="38"/>
  <c r="O87" i="38"/>
  <c r="H52" i="61"/>
  <c r="I47" i="62"/>
  <c r="H68" i="34"/>
  <c r="H90" i="46"/>
  <c r="B23" i="63"/>
  <c r="E88" i="46" s="1"/>
  <c r="E87" i="46"/>
  <c r="D65" i="34" l="1"/>
  <c r="J70" i="74"/>
  <c r="X68" i="74"/>
  <c r="J220" i="74"/>
  <c r="J224" i="74" s="1"/>
  <c r="J225" i="74" s="1"/>
  <c r="J206" i="74"/>
  <c r="J209" i="74" s="1"/>
  <c r="J210" i="74" s="1"/>
  <c r="J84" i="74"/>
  <c r="J69" i="74"/>
  <c r="I170" i="74"/>
  <c r="I92" i="74"/>
  <c r="H92" i="74"/>
  <c r="H170" i="74"/>
  <c r="G170" i="74"/>
  <c r="G92" i="74"/>
  <c r="U85" i="74"/>
  <c r="G364" i="74"/>
  <c r="G382" i="74"/>
  <c r="L85" i="67"/>
  <c r="L79" i="18"/>
  <c r="L62" i="18"/>
  <c r="L14" i="67"/>
  <c r="L15" i="67" s="1"/>
  <c r="L54" i="18"/>
  <c r="L86" i="67" s="1"/>
  <c r="L77" i="18"/>
  <c r="G140" i="38"/>
  <c r="G143" i="38"/>
  <c r="G108" i="38"/>
  <c r="E39" i="38"/>
  <c r="D39" i="38" s="1"/>
  <c r="I140" i="38"/>
  <c r="I143" i="38"/>
  <c r="I108" i="38"/>
  <c r="P140" i="38"/>
  <c r="P143" i="38"/>
  <c r="P108" i="38"/>
  <c r="M47" i="62"/>
  <c r="L68" i="34"/>
  <c r="L52" i="61"/>
  <c r="L90" i="46"/>
  <c r="H140" i="38"/>
  <c r="H143" i="38"/>
  <c r="H108" i="38"/>
  <c r="O140" i="38"/>
  <c r="O143" i="38"/>
  <c r="K140" i="38"/>
  <c r="K143" i="38"/>
  <c r="K108" i="38"/>
  <c r="Q140" i="38"/>
  <c r="Q143" i="38"/>
  <c r="Q108" i="38"/>
  <c r="L140" i="38"/>
  <c r="L143" i="38"/>
  <c r="L108" i="38"/>
  <c r="N140" i="38"/>
  <c r="N143" i="38"/>
  <c r="N108" i="38"/>
  <c r="J140" i="38"/>
  <c r="J143" i="38"/>
  <c r="J108" i="38"/>
  <c r="M140" i="38"/>
  <c r="M143" i="38"/>
  <c r="M108" i="38"/>
  <c r="O53" i="38"/>
  <c r="O52" i="38"/>
  <c r="O75" i="38" s="1"/>
  <c r="O134" i="38" s="1"/>
  <c r="E44" i="38"/>
  <c r="D44" i="38" s="1"/>
  <c r="F130" i="38"/>
  <c r="F57" i="38"/>
  <c r="F52" i="38"/>
  <c r="F75" i="38" s="1"/>
  <c r="F53" i="38"/>
  <c r="F54" i="38" s="1"/>
  <c r="G44" i="18"/>
  <c r="C198" i="61"/>
  <c r="B16" i="63"/>
  <c r="D17" i="63"/>
  <c r="G48" i="61" s="1"/>
  <c r="D18" i="63"/>
  <c r="G47" i="61"/>
  <c r="C47" i="61" s="1"/>
  <c r="H115" i="67"/>
  <c r="H78" i="67"/>
  <c r="C45" i="18"/>
  <c r="C78" i="67" s="1"/>
  <c r="D45" i="18"/>
  <c r="E45" i="18" s="1"/>
  <c r="H50" i="18"/>
  <c r="B12" i="63"/>
  <c r="D13" i="63"/>
  <c r="H43" i="62" s="1"/>
  <c r="C43" i="62" s="1"/>
  <c r="D14" i="63"/>
  <c r="D38" i="63"/>
  <c r="H103" i="38"/>
  <c r="O102" i="38"/>
  <c r="E86" i="38"/>
  <c r="E109" i="38"/>
  <c r="E94" i="38"/>
  <c r="E88" i="38"/>
  <c r="E101" i="38"/>
  <c r="E95" i="38"/>
  <c r="E98" i="38"/>
  <c r="E128" i="38"/>
  <c r="E115" i="38"/>
  <c r="E110" i="38"/>
  <c r="E126" i="38"/>
  <c r="E100" i="38"/>
  <c r="E120" i="38"/>
  <c r="E117" i="38"/>
  <c r="E121" i="38"/>
  <c r="E111" i="38"/>
  <c r="E96" i="38"/>
  <c r="E127" i="38"/>
  <c r="E97" i="38"/>
  <c r="E99" i="38"/>
  <c r="E92" i="38"/>
  <c r="E118" i="38"/>
  <c r="E124" i="38"/>
  <c r="E89" i="38"/>
  <c r="E122" i="38"/>
  <c r="E90" i="38"/>
  <c r="E108" i="38"/>
  <c r="E112" i="38"/>
  <c r="E93" i="38"/>
  <c r="E125" i="38"/>
  <c r="E91" i="38"/>
  <c r="E116" i="38"/>
  <c r="E123" i="38"/>
  <c r="E114" i="38"/>
  <c r="D34" i="38"/>
  <c r="F36" i="38"/>
  <c r="F103" i="38"/>
  <c r="G36" i="38"/>
  <c r="G103" i="38"/>
  <c r="H36" i="38"/>
  <c r="J35" i="38"/>
  <c r="I36" i="38"/>
  <c r="I103" i="38"/>
  <c r="X84" i="74" l="1"/>
  <c r="J86" i="74"/>
  <c r="I174" i="74"/>
  <c r="I322" i="74"/>
  <c r="I328" i="74" s="1"/>
  <c r="I336" i="74" s="1"/>
  <c r="I282" i="74"/>
  <c r="I284" i="74" s="1"/>
  <c r="I431" i="74" s="1"/>
  <c r="H322" i="74"/>
  <c r="H328" i="74" s="1"/>
  <c r="H336" i="74" s="1"/>
  <c r="H282" i="74"/>
  <c r="H174" i="74"/>
  <c r="H56" i="18"/>
  <c r="F62" i="74"/>
  <c r="G174" i="74"/>
  <c r="G322" i="74"/>
  <c r="G328" i="74" s="1"/>
  <c r="G336" i="74" s="1"/>
  <c r="G282" i="74"/>
  <c r="F79" i="38"/>
  <c r="F134" i="38"/>
  <c r="F138" i="38" s="1"/>
  <c r="G136" i="38" s="1"/>
  <c r="G51" i="61"/>
  <c r="G67" i="34"/>
  <c r="H46" i="62"/>
  <c r="C46" i="62" s="1"/>
  <c r="G89" i="46"/>
  <c r="D39" i="63"/>
  <c r="H44" i="62"/>
  <c r="C44" i="62" s="1"/>
  <c r="D15" i="63"/>
  <c r="H45" i="62" s="1"/>
  <c r="C45" i="62" s="1"/>
  <c r="B13" i="63"/>
  <c r="B14" i="63"/>
  <c r="B15" i="63" s="1"/>
  <c r="B38" i="63"/>
  <c r="H51" i="18"/>
  <c r="H53" i="18"/>
  <c r="H43" i="67"/>
  <c r="H44" i="67" s="1"/>
  <c r="H84" i="67"/>
  <c r="C115" i="67"/>
  <c r="H121" i="67"/>
  <c r="H123" i="67" s="1"/>
  <c r="G49" i="61"/>
  <c r="C49" i="61" s="1"/>
  <c r="D19" i="63"/>
  <c r="G50" i="61" s="1"/>
  <c r="B17" i="63"/>
  <c r="C48" i="61" s="1"/>
  <c r="B18" i="63"/>
  <c r="B19" i="63" s="1"/>
  <c r="C50" i="61" s="1"/>
  <c r="G114" i="67"/>
  <c r="C44" i="18"/>
  <c r="G77" i="67"/>
  <c r="F14" i="45"/>
  <c r="D14" i="45" s="1"/>
  <c r="G50" i="18"/>
  <c r="D44" i="18"/>
  <c r="E44" i="18" s="1"/>
  <c r="E102" i="38"/>
  <c r="E134" i="38" s="1"/>
  <c r="E138" i="38" s="1"/>
  <c r="K35" i="38"/>
  <c r="J103" i="38"/>
  <c r="J36" i="38"/>
  <c r="D35" i="38"/>
  <c r="G56" i="18" l="1"/>
  <c r="E62" i="74"/>
  <c r="J170" i="74"/>
  <c r="J92" i="74"/>
  <c r="H284" i="74"/>
  <c r="H431" i="74" s="1"/>
  <c r="G284" i="74"/>
  <c r="I287" i="74"/>
  <c r="I289" i="74" s="1"/>
  <c r="I432" i="74" s="1"/>
  <c r="I433" i="74" s="1"/>
  <c r="I290" i="74" s="1"/>
  <c r="F68" i="74"/>
  <c r="T62" i="74"/>
  <c r="G61" i="74"/>
  <c r="C56" i="18"/>
  <c r="G77" i="38"/>
  <c r="F131" i="38"/>
  <c r="C50" i="18"/>
  <c r="C77" i="67"/>
  <c r="H124" i="67"/>
  <c r="H125" i="67"/>
  <c r="H77" i="18"/>
  <c r="H54" i="18"/>
  <c r="H86" i="67" s="1"/>
  <c r="H14" i="67"/>
  <c r="H15" i="67" s="1"/>
  <c r="H62" i="18"/>
  <c r="H79" i="18"/>
  <c r="H85" i="67"/>
  <c r="C51" i="61"/>
  <c r="B39" i="63"/>
  <c r="E89" i="46"/>
  <c r="D67" i="34"/>
  <c r="G51" i="18"/>
  <c r="G43" i="67"/>
  <c r="G84" i="67"/>
  <c r="C52" i="38"/>
  <c r="D50" i="18"/>
  <c r="E50" i="18" s="1"/>
  <c r="G53" i="18"/>
  <c r="G121" i="67"/>
  <c r="C114" i="67"/>
  <c r="G90" i="46"/>
  <c r="H47" i="62"/>
  <c r="C47" i="62" s="1"/>
  <c r="G52" i="61"/>
  <c r="G68" i="34"/>
  <c r="K36" i="38"/>
  <c r="L35" i="38"/>
  <c r="K103" i="38"/>
  <c r="E68" i="74" l="1"/>
  <c r="S62" i="74"/>
  <c r="F61" i="74"/>
  <c r="J322" i="74"/>
  <c r="J328" i="74" s="1"/>
  <c r="J336" i="74" s="1"/>
  <c r="J282" i="74"/>
  <c r="J174" i="74"/>
  <c r="F84" i="74"/>
  <c r="F70" i="74"/>
  <c r="T68" i="74"/>
  <c r="F220" i="74"/>
  <c r="F224" i="74" s="1"/>
  <c r="F225" i="74" s="1"/>
  <c r="F69" i="74"/>
  <c r="F206" i="74"/>
  <c r="G431" i="74"/>
  <c r="G55" i="18"/>
  <c r="G77" i="18"/>
  <c r="G79" i="18"/>
  <c r="G80" i="18" s="1"/>
  <c r="H80" i="18" s="1"/>
  <c r="I80" i="18" s="1"/>
  <c r="J80" i="18" s="1"/>
  <c r="K80" i="18" s="1"/>
  <c r="L80" i="18" s="1"/>
  <c r="G85" i="67"/>
  <c r="G54" i="18"/>
  <c r="G86" i="67" s="1"/>
  <c r="G14" i="67"/>
  <c r="G15" i="67" s="1"/>
  <c r="G16" i="67"/>
  <c r="G62" i="18"/>
  <c r="D53" i="18"/>
  <c r="E53" i="18" s="1"/>
  <c r="G44" i="67"/>
  <c r="C44" i="67" s="1"/>
  <c r="C43" i="67"/>
  <c r="D68" i="34"/>
  <c r="C52" i="61"/>
  <c r="E90" i="46"/>
  <c r="G123" i="67"/>
  <c r="C121" i="67"/>
  <c r="C123" i="67" s="1"/>
  <c r="C84" i="67"/>
  <c r="C53" i="18"/>
  <c r="C85" i="67" s="1"/>
  <c r="L36" i="38"/>
  <c r="M35" i="38"/>
  <c r="L103" i="38"/>
  <c r="H55" i="18" l="1"/>
  <c r="E115" i="74"/>
  <c r="E84" i="74"/>
  <c r="E69" i="74"/>
  <c r="S69" i="74" s="1"/>
  <c r="E206" i="74"/>
  <c r="E209" i="74" s="1"/>
  <c r="E210" i="74" s="1"/>
  <c r="S68" i="74"/>
  <c r="E70" i="74"/>
  <c r="E220" i="74"/>
  <c r="E224" i="74" s="1"/>
  <c r="E225" i="74" s="1"/>
  <c r="J284" i="74"/>
  <c r="J431" i="74" s="1"/>
  <c r="J287" i="74"/>
  <c r="J289" i="74" s="1"/>
  <c r="J432" i="74" s="1"/>
  <c r="F209" i="74"/>
  <c r="F210" i="74" s="1"/>
  <c r="I55" i="18"/>
  <c r="F115" i="74"/>
  <c r="T84" i="74"/>
  <c r="F86" i="74"/>
  <c r="G125" i="67"/>
  <c r="G124" i="67"/>
  <c r="G66" i="18"/>
  <c r="G67" i="18" s="1"/>
  <c r="G64" i="18"/>
  <c r="G17" i="67"/>
  <c r="H16" i="67"/>
  <c r="G88" i="67"/>
  <c r="M36" i="38"/>
  <c r="N35" i="38"/>
  <c r="M103" i="38"/>
  <c r="J433" i="74" l="1"/>
  <c r="J290" i="74" s="1"/>
  <c r="S84" i="74"/>
  <c r="E86" i="74"/>
  <c r="E119" i="74"/>
  <c r="E312" i="74" s="1"/>
  <c r="E219" i="74"/>
  <c r="E226" i="74" s="1"/>
  <c r="E121" i="74"/>
  <c r="E205" i="74"/>
  <c r="E211" i="74" s="1"/>
  <c r="F121" i="74"/>
  <c r="F205" i="74"/>
  <c r="F211" i="74" s="1"/>
  <c r="F119" i="74"/>
  <c r="F219" i="74"/>
  <c r="F226" i="74" s="1"/>
  <c r="F114" i="74"/>
  <c r="T85" i="74"/>
  <c r="F382" i="74"/>
  <c r="F364" i="74"/>
  <c r="F170" i="74"/>
  <c r="F92" i="74"/>
  <c r="J55" i="18"/>
  <c r="G115" i="74"/>
  <c r="G68" i="18"/>
  <c r="G71" i="18" s="1"/>
  <c r="G72" i="18" s="1"/>
  <c r="I16" i="67"/>
  <c r="H88" i="67"/>
  <c r="H17" i="67"/>
  <c r="H66" i="18"/>
  <c r="H67" i="18" s="1"/>
  <c r="O35" i="38"/>
  <c r="N36" i="38"/>
  <c r="N103" i="38"/>
  <c r="E358" i="74" l="1"/>
  <c r="E366" i="74"/>
  <c r="E362" i="74"/>
  <c r="E369" i="74"/>
  <c r="E387" i="74"/>
  <c r="E385" i="74"/>
  <c r="E367" i="74"/>
  <c r="E361" i="74"/>
  <c r="E360" i="74"/>
  <c r="E212" i="74"/>
  <c r="E384" i="74"/>
  <c r="E376" i="74"/>
  <c r="E380" i="74"/>
  <c r="E227" i="74"/>
  <c r="E378" i="74"/>
  <c r="E128" i="74"/>
  <c r="E382" i="74"/>
  <c r="E364" i="74"/>
  <c r="E170" i="74"/>
  <c r="E171" i="74" s="1"/>
  <c r="E92" i="74"/>
  <c r="S85" i="74"/>
  <c r="F360" i="74"/>
  <c r="F359" i="74"/>
  <c r="F384" i="74"/>
  <c r="F361" i="74"/>
  <c r="F212" i="74"/>
  <c r="F358" i="74"/>
  <c r="F366" i="74"/>
  <c r="F387" i="74"/>
  <c r="F369" i="74"/>
  <c r="F385" i="74"/>
  <c r="F367" i="74"/>
  <c r="F362" i="74"/>
  <c r="F376" i="74"/>
  <c r="F379" i="74"/>
  <c r="F378" i="74"/>
  <c r="F227" i="74"/>
  <c r="F377" i="74"/>
  <c r="F380" i="74"/>
  <c r="F322" i="74"/>
  <c r="F328" i="74" s="1"/>
  <c r="F336" i="74" s="1"/>
  <c r="F174" i="74"/>
  <c r="F282" i="74"/>
  <c r="F312" i="74"/>
  <c r="F314" i="74" s="1"/>
  <c r="G205" i="74"/>
  <c r="G211" i="74" s="1"/>
  <c r="G119" i="74"/>
  <c r="G219" i="74"/>
  <c r="G226" i="74" s="1"/>
  <c r="G114" i="74"/>
  <c r="G121" i="74"/>
  <c r="K55" i="18"/>
  <c r="H115" i="74"/>
  <c r="F128" i="74"/>
  <c r="G69" i="18"/>
  <c r="H61" i="18" s="1"/>
  <c r="I17" i="67"/>
  <c r="J16" i="67"/>
  <c r="I88" i="67"/>
  <c r="P35" i="38"/>
  <c r="O36" i="38"/>
  <c r="O103" i="38"/>
  <c r="E370" i="74" l="1"/>
  <c r="F363" i="74"/>
  <c r="F213" i="74" s="1"/>
  <c r="E129" i="74"/>
  <c r="E134" i="74"/>
  <c r="S128" i="74" s="1"/>
  <c r="E174" i="74"/>
  <c r="E175" i="74" s="1"/>
  <c r="E282" i="74"/>
  <c r="E284" i="74" s="1"/>
  <c r="E431" i="74" s="1"/>
  <c r="E433" i="74" s="1"/>
  <c r="E290" i="74" s="1"/>
  <c r="E322" i="74"/>
  <c r="E328" i="74" s="1"/>
  <c r="E336" i="74" s="1"/>
  <c r="E388" i="74"/>
  <c r="E177" i="74"/>
  <c r="F169" i="74"/>
  <c r="F171" i="74" s="1"/>
  <c r="F381" i="74"/>
  <c r="F228" i="74" s="1"/>
  <c r="H205" i="74"/>
  <c r="H211" i="74" s="1"/>
  <c r="H361" i="74" s="1"/>
  <c r="H119" i="74"/>
  <c r="H219" i="74"/>
  <c r="H226" i="74" s="1"/>
  <c r="H379" i="74" s="1"/>
  <c r="H114" i="74"/>
  <c r="H121" i="74"/>
  <c r="H128" i="74" s="1"/>
  <c r="L55" i="18"/>
  <c r="J115" i="74" s="1"/>
  <c r="I115" i="74"/>
  <c r="G385" i="74"/>
  <c r="G360" i="74"/>
  <c r="G367" i="74"/>
  <c r="G369" i="74"/>
  <c r="G384" i="74"/>
  <c r="G361" i="74"/>
  <c r="G212" i="74"/>
  <c r="G358" i="74"/>
  <c r="G366" i="74"/>
  <c r="G362" i="74"/>
  <c r="G387" i="74"/>
  <c r="G359" i="74"/>
  <c r="G227" i="74"/>
  <c r="G380" i="74"/>
  <c r="G378" i="74"/>
  <c r="G376" i="74"/>
  <c r="F316" i="74"/>
  <c r="F315" i="74"/>
  <c r="G379" i="74"/>
  <c r="F370" i="74"/>
  <c r="F129" i="74"/>
  <c r="F125" i="74"/>
  <c r="F134" i="74"/>
  <c r="T128" i="74" s="1"/>
  <c r="G312" i="74"/>
  <c r="F284" i="74"/>
  <c r="F431" i="74" s="1"/>
  <c r="F433" i="74" s="1"/>
  <c r="F290" i="74" s="1"/>
  <c r="H287" i="74"/>
  <c r="H289" i="74" s="1"/>
  <c r="H432" i="74" s="1"/>
  <c r="H433" i="74" s="1"/>
  <c r="H290" i="74" s="1"/>
  <c r="G377" i="74"/>
  <c r="G128" i="74"/>
  <c r="F388" i="74"/>
  <c r="H63" i="18"/>
  <c r="H68" i="18" s="1"/>
  <c r="H71" i="18" s="1"/>
  <c r="H72" i="18" s="1"/>
  <c r="J88" i="67"/>
  <c r="J17" i="67"/>
  <c r="K16" i="67"/>
  <c r="Q35" i="38"/>
  <c r="P36" i="38"/>
  <c r="P103" i="38"/>
  <c r="G287" i="74" l="1"/>
  <c r="G289" i="74" s="1"/>
  <c r="G432" i="74" s="1"/>
  <c r="G433" i="74" s="1"/>
  <c r="G290" i="74" s="1"/>
  <c r="H377" i="74"/>
  <c r="E179" i="74"/>
  <c r="E180" i="74" s="1"/>
  <c r="F173" i="74"/>
  <c r="F175" i="74" s="1"/>
  <c r="S119" i="74"/>
  <c r="S146" i="74"/>
  <c r="S145" i="74"/>
  <c r="E140" i="74"/>
  <c r="S155" i="74"/>
  <c r="S149" i="74"/>
  <c r="S118" i="74"/>
  <c r="S126" i="74"/>
  <c r="S157" i="74"/>
  <c r="S123" i="74"/>
  <c r="S147" i="74"/>
  <c r="S134" i="74"/>
  <c r="S117" i="74"/>
  <c r="S132" i="74"/>
  <c r="E304" i="74"/>
  <c r="E305" i="74" s="1"/>
  <c r="E306" i="74" s="1"/>
  <c r="S133" i="74"/>
  <c r="S163" i="74"/>
  <c r="S116" i="74"/>
  <c r="S156" i="74"/>
  <c r="E298" i="74"/>
  <c r="E299" i="74" s="1"/>
  <c r="E300" i="74" s="1"/>
  <c r="S148" i="74"/>
  <c r="S127" i="74"/>
  <c r="S154" i="74"/>
  <c r="E160" i="74"/>
  <c r="S158" i="74"/>
  <c r="S159" i="74"/>
  <c r="S115" i="74"/>
  <c r="S121" i="74"/>
  <c r="H359" i="74"/>
  <c r="G169" i="74"/>
  <c r="G171" i="74" s="1"/>
  <c r="F177" i="74"/>
  <c r="E195" i="74"/>
  <c r="E197" i="74" s="1"/>
  <c r="S129" i="74"/>
  <c r="G129" i="74"/>
  <c r="G125" i="74"/>
  <c r="G134" i="74"/>
  <c r="T149" i="74"/>
  <c r="F304" i="74"/>
  <c r="F305" i="74" s="1"/>
  <c r="F306" i="74" s="1"/>
  <c r="T127" i="74"/>
  <c r="T126" i="74"/>
  <c r="T133" i="74"/>
  <c r="T157" i="74"/>
  <c r="T118" i="74"/>
  <c r="T117" i="74"/>
  <c r="T134" i="74"/>
  <c r="T116" i="74"/>
  <c r="T132" i="74"/>
  <c r="T147" i="74"/>
  <c r="T156" i="74"/>
  <c r="T123" i="74"/>
  <c r="F140" i="74"/>
  <c r="T148" i="74"/>
  <c r="T155" i="74"/>
  <c r="F298" i="74"/>
  <c r="F299" i="74" s="1"/>
  <c r="F300" i="74" s="1"/>
  <c r="T146" i="74"/>
  <c r="T145" i="74"/>
  <c r="T163" i="74"/>
  <c r="T154" i="74"/>
  <c r="T158" i="74"/>
  <c r="F160" i="74"/>
  <c r="T159" i="74"/>
  <c r="T115" i="74"/>
  <c r="T119" i="74"/>
  <c r="T121" i="74"/>
  <c r="J119" i="74"/>
  <c r="J219" i="74"/>
  <c r="J226" i="74" s="1"/>
  <c r="J114" i="74"/>
  <c r="J121" i="74"/>
  <c r="J205" i="74"/>
  <c r="J211" i="74" s="1"/>
  <c r="T129" i="74"/>
  <c r="F195" i="74"/>
  <c r="G388" i="74"/>
  <c r="G370" i="74"/>
  <c r="H129" i="74"/>
  <c r="H134" i="74"/>
  <c r="V128" i="74" s="1"/>
  <c r="H125" i="74"/>
  <c r="G381" i="74"/>
  <c r="G228" i="74" s="1"/>
  <c r="H380" i="74"/>
  <c r="H378" i="74"/>
  <c r="H376" i="74"/>
  <c r="H381" i="74" s="1"/>
  <c r="H228" i="74" s="1"/>
  <c r="H227" i="74"/>
  <c r="G363" i="74"/>
  <c r="G213" i="74" s="1"/>
  <c r="H312" i="74"/>
  <c r="I205" i="74"/>
  <c r="I211" i="74" s="1"/>
  <c r="I119" i="74"/>
  <c r="I219" i="74"/>
  <c r="I226" i="74" s="1"/>
  <c r="I114" i="74"/>
  <c r="I121" i="74"/>
  <c r="G313" i="74"/>
  <c r="G314" i="74"/>
  <c r="G315" i="74" s="1"/>
  <c r="H367" i="74"/>
  <c r="H385" i="74"/>
  <c r="H384" i="74"/>
  <c r="H366" i="74"/>
  <c r="H362" i="74"/>
  <c r="H387" i="74"/>
  <c r="H369" i="74"/>
  <c r="H212" i="74"/>
  <c r="H358" i="74"/>
  <c r="H360" i="74"/>
  <c r="H69" i="18"/>
  <c r="I61" i="18" s="1"/>
  <c r="I63" i="18" s="1"/>
  <c r="I66" i="18" s="1"/>
  <c r="I67" i="18" s="1"/>
  <c r="H64" i="18"/>
  <c r="K17" i="67"/>
  <c r="L16" i="67"/>
  <c r="K88" i="67"/>
  <c r="Q36" i="38"/>
  <c r="Q103" i="38"/>
  <c r="H363" i="74" l="1"/>
  <c r="H213" i="74" s="1"/>
  <c r="G177" i="74"/>
  <c r="H169" i="74"/>
  <c r="H171" i="74" s="1"/>
  <c r="E350" i="74"/>
  <c r="E348" i="74"/>
  <c r="E354" i="74"/>
  <c r="G173" i="74"/>
  <c r="G175" i="74" s="1"/>
  <c r="F179" i="74"/>
  <c r="F180" i="74" s="1"/>
  <c r="H388" i="74"/>
  <c r="H370" i="74"/>
  <c r="I227" i="74"/>
  <c r="I380" i="74"/>
  <c r="I378" i="74"/>
  <c r="I376" i="74"/>
  <c r="J377" i="74"/>
  <c r="F197" i="74"/>
  <c r="I312" i="74"/>
  <c r="J312" i="74"/>
  <c r="G316" i="74"/>
  <c r="I384" i="74"/>
  <c r="I361" i="74"/>
  <c r="J359" i="74"/>
  <c r="I385" i="74"/>
  <c r="I358" i="74"/>
  <c r="I212" i="74"/>
  <c r="I366" i="74"/>
  <c r="I362" i="74"/>
  <c r="I387" i="74"/>
  <c r="I360" i="74"/>
  <c r="I367" i="74"/>
  <c r="I369" i="74"/>
  <c r="V121" i="74"/>
  <c r="H304" i="74"/>
  <c r="H305" i="74" s="1"/>
  <c r="H306" i="74" s="1"/>
  <c r="V134" i="74"/>
  <c r="H298" i="74"/>
  <c r="H299" i="74" s="1"/>
  <c r="H300" i="74" s="1"/>
  <c r="V133" i="74"/>
  <c r="V155" i="74"/>
  <c r="V132" i="74"/>
  <c r="V147" i="74"/>
  <c r="V154" i="74"/>
  <c r="V123" i="74"/>
  <c r="V163" i="74"/>
  <c r="V116" i="74"/>
  <c r="V157" i="74"/>
  <c r="V148" i="74"/>
  <c r="V156" i="74"/>
  <c r="V146" i="74"/>
  <c r="V145" i="74"/>
  <c r="H140" i="74"/>
  <c r="V126" i="74"/>
  <c r="V127" i="74"/>
  <c r="V118" i="74"/>
  <c r="V117" i="74"/>
  <c r="V149" i="74"/>
  <c r="V158" i="74"/>
  <c r="H160" i="74"/>
  <c r="V159" i="74"/>
  <c r="V115" i="74"/>
  <c r="J358" i="74"/>
  <c r="J367" i="74"/>
  <c r="J366" i="74"/>
  <c r="J212" i="74"/>
  <c r="J362" i="74"/>
  <c r="J387" i="74"/>
  <c r="J360" i="74"/>
  <c r="J369" i="74"/>
  <c r="J361" i="74"/>
  <c r="J384" i="74"/>
  <c r="J385" i="74"/>
  <c r="K359" i="74"/>
  <c r="K370" i="74" s="1"/>
  <c r="K361" i="74"/>
  <c r="V119" i="74"/>
  <c r="H195" i="74"/>
  <c r="V129" i="74"/>
  <c r="J128" i="74"/>
  <c r="U128" i="74"/>
  <c r="U155" i="74"/>
  <c r="U148" i="74"/>
  <c r="U133" i="74"/>
  <c r="U146" i="74"/>
  <c r="U145" i="74"/>
  <c r="U116" i="74"/>
  <c r="U127" i="74"/>
  <c r="U126" i="74"/>
  <c r="G298" i="74"/>
  <c r="G299" i="74" s="1"/>
  <c r="G300" i="74" s="1"/>
  <c r="U118" i="74"/>
  <c r="G304" i="74"/>
  <c r="G305" i="74" s="1"/>
  <c r="G306" i="74" s="1"/>
  <c r="U134" i="74"/>
  <c r="U117" i="74"/>
  <c r="U157" i="74"/>
  <c r="U132" i="74"/>
  <c r="U163" i="74"/>
  <c r="U156" i="74"/>
  <c r="U123" i="74"/>
  <c r="U147" i="74"/>
  <c r="G140" i="74"/>
  <c r="U149" i="74"/>
  <c r="U158" i="74"/>
  <c r="U154" i="74"/>
  <c r="G160" i="74"/>
  <c r="U159" i="74"/>
  <c r="U115" i="74"/>
  <c r="U119" i="74"/>
  <c r="U121" i="74"/>
  <c r="I359" i="74"/>
  <c r="I128" i="74"/>
  <c r="H314" i="74"/>
  <c r="H315" i="74" s="1"/>
  <c r="H313" i="74"/>
  <c r="I379" i="74"/>
  <c r="I377" i="74"/>
  <c r="J379" i="74"/>
  <c r="J380" i="74"/>
  <c r="J378" i="74"/>
  <c r="K377" i="74"/>
  <c r="K388" i="74" s="1"/>
  <c r="J376" i="74"/>
  <c r="J227" i="74"/>
  <c r="G195" i="74"/>
  <c r="G197" i="74" s="1"/>
  <c r="U129" i="74"/>
  <c r="L17" i="67"/>
  <c r="L88" i="67"/>
  <c r="I68" i="18"/>
  <c r="I71" i="18" s="1"/>
  <c r="I72" i="18" s="1"/>
  <c r="I64" i="18"/>
  <c r="J381" i="74" l="1"/>
  <c r="J228" i="74" s="1"/>
  <c r="H173" i="74"/>
  <c r="H175" i="74" s="1"/>
  <c r="G179" i="74"/>
  <c r="G180" i="74" s="1"/>
  <c r="E351" i="74"/>
  <c r="E352" i="74"/>
  <c r="E353" i="74"/>
  <c r="I169" i="74"/>
  <c r="I171" i="74" s="1"/>
  <c r="H177" i="74"/>
  <c r="J363" i="74"/>
  <c r="J213" i="74" s="1"/>
  <c r="H316" i="74"/>
  <c r="H197" i="74"/>
  <c r="F348" i="74"/>
  <c r="F198" i="74"/>
  <c r="F350" i="74"/>
  <c r="F354" i="74"/>
  <c r="J370" i="74"/>
  <c r="J388" i="74"/>
  <c r="I388" i="74"/>
  <c r="G354" i="74"/>
  <c r="G198" i="74"/>
  <c r="G350" i="74"/>
  <c r="G348" i="74"/>
  <c r="I381" i="74"/>
  <c r="I228" i="74" s="1"/>
  <c r="J313" i="74"/>
  <c r="J314" i="74"/>
  <c r="I363" i="74"/>
  <c r="I213" i="74" s="1"/>
  <c r="I125" i="74"/>
  <c r="I129" i="74"/>
  <c r="I195" i="74" s="1"/>
  <c r="I197" i="74" s="1"/>
  <c r="I134" i="74"/>
  <c r="W128" i="74" s="1"/>
  <c r="J125" i="74"/>
  <c r="J134" i="74"/>
  <c r="X128" i="74" s="1"/>
  <c r="J129" i="74"/>
  <c r="I370" i="74"/>
  <c r="I313" i="74"/>
  <c r="I314" i="74"/>
  <c r="I315" i="74" s="1"/>
  <c r="I69" i="18"/>
  <c r="J61" i="18" s="1"/>
  <c r="J63" i="18" s="1"/>
  <c r="E355" i="74" l="1"/>
  <c r="E199" i="74" s="1"/>
  <c r="J316" i="74"/>
  <c r="I177" i="74"/>
  <c r="J169" i="74"/>
  <c r="J171" i="74" s="1"/>
  <c r="J177" i="74" s="1"/>
  <c r="I173" i="74"/>
  <c r="I175" i="74" s="1"/>
  <c r="H179" i="74"/>
  <c r="H180" i="74" s="1"/>
  <c r="W129" i="74"/>
  <c r="I304" i="74"/>
  <c r="I305" i="74" s="1"/>
  <c r="I306" i="74" s="1"/>
  <c r="W123" i="74"/>
  <c r="W147" i="74"/>
  <c r="W118" i="74"/>
  <c r="W163" i="74"/>
  <c r="W149" i="74"/>
  <c r="W158" i="74"/>
  <c r="I160" i="74"/>
  <c r="W133" i="74"/>
  <c r="W156" i="74"/>
  <c r="W154" i="74"/>
  <c r="W116" i="74"/>
  <c r="I298" i="74"/>
  <c r="I299" i="74" s="1"/>
  <c r="I300" i="74" s="1"/>
  <c r="W148" i="74"/>
  <c r="I140" i="74"/>
  <c r="W155" i="74"/>
  <c r="W145" i="74"/>
  <c r="W127" i="74"/>
  <c r="W134" i="74"/>
  <c r="W157" i="74"/>
  <c r="W126" i="74"/>
  <c r="W132" i="74"/>
  <c r="W117" i="74"/>
  <c r="W146" i="74"/>
  <c r="W159" i="74"/>
  <c r="W115" i="74"/>
  <c r="W119" i="74"/>
  <c r="W121" i="74"/>
  <c r="I348" i="74"/>
  <c r="I354" i="74"/>
  <c r="I350" i="74"/>
  <c r="I198" i="74"/>
  <c r="G351" i="74"/>
  <c r="G352" i="74"/>
  <c r="G353" i="74"/>
  <c r="I316" i="74"/>
  <c r="F351" i="74"/>
  <c r="F355" i="74" s="1"/>
  <c r="F199" i="74" s="1"/>
  <c r="F353" i="74"/>
  <c r="F352" i="74"/>
  <c r="X129" i="74"/>
  <c r="J195" i="74"/>
  <c r="J197" i="74" s="1"/>
  <c r="J315" i="74"/>
  <c r="X148" i="74"/>
  <c r="X116" i="74"/>
  <c r="J304" i="74"/>
  <c r="J305" i="74" s="1"/>
  <c r="J306" i="74" s="1"/>
  <c r="J140" i="74"/>
  <c r="X123" i="74"/>
  <c r="X149" i="74"/>
  <c r="X145" i="74"/>
  <c r="X146" i="74"/>
  <c r="X132" i="74"/>
  <c r="X157" i="74"/>
  <c r="X126" i="74"/>
  <c r="X127" i="74"/>
  <c r="J160" i="74"/>
  <c r="X117" i="74"/>
  <c r="X118" i="74"/>
  <c r="X156" i="74"/>
  <c r="X147" i="74"/>
  <c r="X155" i="74"/>
  <c r="X158" i="74"/>
  <c r="J298" i="74"/>
  <c r="J299" i="74" s="1"/>
  <c r="J300" i="74" s="1"/>
  <c r="X163" i="74"/>
  <c r="X134" i="74"/>
  <c r="X154" i="74"/>
  <c r="X133" i="74"/>
  <c r="X159" i="74"/>
  <c r="X115" i="74"/>
  <c r="X121" i="74"/>
  <c r="X119" i="74"/>
  <c r="H198" i="74"/>
  <c r="H348" i="74"/>
  <c r="H351" i="74" s="1"/>
  <c r="H354" i="74"/>
  <c r="H350" i="74"/>
  <c r="J64" i="18"/>
  <c r="J66" i="18"/>
  <c r="J67" i="18" s="1"/>
  <c r="I179" i="74" l="1"/>
  <c r="I180" i="74" s="1"/>
  <c r="J173" i="74"/>
  <c r="J175" i="74" s="1"/>
  <c r="J179" i="74" s="1"/>
  <c r="J180" i="74" s="1"/>
  <c r="G355" i="74"/>
  <c r="G199" i="74" s="1"/>
  <c r="I352" i="74"/>
  <c r="I353" i="74"/>
  <c r="J350" i="74"/>
  <c r="J348" i="74"/>
  <c r="J351" i="74" s="1"/>
  <c r="J198" i="74"/>
  <c r="J354" i="74"/>
  <c r="H352" i="74"/>
  <c r="H353" i="74"/>
  <c r="H355" i="74"/>
  <c r="H199" i="74" s="1"/>
  <c r="I351" i="74"/>
  <c r="I355" i="74" s="1"/>
  <c r="I199" i="74" s="1"/>
  <c r="J68" i="18"/>
  <c r="J355" i="74" l="1"/>
  <c r="J199" i="74" s="1"/>
  <c r="K353" i="74"/>
  <c r="K351" i="74"/>
  <c r="J352" i="74"/>
  <c r="J353" i="74"/>
  <c r="J71" i="18"/>
  <c r="J72" i="18" s="1"/>
  <c r="J69" i="18"/>
  <c r="K61" i="18" s="1"/>
  <c r="K63" i="18" l="1"/>
  <c r="K64" i="18" s="1"/>
  <c r="K66" i="18" l="1"/>
  <c r="K67" i="18" s="1"/>
  <c r="K68" i="18" l="1"/>
  <c r="K71" i="18" s="1"/>
  <c r="K72" i="18" s="1"/>
  <c r="K69" i="18" l="1"/>
  <c r="L61" i="18" s="1"/>
  <c r="L63" i="18" s="1"/>
  <c r="L64" i="18" s="1"/>
  <c r="L66" i="18"/>
  <c r="L67" i="18" l="1"/>
  <c r="L68" i="18"/>
  <c r="L71" i="18" l="1"/>
  <c r="L72" i="18" s="1"/>
  <c r="L69" i="18"/>
  <c r="J113" i="38"/>
  <c r="M113" i="38"/>
  <c r="N113" i="38"/>
  <c r="Q113" i="38"/>
  <c r="P113" i="38"/>
  <c r="J51" i="38"/>
  <c r="J52" i="38" s="1"/>
  <c r="J75" i="38" s="1"/>
  <c r="J134" i="38" s="1"/>
  <c r="H113" i="38"/>
  <c r="K113" i="38"/>
  <c r="K51" i="38"/>
  <c r="K53" i="38" s="1"/>
  <c r="G113" i="38"/>
  <c r="N51" i="38"/>
  <c r="N53" i="38" s="1"/>
  <c r="E40" i="38"/>
  <c r="E113" i="38" s="1"/>
  <c r="G51" i="38"/>
  <c r="G81" i="38" s="1"/>
  <c r="D40" i="38" l="1"/>
  <c r="G52" i="38"/>
  <c r="G75" i="38" s="1"/>
  <c r="G53" i="38"/>
  <c r="G54" i="38" s="1"/>
  <c r="K52" i="38"/>
  <c r="K75" i="38" s="1"/>
  <c r="K134" i="38" s="1"/>
  <c r="G130" i="38"/>
  <c r="J53" i="38"/>
  <c r="N52" i="38"/>
  <c r="N75" i="38" s="1"/>
  <c r="N134" i="38" s="1"/>
  <c r="G57" i="38"/>
  <c r="G134" i="38" l="1"/>
  <c r="G138" i="38" s="1"/>
  <c r="H136" i="38" s="1"/>
  <c r="G79" i="38"/>
  <c r="H77" i="38" l="1"/>
  <c r="G131" i="38"/>
  <c r="H119" i="38"/>
  <c r="I119" i="38"/>
  <c r="M119" i="38"/>
  <c r="I51" i="38"/>
  <c r="I53" i="38" s="1"/>
  <c r="L119" i="38"/>
  <c r="L51" i="38"/>
  <c r="L53" i="38" s="1"/>
  <c r="M51" i="38"/>
  <c r="M53" i="38" s="1"/>
  <c r="Q119" i="38"/>
  <c r="Q51" i="38"/>
  <c r="Q53" i="38" s="1"/>
  <c r="P119" i="38"/>
  <c r="P51" i="38"/>
  <c r="P52" i="38" s="1"/>
  <c r="P75" i="38" s="1"/>
  <c r="P134" i="38" s="1"/>
  <c r="E46" i="38"/>
  <c r="H51" i="38"/>
  <c r="H130" i="38" l="1"/>
  <c r="H57" i="38"/>
  <c r="I57" i="38" s="1"/>
  <c r="J57" i="38" s="1"/>
  <c r="M52" i="38"/>
  <c r="M75" i="38" s="1"/>
  <c r="M134" i="38" s="1"/>
  <c r="I52" i="38"/>
  <c r="I75" i="38" s="1"/>
  <c r="I134" i="38" s="1"/>
  <c r="E119" i="38"/>
  <c r="D46" i="38"/>
  <c r="D51" i="38" s="1"/>
  <c r="D53" i="38" s="1"/>
  <c r="H53" i="38"/>
  <c r="H54" i="38" s="1"/>
  <c r="I54" i="38" s="1"/>
  <c r="J54" i="38" s="1"/>
  <c r="K54" i="38" s="1"/>
  <c r="L54" i="38" s="1"/>
  <c r="M54" i="38" s="1"/>
  <c r="N54" i="38" s="1"/>
  <c r="O54" i="38" s="1"/>
  <c r="H81" i="38"/>
  <c r="H52" i="38"/>
  <c r="Q52" i="38"/>
  <c r="Q75" i="38" s="1"/>
  <c r="Q134" i="38" s="1"/>
  <c r="E51" i="38"/>
  <c r="L52" i="38"/>
  <c r="L75" i="38" s="1"/>
  <c r="L134" i="38" s="1"/>
  <c r="P53" i="38"/>
  <c r="H58" i="38" l="1"/>
  <c r="H59" i="38" s="1"/>
  <c r="P54" i="38"/>
  <c r="Q54" i="38" s="1"/>
  <c r="E52" i="38"/>
  <c r="H75" i="38"/>
  <c r="G58" i="38"/>
  <c r="G59" i="38" s="1"/>
  <c r="E53" i="38"/>
  <c r="E75" i="38"/>
  <c r="E79" i="38" s="1"/>
  <c r="F58" i="38"/>
  <c r="F59" i="38" s="1"/>
  <c r="J58" i="38"/>
  <c r="J59" i="38" s="1"/>
  <c r="K57" i="38"/>
  <c r="I58" i="38"/>
  <c r="I59" i="38" s="1"/>
  <c r="K58" i="38" l="1"/>
  <c r="K59" i="38" s="1"/>
  <c r="L57" i="38"/>
  <c r="H79" i="38"/>
  <c r="H134" i="38"/>
  <c r="H138" i="38" s="1"/>
  <c r="I136" i="38" s="1"/>
  <c r="I138" i="38" s="1"/>
  <c r="J136" i="38" s="1"/>
  <c r="J138" i="38" s="1"/>
  <c r="K136" i="38" s="1"/>
  <c r="K138" i="38" s="1"/>
  <c r="L136" i="38" s="1"/>
  <c r="L138" i="38" s="1"/>
  <c r="M136" i="38" s="1"/>
  <c r="M138" i="38" s="1"/>
  <c r="N136" i="38" s="1"/>
  <c r="N138" i="38" s="1"/>
  <c r="O136" i="38" s="1"/>
  <c r="O138" i="38" s="1"/>
  <c r="P136" i="38" s="1"/>
  <c r="P138" i="38" s="1"/>
  <c r="Q136" i="38" s="1"/>
  <c r="Q138" i="38" s="1"/>
  <c r="I77" i="38" l="1"/>
  <c r="H131" i="38"/>
  <c r="L58" i="38"/>
  <c r="L59" i="38" s="1"/>
  <c r="M57" i="38"/>
  <c r="M58" i="38" l="1"/>
  <c r="M59" i="38" s="1"/>
  <c r="N57" i="38"/>
  <c r="I81" i="38"/>
  <c r="I79" i="38"/>
  <c r="I130" i="38"/>
  <c r="I131" i="38" l="1"/>
  <c r="J77" i="38"/>
  <c r="O57" i="38"/>
  <c r="N58" i="38"/>
  <c r="N59" i="38" s="1"/>
  <c r="J81" i="38" l="1"/>
  <c r="J79" i="38"/>
  <c r="J130" i="38"/>
  <c r="O58" i="38"/>
  <c r="O59" i="38" s="1"/>
  <c r="P57" i="38"/>
  <c r="Q57" i="38" l="1"/>
  <c r="Q58" i="38" s="1"/>
  <c r="Q59" i="38" s="1"/>
  <c r="P58" i="38"/>
  <c r="P59" i="38" s="1"/>
  <c r="K77" i="38"/>
  <c r="J131" i="38"/>
  <c r="K81" i="38" l="1"/>
  <c r="K79" i="38"/>
  <c r="K130" i="38"/>
  <c r="K131" i="38" l="1"/>
  <c r="L77" i="38"/>
  <c r="L81" i="38" l="1"/>
  <c r="L79" i="38"/>
  <c r="L130" i="38"/>
  <c r="M77" i="38" l="1"/>
  <c r="L131" i="38"/>
  <c r="M79" i="38" l="1"/>
  <c r="M81" i="38"/>
  <c r="M130" i="38"/>
  <c r="M131" i="38" l="1"/>
  <c r="N77" i="38"/>
  <c r="N130" i="38" l="1"/>
  <c r="N79" i="38"/>
  <c r="N81" i="38"/>
  <c r="O77" i="38" l="1"/>
  <c r="N131" i="38"/>
  <c r="O130" i="38" l="1"/>
  <c r="O79" i="38"/>
  <c r="O81" i="38"/>
  <c r="O131" i="38" l="1"/>
  <c r="P77" i="38"/>
  <c r="P79" i="38" l="1"/>
  <c r="P130" i="38"/>
  <c r="P81" i="38"/>
  <c r="P131" i="38" l="1"/>
  <c r="Q77" i="38"/>
  <c r="Q79" i="38" l="1"/>
  <c r="Q131" i="38" s="1"/>
  <c r="Q81" i="38"/>
  <c r="Q130"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tc={C9720B80-4DE7-4342-B7EE-57EDC974AF12}</author>
    <author>tc={9909DB41-4054-4051-8E9D-3A06A152DDC1}</author>
    <author>Michael Dang</author>
    <author>tc={AE8693CC-D799-40D8-BC0A-DDEFCADE3B8B}</author>
    <author>tc={14D4832A-A429-4B66-9D06-54B3C5043617}</author>
  </authors>
  <commentList>
    <comment ref="C9" authorId="0" shapeId="0" xr:uid="{C9720B80-4DE7-4342-B7EE-57EDC974AF12}">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14" authorId="1" shapeId="0" xr:uid="{9909DB41-4054-4051-8E9D-3A06A152DDC1}">
      <text>
        <t>[Threaded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ref="B25" authorId="2" shapeId="0" xr:uid="{768C8515-1DB4-4E55-B6AB-EB9342627BA2}">
      <text>
        <r>
          <rPr>
            <b/>
            <sz val="9"/>
            <color indexed="81"/>
            <rFont val="Tahoma"/>
            <family val="2"/>
          </rPr>
          <t>Michael Dang:</t>
        </r>
        <r>
          <rPr>
            <sz val="9"/>
            <color indexed="81"/>
            <rFont val="Tahoma"/>
            <family val="2"/>
          </rPr>
          <t xml:space="preserve">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42" authorId="3" shapeId="0" xr:uid="{AE8693CC-D799-40D8-BC0A-DDEFCADE3B8B}">
      <text>
        <t>[Threaded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ref="C42" authorId="4" shapeId="0" xr:uid="{14D4832A-A429-4B66-9D06-54B3C5043617}">
      <text>
        <t>[Threaded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tc={AE20A937-C675-4D93-974B-C8C4FB974162}</author>
  </authors>
  <commentList>
    <comment ref="Q14" authorId="0" shapeId="0" xr:uid="{AE20A937-C675-4D93-974B-C8C4FB974162}">
      <text>
        <t>[Threaded comment]
Your version of Excel allows you to read this threaded comment; however, any edits to it will get removed if the file is opened in a newer version of Excel. Learn more: https://go.microsoft.com/fwlink/?linkid=870924
Comment:
    Used SY 2017-18 projections from NDE Budget Template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tc={5A0475E5-6B0D-4D68-9F79-BF251AC40EF8}</author>
  </authors>
  <commentList>
    <comment ref="B36" authorId="0" shapeId="0" xr:uid="{5A0475E5-6B0D-4D68-9F79-BF251AC40EF8}">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tc={3A938AAD-556B-4D4E-BDCA-B0961C23113C}</author>
  </authors>
  <commentList>
    <comment ref="B33" authorId="0" shapeId="0" xr:uid="{3A938AAD-556B-4D4E-BDCA-B0961C23113C}">
      <text>
        <t>[Threaded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tc={BA7C49A7-E4F8-478A-B9F9-8FF2E94C5657}</author>
    <author>tc={FF5B6DC4-8A8F-41AA-917C-8CC709B31B55}</author>
    <author>tc={9EF2DCE2-0379-443E-AF19-FD6DA92042C6}</author>
    <author>tc={80EE43C8-23A7-41E1-8ECC-4681E57D3A31}</author>
    <author>Michael Dang</author>
    <author>tc={D94463C8-17DE-4EE8-85C5-B346F078C2FC}</author>
    <author>tc={8BCCCF2A-5654-40EA-869B-E87FF448E73C}</author>
    <author>tc={A5B5DA5E-2398-43F8-8BD4-72FC99DAD521}</author>
    <author>tc={925C8E0F-3549-4C79-A543-85B85CB6E18F}</author>
    <author>tc={EAF65C4F-B2FB-4841-BADF-2A1884486645}</author>
    <author>tc={D424E146-9AB4-4D53-8AE7-E99FB1C03F66}</author>
    <author>tc={0E6723B7-983A-4E34-A6C4-A8764EAEEDEB}</author>
    <author>tc={FF5409AF-10DD-4058-A75C-9F1704F33019}</author>
    <author>tc={6160B074-5221-4D20-8A46-B8DE112F6730}</author>
    <author>tc={D81F2086-D8C7-4FEF-A557-2513669E30DC}</author>
    <author>tc={F5FBE767-41EE-42CC-B61D-40BD1B40E5FE}</author>
    <author>tc={D764C28F-7392-4896-8432-C1BD663F5A28}</author>
    <author>tc={BF827CE1-E0D5-4A41-AC33-4F05FA0F0810}</author>
    <author>tc={D3D3D0DD-E457-461D-99D3-FAFD6D4B48CA}</author>
    <author>tc={CCD7618F-33E3-4329-861C-B9BC87D0850C}</author>
    <author>tc={B05B84E6-AD1B-44AD-9CF8-CD28C8499B41}</author>
    <author>tc={C36D1222-C8D7-4773-9447-1EE5A79832A4}</author>
    <author>tc={2EF6650B-478F-45AC-8488-920858D382E1}</author>
    <author>tc={FC606374-F8DD-4108-BF46-277C3A8BE38C}</author>
    <author>tc={9FFB3B12-1544-40D9-958D-4779E7749ACA}</author>
    <author>tc={B4855853-AEE4-4A76-917F-062A501F0687}</author>
    <author>tc={6130FD02-39D3-4368-A866-A5C0F2A5D0E2}</author>
    <author>tc={6FB96492-3895-47C8-ACA1-4775A5724239}</author>
    <author>tc={1CCF4E3A-97D0-4F0C-B3F1-02E31D46296F}</author>
    <author>tc={5A1BC673-86C8-4B69-AF12-294879169A98}</author>
    <author>tc={5A1F9388-6BA2-4832-A636-9827827CEBE5}</author>
    <author>tc={B956B5D8-D6C2-48D3-BA19-495F736E00F1}</author>
    <author>tc={A0E80373-DA3A-4C6E-98CF-2F2B71098BA6}</author>
    <author>tc={3B28F732-7871-4595-A39C-F96037823978}</author>
    <author>tc={E1F0B92A-4338-4CCD-A354-1F5BDB8D005E}</author>
    <author>tc={6E7A36B7-E470-47E3-ABF5-9D9DB52B5C10}</author>
    <author>tc={8D516DA2-B76D-40AA-BD42-6FF36222AC10}</author>
    <author>tc={8FB0F1CB-7550-4984-B838-41F2F3F4DADB}</author>
    <author>tc={EEF88A48-2BA2-4CD8-ABA9-461F8B833776}</author>
    <author>tc={1F9E233C-FF65-459E-BC31-54B201D5C46C}</author>
    <author>tc={DEDF1C8B-6C66-44A9-82F9-AC74543E08C4}</author>
    <author>tc={21881F71-D08F-4B70-B53D-72A9DF7F1FFD}</author>
    <author>tc={9DDB4C4B-2DC4-4C61-AF3F-46195EC07D9A}</author>
    <author>tc={3A896750-4502-4AA5-8478-D8ABA6B9EBEC}</author>
    <author>tc={FAD6E8D0-EB82-4A56-B61F-39D2DB4D483F}</author>
    <author>tc={0063AFC9-9FDC-4CAA-9923-89974B3B2A3E}</author>
    <author>tc={8BC8C2A0-BB26-42D3-8E44-B3939D6FE69E}</author>
    <author>tc={5265978B-105B-45BF-9594-E5B22EA7C2FD}</author>
    <author>tc={DC9596C0-6132-41E9-924A-4A47A7516640}</author>
    <author>tc={2B35503D-E18C-4D16-A3A4-0936A5D32441}</author>
    <author>tc={2ED45917-42E6-402D-9CAC-4B0F90A5F6DC}</author>
    <author>tc={601BE3D0-0922-44B0-9F70-AB7E4FCA4C80}</author>
    <author>tc={503B4693-9D63-4B98-9336-8EDDDCDCBBA5}</author>
    <author>tc={02CF319E-90FB-4226-9EC1-79BB3F7EB809}</author>
    <author>tc={BBFD4C95-C4C9-401A-A8CF-22651C01C513}</author>
    <author>tc={B7E5CA85-6F5D-4411-9D73-71501D39BD4F}</author>
    <author>tc={535E5536-FC56-4659-8AD0-E3D444E2226B}</author>
    <author>tc={01A5D7BB-E23D-4406-9B63-5B75F6404407}</author>
    <author>tc={95811CE4-6005-4935-820C-8B258A433E6C}</author>
    <author>tc={0DF9C7D3-EEE8-48EF-AB67-B62051911BCF}</author>
    <author>tc={7DF9987E-6C4B-469B-908A-16AD58F44BCF}</author>
    <author>tc={DB89B4EC-15C7-4B85-9D53-08020EC25FEE}</author>
    <author>tc={FC44B013-D5FD-494F-B31B-1433077214F9}</author>
    <author>tc={601B84D7-24DA-46B4-973B-914D11CF95CF}</author>
    <author>tc={7FCD745E-454A-42BA-8D6C-9A6B290D9E46}</author>
    <author>tc={2AD78D4C-CEE7-431C-B39E-3986FE147149}</author>
    <author>tc={980124F9-FAA1-4650-9678-AD631AF10EC1}</author>
    <author>tc={546DFF76-CA63-4F28-8F88-AA2F2397E48A}</author>
    <author>tc={7938D43F-6361-4D55-B3AE-BF681A84214C}</author>
    <author>tc={9B1F396B-8A2B-44F8-AB60-74B5E8E89686}</author>
    <author>tc={66EB5305-7BEB-4AAD-A06E-A479F8A134ED}</author>
    <author>tc={F7F68BF0-AB4A-44FB-9F20-9EACBBB5733C}</author>
    <author>tc={75594FC5-C4A4-4C79-BD10-ABB57AAFBF5A}</author>
    <author>tc={99961362-1BB4-4A7D-B24F-3DE09C251E50}</author>
    <author>tc={707DC854-63F4-46CF-A2E4-897B9E05C39F}</author>
  </authors>
  <commentList>
    <comment ref="E3" authorId="0" shapeId="0" xr:uid="{BA7C49A7-E4F8-478A-B9F9-8FF2E94C5657}">
      <text>
        <t>[Threaded comment]
Your version of Excel allows you to read this threaded comment; however, any edits to it will get removed if the file is opened in a newer version of Excel. Learn more: https://go.microsoft.com/fwlink/?linkid=870924
Comment:
    1. Enter a # only, like 1.  Do not enter text with a number.
2. New schools may enter a 0 here so they can input their Planning &amp; pre-opening period.</t>
      </text>
    </comment>
    <comment ref="E16" authorId="1" shapeId="0" xr:uid="{FF5B6DC4-8A8F-41AA-917C-8CC709B31B55}">
      <text>
        <t>[Threaded comment]
Your version of Excel allows you to read this threaded comment; however, any edits to it will get removed if the file is opened in a newer version of Excel. Learn more: https://go.microsoft.com/fwlink/?linkid=870924
Comment:
    Enter the year # only.  Do not enter "Fall."</t>
      </text>
    </comment>
    <comment ref="D30" authorId="2" shapeId="0" xr:uid="{9EF2DCE2-0379-443E-AF19-FD6DA92042C6}">
      <text>
        <t>[Threaded comment]
Your version of Excel allows you to read this threaded comment; however, any edits to it will get removed if the file is opened in a newer version of Excel. Learn more: https://go.microsoft.com/fwlink/?linkid=870924
Comment:
    Source: Actual enrollment from DSA spreadsheet</t>
      </text>
    </comment>
    <comment ref="D31" authorId="3" shapeId="0" xr:uid="{80EE43C8-23A7-41E1-8ECC-4681E57D3A31}">
      <text>
        <t>[Threaded comment]
Your version of Excel allows you to read this threaded comment; however, any edits to it will get removed if the file is opened in a newer version of Excel. Learn more: https://go.microsoft.com/fwlink/?linkid=870924
Comment:
    Source:  Projected/budgeted from submitted annual proposed budget</t>
      </text>
    </comment>
    <comment ref="D36" authorId="4" shapeId="0" xr:uid="{B9BE74E2-E4F3-4232-AB7C-4FCFB6C94478}">
      <text>
        <r>
          <rPr>
            <b/>
            <sz val="9"/>
            <color indexed="81"/>
            <rFont val="Tahoma"/>
            <family val="2"/>
          </rPr>
          <t>Michael Dang:</t>
        </r>
        <r>
          <rPr>
            <sz val="9"/>
            <color indexed="81"/>
            <rFont val="Tahoma"/>
            <family val="2"/>
          </rPr>
          <t xml:space="preserve">
ADE Year Ending (Actual vs. Estimated ADE YE called for in Tentative and Final Budgets)</t>
        </r>
      </text>
    </comment>
    <comment ref="D50" authorId="5" shapeId="0" xr:uid="{D94463C8-17DE-4EE8-85C5-B346F078C2FC}">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56" authorId="6" shapeId="0" xr:uid="{8BCCCF2A-5654-40EA-869B-E87FF448E73C}">
      <text>
        <t>[Threaded comment]
Your version of Excel allows you to read this threaded comment; however, any edits to it will get removed if the file is opened in a newer version of Excel. Learn more: https://go.microsoft.com/fwlink/?linkid=870924
Comment:
    Exclude borrowings, other "Other Financing Sources"</t>
      </text>
    </comment>
    <comment ref="D57" authorId="7" shapeId="0" xr:uid="{A5B5DA5E-2398-43F8-8BD4-72FC99DAD521}">
      <text>
        <t>[Threaded comment]
Your version of Excel allows you to read this threaded comment; however, any edits to it will get removed if the file is opened in a newer version of Excel. Learn more: https://go.microsoft.com/fwlink/?linkid=870924
Comment:
    May include interest and all other revenues</t>
      </text>
    </comment>
    <comment ref="D61" authorId="8" shapeId="0" xr:uid="{925C8E0F-3549-4C79-A543-85B85CB6E18F}">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68" authorId="9" shapeId="0" xr:uid="{EAF65C4F-B2FB-4841-BADF-2A1884486645}">
      <text>
        <t>[Threaded comment]
Your version of Excel allows you to read this threaded comment; however, any edits to it will get removed if the file is opened in a newer version of Excel. Learn more: https://go.microsoft.com/fwlink/?linkid=870924
Comment:
    Input Total Expenses here and show select included detail below.</t>
      </text>
    </comment>
    <comment ref="D76" authorId="10" shapeId="0" xr:uid="{D424E146-9AB4-4D53-8AE7-E99FB1C03F66}">
      <text>
        <t>[Threaded comment]
Your version of Excel allows you to read this threaded comment; however, any edits to it will get removed if the file is opened in a newer version of Excel. Learn more: https://go.microsoft.com/fwlink/?linkid=870924
Comment:
    Treated as included operating expenses.</t>
      </text>
    </comment>
    <comment ref="D81" authorId="11" shapeId="0" xr:uid="{0E6723B7-983A-4E34-A6C4-A8764EAEEDEB}">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84" authorId="12" shapeId="0" xr:uid="{FF5409AF-10DD-4058-A75C-9F1704F33019}">
      <text>
        <t>[Threaded comment]
Your version of Excel allows you to read this threaded comment; however, any edits to it will get removed if the file is opened in a newer version of Excel. Learn more: https://go.microsoft.com/fwlink/?linkid=870924
Comment:
    This total does not include the detail breakout shown above.</t>
      </text>
    </comment>
    <comment ref="D93" authorId="13" shapeId="0" xr:uid="{6160B074-5221-4D20-8A46-B8DE112F6730}">
      <text>
        <t>[Threaded comment]
Your version of Excel allows you to read this threaded comment; however, any edits to it will get removed if the file is opened in a newer version of Excel. Learn more: https://go.microsoft.com/fwlink/?linkid=870924
Comment:
    Borrowings (bond proceeds, capital lease balance) are not net income, but
like Net Income they may change the fund balance</t>
      </text>
    </comment>
    <comment ref="D95" authorId="14" shapeId="0" xr:uid="{D81F2086-D8C7-4FEF-A557-2513669E30DC}">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6" authorId="15" shapeId="0" xr:uid="{F5FBE767-41EE-42CC-B61D-40BD1B40E5FE}">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9" authorId="16" shapeId="0" xr:uid="{D764C28F-7392-4896-8432-C1BD663F5A28}">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114" authorId="17" shapeId="0" xr:uid="{BF827CE1-E0D5-4A41-AC33-4F05FA0F0810}">
      <text>
        <t>[Threaded comment]
Your version of Excel allows you to read this threaded comment; however, any edits to it will get removed if the file is opened in a newer version of Excel. Learn more: https://go.microsoft.com/fwlink/?linkid=870924
Comment:
    Source: Statement of Net Position for Accrual based figures</t>
      </text>
    </comment>
    <comment ref="D115" authorId="18" shapeId="0" xr:uid="{D3D3D0DD-E457-461D-99D3-FAFD6D4B48CA}">
      <text>
        <t>[Threaded comment]
Your version of Excel allows you to read this threaded comment; however, any edits to it will get removed if the file is opened in a newer version of Excel. Learn more: https://go.microsoft.com/fwlink/?linkid=870924
Comment:
    Includes committed, assigned and unassigned Fund Balance in Cash</t>
      </text>
    </comment>
    <comment ref="D116" authorId="19" shapeId="0" xr:uid="{CCD7618F-33E3-4329-861C-B9BC87D0850C}">
      <text>
        <t>[Threaded comment]
Your version of Excel allows you to read this threaded comment; however, any edits to it will get removed if the file is opened in a newer version of Excel. Learn more: https://go.microsoft.com/fwlink/?linkid=870924
Comment:
    Includes restricted and non spendable</t>
      </text>
    </comment>
    <comment ref="D118" authorId="20" shapeId="0" xr:uid="{B05B84E6-AD1B-44AD-9CF8-CD28C8499B41}">
      <text>
        <t>[Threaded comment]
Your version of Excel allows you to read this threaded comment; however, any edits to it will get removed if the file is opened in a newer version of Excel. Learn more: https://go.microsoft.com/fwlink/?linkid=870924
Comment:
    Other liquid assets, (includes restricted and non spendable?)</t>
      </text>
    </comment>
    <comment ref="D119" authorId="21" shapeId="0" xr:uid="{C36D1222-C8D7-4773-9447-1EE5A79832A4}">
      <text>
        <t>[Threaded comment]
Your version of Excel allows you to read this threaded comment; however, any edits to it will get removed if the file is opened in a newer version of Excel. Learn more: https://go.microsoft.com/fwlink/?linkid=870924
Comment:
    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
      </text>
    </comment>
    <comment ref="D128" authorId="22" shapeId="0" xr:uid="{2EF6650B-478F-45AC-8488-920858D382E1}">
      <text>
        <t>[Threaded comment]
Your version of Excel allows you to read this threaded comment; however, any edits to it will get removed if the file is opened in a newer version of Excel. Learn more: https://go.microsoft.com/fwlink/?linkid=870924
Comment:
    Source: Statement of Net Position</t>
      </text>
    </comment>
    <comment ref="D133" authorId="23" shapeId="0" xr:uid="{FC606374-F8DD-4108-BF46-277C3A8BE38C}">
      <text>
        <t>[Threaded comment]
Your version of Excel allows you to read this threaded comment; however, any edits to it will get removed if the file is opened in a newer version of Excel. Learn more: https://go.microsoft.com/fwlink/?linkid=870924
Comment:
    Fixed, capital and other non current assets</t>
      </text>
    </comment>
    <comment ref="D138" authorId="24" shapeId="0" xr:uid="{9FFB3B12-1544-40D9-958D-4779E7749ACA}">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0" authorId="25" shapeId="0" xr:uid="{B4855853-AEE4-4A76-917F-062A501F0687}">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2" authorId="26" shapeId="0" xr:uid="{6130FD02-39D3-4368-A866-A5C0F2A5D0E2}">
      <text>
        <t>[Threaded comment]
Your version of Excel allows you to read this threaded comment; however, any edits to it will get removed if the file is opened in a newer version of Excel. Learn more: https://go.microsoft.com/fwlink/?linkid=870924
Comment:
    Sources: Statement of Net Position for Accrual based figures</t>
      </text>
    </comment>
    <comment ref="D147" authorId="27" shapeId="0" xr:uid="{6FB96492-3895-47C8-ACA1-4775A5724239}">
      <text>
        <t>[Threaded comment]
Your version of Excel allows you to read this threaded comment; however, any edits to it will get removed if the file is opened in a newer version of Excel. Learn more: https://go.microsoft.com/fwlink/?linkid=870924
Comment:
    This figure will be included in the DSCR (Debt Service Coverage Ratio) as the Annual Principal part of the current portion of debt service.</t>
      </text>
    </comment>
    <comment ref="D148" authorId="28" shapeId="0" xr:uid="{1CCF4E3A-97D0-4F0C-B3F1-02E31D46296F}">
      <text>
        <t>[Threaded comment]
Your version of Excel allows you to read this threaded comment; however, any edits to it will get removed if the file is opened in a newer version of Excel. Learn more: https://go.microsoft.com/fwlink/?linkid=870924
Comment:
    Excludes (current) Annual Principal</t>
      </text>
    </comment>
    <comment ref="D153" authorId="29" shapeId="0" xr:uid="{5A1BC673-86C8-4B69-AF12-294879169A98}">
      <text>
        <t>[Threaded comment]
Your version of Excel allows you to read this threaded comment; however, any edits to it will get removed if the file is opened in a newer version of Excel. Learn more: https://go.microsoft.com/fwlink/?linkid=870924
Comment:
    Noncurrent portions</t>
      </text>
    </comment>
    <comment ref="D157" authorId="30" shapeId="0" xr:uid="{5A1F9388-6BA2-4832-A636-9827827CEBE5}">
      <text>
        <t xml:space="preserve">[Threaded comment]
Your version of Excel allows you to read this threaded comment; however, any edits to it will get removed if the file is opened in a newer version of Excel. Learn more: https://go.microsoft.com/fwlink/?linkid=870924
Comment:
    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
      </text>
    </comment>
    <comment ref="D159" authorId="31" shapeId="0" xr:uid="{B956B5D8-D6C2-48D3-BA19-495F736E00F1}">
      <text>
        <t>[Threaded comment]
Your version of Excel allows you to read this threaded comment; however, any edits to it will get removed if the file is opened in a newer version of Excel. Learn more: https://go.microsoft.com/fwlink/?linkid=870924
Comment:
    This line excludes bonds and pension liabilities.</t>
      </text>
    </comment>
    <comment ref="D163" authorId="32" shapeId="0" xr:uid="{A0E80373-DA3A-4C6E-98CF-2F2B71098BA6}">
      <text>
        <t>[Threaded comment]
Your version of Excel allows you to read this threaded comment; however, any edits to it will get removed if the file is opened in a newer version of Excel. Learn more: https://go.microsoft.com/fwlink/?linkid=870924
Comment:
    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5" authorId="33" shapeId="0" xr:uid="{3B28F732-7871-4595-A39C-F96037823978}">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6" authorId="34" shapeId="0" xr:uid="{E1F0B92A-4338-4CCD-A354-1F5BDB8D005E}">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82" authorId="35" shapeId="0" xr:uid="{6E7A36B7-E470-47E3-ABF5-9D9DB52B5C10}">
      <text>
        <t xml:space="preserve">[Threaded comment]
Your version of Excel allows you to read this threaded comment; however, any edits to it will get removed if the file is opened in a newer version of Excel. Learn more: https://go.microsoft.com/fwlink/?linkid=870924
Comment:
    E.g., Total Expense line may not tie to annual report due to GASB treatment of Capital Expenditures and Other Financing Sources (e.g., Capital Leases)
or
See attached comments from CFO/Auditor…
</t>
      </text>
    </comment>
    <comment ref="P194" authorId="36" shapeId="0" xr:uid="{8D516DA2-B76D-40AA-BD42-6FF36222AC10}">
      <text>
        <t>[Threaded comment]
Your version of Excel allows you to read this threaded comment; however, any edits to it will get removed if the file is opened in a newer version of Excel. Learn more: https://go.microsoft.com/fwlink/?linkid=870924
Comment:
    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
      </text>
    </comment>
    <comment ref="B195" authorId="37" shapeId="0" xr:uid="{8FB0F1CB-7550-4984-B838-41F2F3F4DADB}">
      <text>
        <t xml:space="preserve">[Threaded comment]
Your version of Excel allows you to read this threaded comment; however, any edits to it will get removed if the file is opened in a newer version of Excel. Learn more: https://go.microsoft.com/fwlink/?linkid=870924
Comment:
    These numbers point to the row this line is pulling data from for easy verification of input and calculations. </t>
      </text>
    </comment>
    <comment ref="D195" authorId="38" shapeId="0" xr:uid="{EEF88A48-2BA2-4CD8-ABA9-461F8B833776}">
      <text>
        <t>[Threaded comment]
Your version of Excel allows you to read this threaded comment; however, any edits to it will get removed if the file is opened in a newer version of Excel. Learn more: https://go.microsoft.com/fwlink/?linkid=870924
Comment:
    1. Operating vs. facility/bond/capital oriented.
2. 'Cash and cash equivalents, Marketable securities, Accounts receivable, Prepaid expenses, Inventory</t>
      </text>
    </comment>
    <comment ref="D205" authorId="39" shapeId="0" xr:uid="{1F9E233C-FF65-459E-BC31-54B201D5C46C}">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P205" authorId="40" shapeId="0" xr:uid="{DEDF1C8B-6C66-44A9-82F9-AC74543E08C4}">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07" authorId="41" shapeId="0" xr:uid="{21881F71-D08F-4B70-B53D-72A9DF7F1FFD}">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08" authorId="42" shapeId="0" xr:uid="{9DDB4C4B-2DC4-4C61-AF3F-46195EC07D9A}">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09" authorId="43" shapeId="0" xr:uid="{3A896750-4502-4AA5-8478-D8ABA6B9EBE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11" authorId="44" shapeId="0" xr:uid="{FAD6E8D0-EB82-4A56-B61F-39D2DB4D483F}">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D218" authorId="45" shapeId="0" xr:uid="{0063AFC9-9FDC-4CAA-9923-89974B3B2A3E}">
      <text>
        <t>[Threaded comment]
Your version of Excel allows you to read this threaded comment; however, any edits to it will get removed if the file is opened in a newer version of Excel. Learn more: https://go.microsoft.com/fwlink/?linkid=870924
Comment:
    This measure adds A/R.  This can add important information when scheduled government payments to the school may have been delayed but are highly likely to be received within a very short period of time from the relevant, instant year end.</t>
      </text>
    </comment>
    <comment ref="P218" authorId="46" shapeId="0" xr:uid="{8BC8C2A0-BB26-42D3-8E44-B3939D6FE69E}">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19" authorId="47" shapeId="0" xr:uid="{5265978B-105B-45BF-9594-E5B22EA7C2FD}">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D221" authorId="48" shapeId="0" xr:uid="{DC9596C0-6132-41E9-924A-4A47A7516640}">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22" authorId="49" shapeId="0" xr:uid="{2B35503D-E18C-4D16-A3A4-0936A5D32441}">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24" authorId="50" shapeId="0" xr:uid="{2ED45917-42E6-402D-9CAC-4B0F90A5F6D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26" authorId="51" shapeId="0" xr:uid="{601BE3D0-0922-44B0-9F70-AB7E4FCA4C80}">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P240" authorId="52" shapeId="0" xr:uid="{503B4693-9D63-4B98-9336-8EDDDCDCBBA5}">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 ref="D282" authorId="53" shapeId="0" xr:uid="{02CF319E-90FB-4226-9EC1-79BB3F7EB809}">
      <text>
        <t>[Threaded comment]
Your version of Excel allows you to read this threaded comment; however, any edits to it will get removed if the file is opened in a newer version of Excel. Learn more: https://go.microsoft.com/fwlink/?linkid=870924
Comment:
    Aka Net Income.  Do not include borrowings in Net Income.</t>
      </text>
    </comment>
    <comment ref="P282" authorId="54" shapeId="0" xr:uid="{BBFD4C95-C4C9-401A-A8CF-22651C01C513}">
      <text>
        <t xml:space="preserve">[Threaded comment]
Your version of Excel allows you to read this threaded comment; however, any edits to it will get removed if the file is opened in a newer version of Excel. Learn more: https://go.microsoft.com/fwlink/?linkid=870924
Comment:
    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
      </text>
    </comment>
    <comment ref="D283" authorId="55" shapeId="0" xr:uid="{B7E5CA85-6F5D-4411-9D73-71501D39BD4F}">
      <text>
        <t>[Threaded comment]
Your version of Excel allows you to read this threaded comment; however, any edits to it will get removed if the file is opened in a newer version of Excel. Learn more: https://go.microsoft.com/fwlink/?linkid=870924
Comment:
    Do not add borrowings to revenue or net income.  Do not count principal payments as expenses.</t>
      </text>
    </comment>
    <comment ref="D284" authorId="56" shapeId="0" xr:uid="{535E5536-FC56-4659-8AD0-E3D444E2226B}">
      <text>
        <t>[Threaded comment]
Your version of Excel allows you to read this threaded comment; however, any edits to it will get removed if the file is opened in a newer version of Excel. Learn more: https://go.microsoft.com/fwlink/?linkid=870924
Comment:
    Uses SPCSA baseline # decimal places, p 13.</t>
      </text>
    </comment>
    <comment ref="D290" authorId="57" shapeId="0" xr:uid="{01A5D7BB-E23D-4406-9B63-5B75F6404407}">
      <text>
        <t>[Threaded comment]
Your version of Excel allows you to read this threaded comment; however, any edits to it will get removed if the file is opened in a newer version of Excel. Learn more: https://go.microsoft.com/fwlink/?linkid=870924
Comment:
    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
      </text>
    </comment>
    <comment ref="D296" authorId="58" shapeId="0" xr:uid="{95811CE4-6005-4935-820C-8B258A433E6C}">
      <text>
        <t>[Threaded comment]
Your version of Excel allows you to read this threaded comment; however, any edits to it will get removed if the file is opened in a newer version of Excel. Learn more: https://go.microsoft.com/fwlink/?linkid=870924
Comment:
    Includes Capital Assets, bond issuance, facility, capital lease activity.</t>
      </text>
    </comment>
    <comment ref="P296" authorId="59" shapeId="0" xr:uid="{0DF9C7D3-EEE8-48EF-AB67-B62051911BCF}">
      <text>
        <t>[Threaded comment]
Your version of Excel allows you to read this threaded comment; however, any edits to it will get removed if the file is opened in a newer version of Excel. Learn more: https://go.microsoft.com/fwlink/?linkid=870924
Comment:
    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
      </text>
    </comment>
    <comment ref="D303" authorId="60" shapeId="0" xr:uid="{7DF9987E-6C4B-469B-908A-16AD58F44BCF}">
      <text>
        <t>[Threaded comment]
Your version of Excel allows you to read this threaded comment; however, any edits to it will get removed if the file is opened in a newer version of Excel. Learn more: https://go.microsoft.com/fwlink/?linkid=870924
Comment:
    Total "Operating" Liabilities (All non capital liabilities)(ST &amp; LT Liabilities)</t>
      </text>
    </comment>
    <comment ref="D304" authorId="61" shapeId="0" xr:uid="{DB89B4EC-15C7-4B85-9D53-08020EC25FEE}">
      <text>
        <t>[Threaded comment]
Your version of Excel allows you to read this threaded comment; however, any edits to it will get removed if the file is opened in a newer version of Excel. Learn more: https://go.microsoft.com/fwlink/?linkid=870924
Comment:
    Total "Operating" Assets</t>
      </text>
    </comment>
    <comment ref="D305" authorId="62" shapeId="0" xr:uid="{FC44B013-D5FD-494F-B31B-1433077214F9}">
      <text>
        <t>[Threaded comment]
Your version of Excel allows you to read this threaded comment; however, any edits to it will get removed if the file is opened in a newer version of Excel. Learn more: https://go.microsoft.com/fwlink/?linkid=870924
Comment:
    Excludes Capital Assets</t>
      </text>
    </comment>
    <comment ref="D311" authorId="63" shapeId="0" xr:uid="{601B84D7-24DA-46B4-973B-914D11CF95CF}">
      <text>
        <t>[Threaded comment]
Your version of Excel allows you to read this threaded comment; however, any edits to it will get removed if the file is opened in a newer version of Excel. Learn more: https://go.microsoft.com/fwlink/?linkid=870924
Comment:
    "[I]ncludes restricted and unrestricted funds."</t>
      </text>
    </comment>
    <comment ref="P311" authorId="64" shapeId="0" xr:uid="{7FCD745E-454A-42BA-8D6C-9A6B290D9E46}">
      <text>
        <t>[Threaded comment]
Your version of Excel allows you to read this threaded comment; however, any edits to it will get removed if the file is opened in a newer version of Excel. Learn more: https://go.microsoft.com/fwlink/?linkid=870924
Comment:
    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
      </text>
    </comment>
    <comment ref="D312" authorId="65" shapeId="0" xr:uid="{2AD78D4C-CEE7-431C-B39E-3986FE147149}">
      <text>
        <t>[Threaded comment]
Your version of Excel allows you to read this threaded comment; however, any edits to it will get removed if the file is opened in a newer version of Excel. Learn more: https://go.microsoft.com/fwlink/?linkid=870924
Comment:
    To be consistent with our focus on operations, bond  proceeds cash is not included in these amounts. 
Includes cash equivalents (Excludes bond proceeds)</t>
      </text>
    </comment>
    <comment ref="D313" authorId="66" shapeId="0" xr:uid="{980124F9-FAA1-4650-9678-AD631AF10EC1}">
      <text>
        <t>[Threaded comment]
Your version of Excel allows you to read this threaded comment; however, any edits to it will get removed if the file is opened in a newer version of Excel. Learn more: https://go.microsoft.com/fwlink/?linkid=870924
Comment:
    Y3-Y1 (rolling 3 year lookback)</t>
      </text>
    </comment>
    <comment ref="D314" authorId="67" shapeId="0" xr:uid="{546DFF76-CA63-4F28-8F88-AA2F2397E48A}">
      <text>
        <t>[Threaded comment]
Your version of Excel allows you to read this threaded comment; however, any edits to it will get removed if the file is opened in a newer version of Excel. Learn more: https://go.microsoft.com/fwlink/?linkid=870924
Comment:
    Y2-Y1 (rolling 1 year lookback)</t>
      </text>
    </comment>
    <comment ref="P321" authorId="68" shapeId="0" xr:uid="{7938D43F-6361-4D55-B3AE-BF681A84214C}">
      <text>
        <t>[Threaded comment]
Your version of Excel allows you to read this threaded comment; however, any edits to it will get removed if the file is opened in a newer version of Excel. Learn more: https://go.microsoft.com/fwlink/?linkid=870924
Comment:
    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
      </text>
    </comment>
    <comment ref="D328" authorId="69" shapeId="0" xr:uid="{9B1F396B-8A2B-44F8-AB60-74B5E8E89686}">
      <text>
        <t>[Threaded comment]
Your version of Excel allows you to read this threaded comment; however, any edits to it will get removed if the file is opened in a newer version of Excel. Learn more: https://go.microsoft.com/fwlink/?linkid=870924
Comment:
    Net Income before Depreciation, Interest Expense and Amortization, to derive net income cash available to cover fixed charges</t>
      </text>
    </comment>
    <comment ref="D331" authorId="70" shapeId="0" xr:uid="{66EB5305-7BEB-4AAD-A06E-A479F8A134ED}">
      <text>
        <t>[Threaded comment]
Your version of Excel allows you to read this threaded comment; however, any edits to it will get removed if the file is opened in a newer version of Excel. Learn more: https://go.microsoft.com/fwlink/?linkid=870924
Comment:
    Total Interest, including bond, capital, building, financing interest</t>
      </text>
    </comment>
    <comment ref="D336" authorId="71" shapeId="0" xr:uid="{F7F68BF0-AB4A-44FB-9F20-9EACBBB5733C}">
      <text>
        <t>[Threaded comment]
Your version of Excel allows you to read this threaded comment; however, any edits to it will get removed if the file is opened in a newer version of Excel. Learn more: https://go.microsoft.com/fwlink/?linkid=870924
Comment:
    Or Debt, Lease and other Fixed Charge Coverage Ratio</t>
      </text>
    </comment>
    <comment ref="D365" authorId="72" shapeId="0" xr:uid="{75594FC5-C4A4-4C79-BD10-ABB57AAFBF5A}">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D383" authorId="73" shapeId="0" xr:uid="{99961362-1BB4-4A7D-B24F-3DE09C251E50}">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P399" authorId="74" shapeId="0" xr:uid="{707DC854-63F4-46CF-A2E4-897B9E05C39F}">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tc={3C354C26-ABAF-4990-B105-01215F15C21A}</author>
    <author>tc={B6F42B41-A78D-412D-AF3D-9126A5E0D606}</author>
    <author>tc={60129E67-CD70-46E7-91DA-906463589E3F}</author>
    <author>tc={E0B74DCF-2136-4060-977D-5542CAFEBFAB}</author>
  </authors>
  <commentList>
    <comment ref="C9" authorId="0" shapeId="0" xr:uid="{3C354C26-ABAF-4990-B105-01215F15C21A}">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75" authorId="1" shapeId="0" xr:uid="{B6F42B41-A78D-412D-AF3D-9126A5E0D606}">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92" authorId="2" shapeId="0" xr:uid="{60129E67-CD70-46E7-91DA-906463589E3F}">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12" authorId="3" shapeId="0" xr:uid="{E0B74DCF-2136-4060-977D-5542CAFEBFAB}">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tc={87EFE0C2-FEF2-455B-9DF6-67099F02ADE0}</author>
    <author>tc={F01B7D95-1612-4E39-9CC5-6D2B6DA04B58}</author>
    <author>tc={FC7B4D31-52E5-4D8E-9CFD-7E893C787CAE}</author>
    <author>tc={3148EB90-8AD1-426D-8608-1AB43F281B40}</author>
  </authors>
  <commentList>
    <comment ref="B34" authorId="0" shapeId="0" xr:uid="{87EFE0C2-FEF2-455B-9DF6-67099F02ADE0}">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34" authorId="1" shapeId="0" xr:uid="{F01B7D95-1612-4E39-9CC5-6D2B6DA04B58}">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ref="B59" authorId="2" shapeId="0" xr:uid="{FC7B4D31-52E5-4D8E-9CFD-7E893C787CAE}">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59" authorId="3" shapeId="0" xr:uid="{3148EB90-8AD1-426D-8608-1AB43F281B40}">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tc={44638AEC-F4AF-481B-B482-D02A8E76DFE4}</author>
    <author>tc={ACFF2C00-C68D-444F-A86C-AF37774166CB}</author>
    <author>Michael Dang</author>
    <author>tc={FAF9EAF0-2408-4BEA-AA7F-D3ED4C6366EF}</author>
  </authors>
  <commentList>
    <comment ref="D12" authorId="0" shapeId="0" xr:uid="{44638AEC-F4AF-481B-B482-D02A8E76DFE4}">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40" authorId="1" shapeId="0" xr:uid="{ACFF2C00-C68D-444F-A86C-AF37774166CB}">
      <text>
        <t>[Threaded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ref="B53" authorId="2" shapeId="0" xr:uid="{DC8AFC5D-048B-412F-BF44-DE017AB625CB}">
      <text>
        <r>
          <rPr>
            <b/>
            <sz val="9"/>
            <color indexed="81"/>
            <rFont val="Tahoma"/>
            <family val="2"/>
          </rPr>
          <t>Michael Dang:</t>
        </r>
        <r>
          <rPr>
            <sz val="9"/>
            <color indexed="81"/>
            <rFont val="Tahoma"/>
            <family val="2"/>
          </rPr>
          <t xml:space="preserve">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66" authorId="2" shapeId="0" xr:uid="{075072D7-1F02-47A7-BD95-A0F8BA18552D}">
      <text>
        <r>
          <rPr>
            <b/>
            <sz val="9"/>
            <color indexed="81"/>
            <rFont val="Tahoma"/>
            <family val="2"/>
          </rPr>
          <t>Michael Dang:</t>
        </r>
        <r>
          <rPr>
            <sz val="9"/>
            <color indexed="81"/>
            <rFont val="Tahoma"/>
            <family val="2"/>
          </rPr>
          <t xml:space="preserve">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r>
      </text>
    </comment>
    <comment ref="C66" authorId="2" shapeId="0" xr:uid="{FA66FC41-B36F-464F-9741-76ACC3602D08}">
      <text>
        <r>
          <rPr>
            <b/>
            <sz val="9"/>
            <color indexed="81"/>
            <rFont val="Tahoma"/>
            <family val="2"/>
          </rPr>
          <t>Michael Dang:</t>
        </r>
        <r>
          <rPr>
            <sz val="9"/>
            <color indexed="81"/>
            <rFont val="Tahoma"/>
            <family val="2"/>
          </rPr>
          <t xml:space="preserve">
This may go over 100% as it is showing an estimate of overlap which is addressed in the rest of the table.</t>
        </r>
      </text>
    </comment>
    <comment ref="B69" authorId="2" shapeId="0" xr:uid="{DD99A304-AFD3-46B6-99BB-E37B5E465AA6}">
      <text>
        <r>
          <rPr>
            <b/>
            <sz val="9"/>
            <color indexed="81"/>
            <rFont val="Tahoma"/>
            <family val="2"/>
          </rPr>
          <t>Michael Dang:</t>
        </r>
        <r>
          <rPr>
            <sz val="9"/>
            <color indexed="81"/>
            <rFont val="Tahoma"/>
            <family val="2"/>
          </rPr>
          <t xml:space="preserve">
Greater accuracy will reduce over/under payments and payment adjustments.</t>
        </r>
      </text>
    </comment>
    <comment ref="G69" authorId="2" shapeId="0" xr:uid="{0B227838-9E1F-4DA8-8C79-53638C9D3969}">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69" authorId="2" shapeId="0" xr:uid="{28C64F2D-F642-4E4A-9321-562E0FD7215C}">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69" authorId="2" shapeId="0" xr:uid="{A03D6292-4CD8-425F-84F7-3E8CD631FAB2}">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69" authorId="2" shapeId="0" xr:uid="{335308CC-334B-47E5-8109-4F66B9C8010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69" authorId="2" shapeId="0" xr:uid="{15DFF793-ACF4-46B5-A925-F0CED6634203}">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69" authorId="2" shapeId="0" xr:uid="{59568439-FAD3-4BF8-B674-0EF8D0EC5FA0}">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1" authorId="2" shapeId="0" xr:uid="{E22956E8-248D-445B-81CB-A561E06FF142}">
      <text>
        <r>
          <rPr>
            <b/>
            <sz val="9"/>
            <color indexed="81"/>
            <rFont val="Tahoma"/>
            <family val="2"/>
          </rPr>
          <t>Michael Dang:</t>
        </r>
        <r>
          <rPr>
            <sz val="9"/>
            <color indexed="81"/>
            <rFont val="Tahoma"/>
            <family val="2"/>
          </rPr>
          <t xml:space="preserve">
The same Per Pupil Revenue (PPR) amount is now paid for all Distance Education students--regardless of the county/district they are in.
All other applications should select the appropriate District/County where they will be conducting In Person teaching.</t>
        </r>
      </text>
    </comment>
    <comment ref="D77" authorId="2" shapeId="0" xr:uid="{ED5522CE-D02D-4F14-9BFD-A8BA72F86A70}">
      <text>
        <r>
          <rPr>
            <b/>
            <sz val="9"/>
            <color indexed="81"/>
            <rFont val="Tahoma"/>
            <family val="2"/>
          </rPr>
          <t>Michael Dang:</t>
        </r>
        <r>
          <rPr>
            <sz val="9"/>
            <color indexed="81"/>
            <rFont val="Tahoma"/>
            <family val="2"/>
          </rPr>
          <t xml:space="preserve">
$3,694 PP w/o inflation, replaces
$2,755.30 per pupil (subject to change depending on actual enrollment of SPED students) 
SPED FY22 Payment Book- 7.6.21</t>
        </r>
      </text>
    </comment>
    <comment ref="C94" authorId="3" shapeId="0" xr:uid="{FAF9EAF0-2408-4BEA-AA7F-D3ED4C6366EF}">
      <text>
        <t>[Threaded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ref="C95" authorId="2" shapeId="0" xr:uid="{655FEEE1-A29D-46F5-8BD8-E22F00691222}">
      <text>
        <r>
          <rPr>
            <b/>
            <sz val="9"/>
            <color indexed="81"/>
            <rFont val="Tahoma"/>
            <family val="2"/>
          </rPr>
          <t>Michael Dang:</t>
        </r>
        <r>
          <rPr>
            <sz val="9"/>
            <color indexed="81"/>
            <rFont val="Tahoma"/>
            <family val="2"/>
          </rPr>
          <t xml:space="preserve">
RF 8/26/21 em @ $65</t>
        </r>
      </text>
    </comment>
    <comment ref="C96" authorId="2" shapeId="0" xr:uid="{965DF9B5-B015-406B-BAEE-50B6FD7CDEC9}">
      <text>
        <r>
          <rPr>
            <b/>
            <sz val="9"/>
            <color indexed="81"/>
            <rFont val="Tahoma"/>
            <family val="2"/>
          </rPr>
          <t>Michael Dang:</t>
        </r>
        <r>
          <rPr>
            <sz val="9"/>
            <color indexed="81"/>
            <rFont val="Tahoma"/>
            <family val="2"/>
          </rPr>
          <t xml:space="preserve">
RF 8/26/21 em @ $4</t>
        </r>
      </text>
    </comment>
    <comment ref="C97" authorId="2" shapeId="0" xr:uid="{0794F888-8B59-4A49-8CA2-7E9B36E377C7}">
      <text>
        <r>
          <rPr>
            <b/>
            <sz val="9"/>
            <color indexed="81"/>
            <rFont val="Tahoma"/>
            <family val="2"/>
          </rPr>
          <t>Michael Dang:</t>
        </r>
        <r>
          <rPr>
            <sz val="9"/>
            <color indexed="81"/>
            <rFont val="Tahoma"/>
            <family val="2"/>
          </rPr>
          <t xml:space="preserve">
RF 8/26/21 em @ $97</t>
        </r>
      </text>
    </comment>
    <comment ref="C99" authorId="2" shapeId="0" xr:uid="{AA4CB46E-B200-4282-8A51-A1F18223DFAD}">
      <text>
        <r>
          <rPr>
            <b/>
            <sz val="9"/>
            <color indexed="81"/>
            <rFont val="Tahoma"/>
            <family val="2"/>
          </rPr>
          <t>Michael Dang:</t>
        </r>
        <r>
          <rPr>
            <sz val="9"/>
            <color indexed="81"/>
            <rFont val="Tahoma"/>
            <family val="2"/>
          </rPr>
          <t xml:space="preserve">
8/26/2021 
IDEA SPED-B @ $1005/Special Education Student</t>
        </r>
      </text>
    </comment>
    <comment ref="B130" authorId="2" shapeId="0" xr:uid="{AEEF8039-F5E1-4EB1-9FAE-D7CD9ED76A31}">
      <text>
        <r>
          <rPr>
            <b/>
            <sz val="9"/>
            <color indexed="81"/>
            <rFont val="Tahoma"/>
            <family val="2"/>
          </rPr>
          <t>Michael Dang:</t>
        </r>
        <r>
          <rPr>
            <sz val="9"/>
            <color indexed="81"/>
            <rFont val="Tahoma"/>
            <family val="2"/>
          </rPr>
          <t xml:space="preserve">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2" authorId="2" shapeId="0" xr:uid="{1BCAFEDB-8703-449A-8D78-FC6F5EDC1D44}">
      <text>
        <r>
          <rPr>
            <b/>
            <sz val="9"/>
            <color indexed="81"/>
            <rFont val="Tahoma"/>
            <family val="2"/>
          </rPr>
          <t>Michael Dang:</t>
        </r>
        <r>
          <rPr>
            <sz val="9"/>
            <color indexed="81"/>
            <rFont val="Tahoma"/>
            <family val="2"/>
          </rPr>
          <t xml:space="preserve">
State Education Agency grant program (SEA grants)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tc={428C169F-7646-4CB0-B350-6B3997D0EBEC}</author>
    <author>tc={BDF6EB88-3B12-45EF-B31B-51448D1C1895}</author>
    <author>tc={CC4CE2D3-F1FC-4593-8BE0-D7109E7EAC25}</author>
    <author>tc={747F349B-9CDE-4C7C-8445-7504F225BB0C}</author>
    <author>tc={5F5A5891-0F7E-438F-98FE-D46B19DAAF7A}</author>
    <author>tc={E1B0AABC-FE85-4305-BCDA-D864236FBEFC}</author>
    <author>tc={105A4EF2-9C02-45A7-B312-9628B5927DF1}</author>
    <author>tc={5FEA338C-255D-43F8-9B7C-705D98B58B85}</author>
  </authors>
  <commentList>
    <comment ref="B17" authorId="0" shapeId="0" xr:uid="{428C169F-7646-4CB0-B350-6B3997D0EBEC}">
      <text>
        <t>[Threaded comment]
Your version of Excel allows you to read this threaded comment; however, any edits to it will get removed if the file is opened in a newer version of Excel. Learn more: https://go.microsoft.com/fwlink/?linkid=870924
Comment:
    lines changed to align with profile tab</t>
      </text>
    </comment>
    <comment ref="F17" authorId="1" shapeId="0" xr:uid="{BDF6EB88-3B12-45EF-B31B-51448D1C1895}">
      <text>
        <t>[Threaded comment]
Your version of Excel allows you to read this threaded comment; however, any edits to it will get removed if the file is opened in a newer version of Excel. Learn more: https://go.microsoft.com/fwlink/?linkid=870924
Comment:
    =(B14/4)*0.75 used to reflect not getting full amount in Q1 but getting balance of payments equally for remaining quarters--for those on a quarterly payment plan.
Reply:
    Typically paid ~ 0.75~ of estimate and then the 0.25 is made up over the rest of the year.  See Sage formula; based on enrollment count in May.</t>
      </text>
    </comment>
    <comment ref="I17" authorId="2" shapeId="0" xr:uid="{CC4CE2D3-F1FC-4593-8BE0-D7109E7EAC25}">
      <text>
        <t>[Threaded comment]
Your version of Excel allows you to read this threaded comment; however, any edits to it will get removed if the file is opened in a newer version of Excel. Learn more: https://go.microsoft.com/fwlink/?linkid=870924
Comment:
    used to reflect getting balance of payments equally for remaining quarters--for those on a quarterly payment plan.</t>
      </text>
    </comment>
    <comment ref="B39" authorId="3" shapeId="0" xr:uid="{747F349B-9CDE-4C7C-8445-7504F225BB0C}">
      <text>
        <t>[Threaded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text>
    </comment>
    <comment ref="E39" authorId="4" shapeId="0" xr:uid="{5F5A5891-0F7E-438F-98FE-D46B19DAAF7A}">
      <text>
        <t>[Threaded comment]
Your version of Excel allows you to read this threaded comment; however, any edits to it will get removed if the file is opened in a newer version of Excel. Learn more: https://go.microsoft.com/fwlink/?linkid=870924
Comment:
    conditional formatting added</t>
      </text>
    </comment>
    <comment ref="B86" authorId="5" shapeId="0" xr:uid="{E1B0AABC-FE85-4305-BCDA-D864236FBEFC}">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08" authorId="6" shapeId="0" xr:uid="{105A4EF2-9C02-45A7-B312-9628B5927DF1}">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30" authorId="7" shapeId="0" xr:uid="{5FEA338C-255D-43F8-9B7C-705D98B58B85}">
      <text>
        <t>[Threaded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tc={5A0A3B32-63B9-42AC-8F5E-76D6B93E179E}</author>
    <author>tc={3FB75770-6A7E-41E4-989A-899F878C4E99}</author>
    <author>tc={9FA39296-9023-4041-80FE-8575CCE2873E}</author>
    <author>Michael Dang</author>
    <author>tc={D1F6324D-8682-456C-9C83-BF47E7B5D48E}</author>
  </authors>
  <commentList>
    <comment ref="B60" authorId="0" shapeId="0" xr:uid="{5A0A3B32-63B9-42AC-8F5E-76D6B93E179E}">
      <text>
        <t xml:space="preserve">[Threaded comment]
Your version of Excel allows you to read this threaded comment; however, any edits to it will get removed if the file is opened in a newer version of Excel. Learn more: https://go.microsoft.com/fwlink/?linkid=870924
Comment: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
      </text>
    </comment>
    <comment ref="C62" authorId="1" shapeId="0" xr:uid="{3FB75770-6A7E-41E4-989A-899F878C4E99}">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ref="G140" authorId="2" shapeId="0" xr:uid="{9FA39296-9023-4041-80FE-8575CCE2873E}">
      <text>
        <t>[Threaded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ref="B394" authorId="3" shapeId="0" xr:uid="{14AC2698-762C-4ABE-A80D-71FA3654B7A1}">
      <text>
        <r>
          <rPr>
            <b/>
            <sz val="9"/>
            <color indexed="81"/>
            <rFont val="Tahoma"/>
            <family val="2"/>
          </rPr>
          <t>Michael Dang:</t>
        </r>
        <r>
          <rPr>
            <sz val="9"/>
            <color indexed="81"/>
            <rFont val="Tahoma"/>
            <family val="2"/>
          </rPr>
          <t xml:space="preserve">
This inflation formula is an estimator.  It provides a simple estimated inflation amount for alll salaries.  It is applied to the salaries for the one year in question--whether or not the salaries for that year have received any due inflation from the prior year.  In other words, there is no compound inflation being applied so the total inflation and salary expenses would be slightly higher w/adjusted fliers.  
In other words, there is no compounded salary increase for a staff who was there the prior year or more.    
This model allows direct or manual data entry into data cells.  Consequently, at this time we don't want the model to appear too complex.  That said, the "error" from not using compounded inflation should be minor.  For one thing, we're modeling only for a six year contract. And </t>
        </r>
      </text>
    </comment>
    <comment ref="B427" authorId="4" shapeId="0" xr:uid="{D1F6324D-8682-456C-9C83-BF47E7B5D48E}">
      <text>
        <t>[Threaded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tc={8EDDD725-5C94-46C0-924D-C11E83DCC10F}</author>
    <author>Michael Dang</author>
    <author>tc={049FD8B7-A556-4458-B741-9CE337C84F58}</author>
    <author>tc={7EE94EAF-B192-4E48-A3B1-248D938F898C}</author>
    <author>tc={DBC2E7CB-2685-404F-A07E-01603B5F45EF}</author>
    <author>tc={4D20B39F-CCD5-40F6-88A7-DA908090EB1A}</author>
    <author>tc={21BECB29-E1AE-4A1A-B3D7-3382A184FF5F}</author>
    <author>tc={CCEB1454-32E8-49D9-8901-DA3D297336F2}</author>
    <author>tc={37ECE0C7-2DF0-4069-83FB-34611AA80C80}</author>
    <author>tc={FEAE4CC4-5BE1-46EA-B674-1643248BBC0F}</author>
    <author>tc={E09D1AC0-CF29-4CCB-8732-58DCF484386E}</author>
    <author>tc={5A1E9927-B689-4F2F-9FDF-9AC411BA394B}</author>
    <author>tc={8B4CE012-06EE-44EF-B9A4-70A151D8CD64}</author>
    <author>tc={4A77444D-2667-414A-ACA6-5CACB9E7392C}</author>
    <author>tc={C044C3D4-0587-448F-AE58-11BAA9E73751}</author>
    <author>tc={CE06D8D1-4B55-4EF4-8B14-2444C8B0CA22}</author>
  </authors>
  <commentList>
    <comment ref="C9" authorId="0" shapeId="0" xr:uid="{8EDDD725-5C94-46C0-924D-C11E83DCC10F}">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F23" authorId="1" shapeId="0" xr:uid="{8705AAFD-D26B-499A-8B54-E198BD1DF8E0}">
      <text>
        <r>
          <rPr>
            <b/>
            <sz val="9"/>
            <color indexed="81"/>
            <rFont val="Tahoma"/>
            <family val="2"/>
          </rPr>
          <t>Michael Dang:</t>
        </r>
        <r>
          <rPr>
            <sz val="9"/>
            <color indexed="81"/>
            <rFont val="Tahoma"/>
            <family val="2"/>
          </rPr>
          <t xml:space="preserve">
Overwrite this with the actual lease rate likely for a new occupancy and partial year.</t>
        </r>
      </text>
    </comment>
    <comment ref="F40" authorId="2" shapeId="0" xr:uid="{049FD8B7-A556-4458-B741-9CE337C84F58}">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G40" authorId="3" shapeId="0" xr:uid="{7EE94EAF-B192-4E48-A3B1-248D938F898C}">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F41" authorId="4" shapeId="0" xr:uid="{DBC2E7CB-2685-404F-A07E-01603B5F45E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41" authorId="5" shapeId="0" xr:uid="{4D20B39F-CCD5-40F6-88A7-DA908090EB1A}">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H41" authorId="6" shapeId="0" xr:uid="{21BECB29-E1AE-4A1A-B3D7-3382A184FF5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I41" authorId="7" shapeId="0" xr:uid="{CCEB1454-32E8-49D9-8901-DA3D297336F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J41" authorId="8" shapeId="0" xr:uid="{37ECE0C7-2DF0-4069-83FB-34611AA80C80}">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K41" authorId="9" shapeId="0" xr:uid="{FEAE4CC4-5BE1-46EA-B674-1643248BBC0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L41" authorId="10" shapeId="0" xr:uid="{E09D1AC0-CF29-4CCB-8732-58DCF484386E}">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1" authorId="11" shapeId="0" xr:uid="{5A1E9927-B689-4F2F-9FDF-9AC411BA394B}">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71" authorId="12" shapeId="0" xr:uid="{8B4CE012-06EE-44EF-B9A4-70A151D8CD64}">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2" authorId="13" shapeId="0" xr:uid="{4A77444D-2667-414A-ACA6-5CACB9E7392C}">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G72" authorId="14" shapeId="0" xr:uid="{C044C3D4-0587-448F-AE58-11BAA9E73751}">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F76" authorId="15" shapeId="0" xr:uid="{CE06D8D1-4B55-4EF4-8B14-2444C8B0CA2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tc={88D99629-9430-4799-888B-536E1B48C1B0}</author>
    <author>tc={B7BA76B9-72DC-4B51-84FC-DCB653FB95D7}</author>
    <author>tc={9A98AA4F-1C78-4B0C-ADC0-E55A5537B0DC}</author>
    <author>tc={B89FAE20-3CE4-47C1-AE62-E249220CB33F}</author>
    <author>tc={8B1027DD-1690-4078-BE4E-8CCE2602C947}</author>
    <author>tc={081B3B9E-102C-4FB3-AD68-C0B3B1CBEAFF}</author>
    <author>Michael Dang</author>
  </authors>
  <commentList>
    <comment ref="D12" authorId="0" shapeId="0" xr:uid="{88D99629-9430-4799-888B-536E1B48C1B0}">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66" authorId="1" shapeId="0" xr:uid="{B7BA76B9-72DC-4B51-84FC-DCB653FB95D7}">
      <text>
        <t>[Threaded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ref="D146" authorId="2" shapeId="0" xr:uid="{9A98AA4F-1C78-4B0C-ADC0-E55A5537B0DC}">
      <text>
        <t>[Threaded comment]
Your version of Excel allows you to read this threaded comment; however, any edits to it will get removed if the file is opened in a newer version of Excel. Learn more: https://go.microsoft.com/fwlink/?linkid=870924
Comment:
    Per student</t>
      </text>
    </comment>
    <comment ref="D147" authorId="3" shapeId="0" xr:uid="{B89FAE20-3CE4-47C1-AE62-E249220CB33F}">
      <text>
        <t>[Threaded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ref="D148" authorId="4" shapeId="0" xr:uid="{8B1027DD-1690-4078-BE4E-8CCE2602C947}">
      <text>
        <t>[Threaded comment]
Your version of Excel allows you to read this threaded comment; however, any edits to it will get removed if the file is opened in a newer version of Excel. Learn more: https://go.microsoft.com/fwlink/?linkid=870924
Comment:
    Per student</t>
      </text>
    </comment>
    <comment ref="D149" authorId="5" shapeId="0" xr:uid="{081B3B9E-102C-4FB3-AD68-C0B3B1CBEAFF}">
      <text>
        <t>[Threaded comment]
Your version of Excel allows you to read this threaded comment; however, any edits to it will get removed if the file is opened in a newer version of Excel. Learn more: https://go.microsoft.com/fwlink/?linkid=870924
Comment:
    Input "yes or "no"</t>
      </text>
    </comment>
    <comment ref="B194" authorId="6" shapeId="0" xr:uid="{7954B7BE-38F5-487C-9CDD-27658195CBA1}">
      <text>
        <r>
          <rPr>
            <b/>
            <sz val="9"/>
            <color indexed="81"/>
            <rFont val="Tahoma"/>
            <family val="2"/>
          </rPr>
          <t>Michael Dang:</t>
        </r>
        <r>
          <rPr>
            <sz val="9"/>
            <color indexed="81"/>
            <rFont val="Tahoma"/>
            <family val="2"/>
          </rPr>
          <t xml:space="preserve">
Current formula assumes costs above are entered at today's costs and this formula will inflate those costs for future years.
Otherwise we would want to use this formula, starting in G121:
=SUM(G119,G110,G102)*$C$121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tc={F988B70B-290B-4766-ABAF-6F3E355164A9}</author>
    <author>tc={3FF9201C-DBC8-4F22-A8BB-367D4D170A1D}</author>
  </authors>
  <commentList>
    <comment ref="C13" authorId="0" shapeId="0" xr:uid="{F988B70B-290B-4766-ABAF-6F3E355164A9}">
      <text>
        <t>[Threaded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ref="C18" authorId="1" shapeId="0" xr:uid="{3FF9201C-DBC8-4F22-A8BB-367D4D170A1D}">
      <text>
        <t>[Threaded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<sst xmlns="http://schemas.openxmlformats.org/spreadsheetml/2006/main" count="4046" uniqueCount="2070">
  <si>
    <t>Instructions</t>
  </si>
  <si>
    <t>Mike Dang, 702.486.8879</t>
  </si>
  <si>
    <t>TOC</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</si>
  <si>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</si>
  <si>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</si>
  <si>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</si>
  <si>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</si>
  <si>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Summary tab</t>
  </si>
  <si>
    <t>No entry needed on this tab</t>
  </si>
  <si>
    <t>Market tab</t>
  </si>
  <si>
    <t>Use this tab to show your target market, planned enrollments and potential demand and demographics of the "feeder" schools in your  planned service area.</t>
  </si>
  <si>
    <t>Enrol &amp; Rev tab</t>
  </si>
  <si>
    <t>Basic Information</t>
  </si>
  <si>
    <r>
      <rPr>
        <b/>
        <sz val="11"/>
        <color indexed="8"/>
        <rFont val="Calibri"/>
        <family val="2"/>
      </rPr>
      <t>1.</t>
    </r>
    <r>
      <rPr>
        <sz val="11"/>
        <color theme="1"/>
        <rFont val="Calibri"/>
        <family val="2"/>
        <scheme val="minor"/>
      </rPr>
      <t xml:space="preserve"> Please enter a Base Year into 'H2'. Additionally, please enter the appropriate school years in cells H5 through N5 as well as H6 through N6.</t>
    </r>
  </si>
  <si>
    <r>
      <rPr>
        <b/>
        <sz val="11"/>
        <color indexed="8"/>
        <rFont val="Calibri"/>
        <family val="2"/>
      </rPr>
      <t>2.</t>
    </r>
    <r>
      <rPr>
        <sz val="11"/>
        <color theme="1"/>
        <rFont val="Calibri"/>
        <family val="2"/>
        <scheme val="minor"/>
      </rPr>
      <t xml:space="preserve"> Next, be sure to enter your projected student enrollment in the enrollment section. This section caputres the number of students by grade level (Rows 7-21) and by school year (Columns H-N). </t>
    </r>
  </si>
  <si>
    <r>
      <rPr>
        <b/>
        <sz val="11"/>
        <color indexed="8"/>
        <rFont val="Calibri"/>
        <family val="2"/>
      </rPr>
      <t>3.</t>
    </r>
    <r>
      <rPr>
        <sz val="11"/>
        <color theme="1"/>
        <rFont val="Calibri"/>
        <family val="2"/>
        <scheme val="minor"/>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</si>
  <si>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</si>
  <si>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</si>
  <si>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</si>
  <si>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</si>
  <si>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</si>
  <si>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</si>
  <si>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</si>
  <si>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</si>
  <si>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</si>
  <si>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</si>
  <si>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</si>
  <si>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</si>
  <si>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</si>
  <si>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indexed="8"/>
        <rFont val="Calibri"/>
        <family val="2"/>
      </rPr>
      <t>1.</t>
    </r>
    <r>
      <rPr>
        <sz val="11"/>
        <color theme="1"/>
        <rFont val="Calibri"/>
        <family val="2"/>
        <scheme val="minor"/>
      </rPr>
      <t xml:space="preserve"> Enter the average medical benefits for employees with both single and family coverage into cells 'F62' and 'F63'. </t>
    </r>
  </si>
  <si>
    <r>
      <rPr>
        <b/>
        <sz val="11"/>
        <color indexed="8"/>
        <rFont val="Calibri"/>
        <family val="2"/>
      </rPr>
      <t>2.</t>
    </r>
    <r>
      <rPr>
        <sz val="11"/>
        <color theme="1"/>
        <rFont val="Calibri"/>
        <family val="2"/>
        <scheme val="minor"/>
      </rPr>
      <t xml:space="preserve"> Second, enter the school's percentage of coverage.</t>
    </r>
  </si>
  <si>
    <r>
      <rPr>
        <b/>
        <sz val="11"/>
        <color indexed="8"/>
        <rFont val="Calibri"/>
        <family val="2"/>
      </rPr>
      <t>3.</t>
    </r>
    <r>
      <rPr>
        <sz val="11"/>
        <color theme="1"/>
        <rFont val="Calibri"/>
        <family val="2"/>
        <scheme val="minor"/>
      </rPr>
      <t xml:space="preserve"> Enter the assumed percentage of employees choosing single for their health benefits.</t>
    </r>
  </si>
  <si>
    <r>
      <rPr>
        <b/>
        <sz val="11"/>
        <color indexed="8"/>
        <rFont val="Calibri"/>
        <family val="2"/>
      </rPr>
      <t xml:space="preserve">4. </t>
    </r>
    <r>
      <rPr>
        <sz val="11"/>
        <color theme="1"/>
        <rFont val="Calibri"/>
        <family val="2"/>
        <scheme val="minor"/>
      </rPr>
      <t>Enter the percentage of your employee's salaries that will be allocated to FICA, State Retirement for Certified Employees, State Retirement for Non-Certified Employees and Life Insurance.</t>
    </r>
  </si>
  <si>
    <r>
      <rPr>
        <b/>
        <sz val="11"/>
        <color indexed="8"/>
        <rFont val="Calibri"/>
        <family val="2"/>
      </rPr>
      <t>5.</t>
    </r>
    <r>
      <rPr>
        <sz val="11"/>
        <color theme="1"/>
        <rFont val="Calibri"/>
        <family val="2"/>
        <scheme val="minor"/>
      </rPr>
      <t xml:space="preserve"> Enter any per-employee expenses associated with GASB 45 and Unemployment Insurance.</t>
    </r>
  </si>
  <si>
    <r>
      <rPr>
        <b/>
        <sz val="11"/>
        <color indexed="8"/>
        <rFont val="Calibri"/>
        <family val="2"/>
      </rPr>
      <t>6.</t>
    </r>
    <r>
      <rPr>
        <sz val="11"/>
        <color theme="1"/>
        <rFont val="Calibri"/>
        <family val="2"/>
        <scheme val="minor"/>
      </rPr>
      <t xml:space="preserve"> Payroll services are accounted for as a dollar value on a per employee/per month basis.</t>
    </r>
  </si>
  <si>
    <r>
      <rPr>
        <b/>
        <sz val="11"/>
        <color indexed="8"/>
        <rFont val="Calibri"/>
        <family val="2"/>
      </rPr>
      <t>7.</t>
    </r>
    <r>
      <rPr>
        <sz val="11"/>
        <color theme="1"/>
        <rFont val="Calibri"/>
        <family val="2"/>
        <scheme val="minor"/>
      </rPr>
      <t xml:space="preserve"> Any bonuses should be input and will be calculated as a percentage of salaried employees. </t>
    </r>
  </si>
  <si>
    <r>
      <rPr>
        <b/>
        <sz val="11"/>
        <color indexed="8"/>
        <rFont val="Calibri"/>
        <family val="2"/>
      </rPr>
      <t>8.</t>
    </r>
    <r>
      <rPr>
        <sz val="11"/>
        <color theme="1"/>
        <rFont val="Calibri"/>
        <family val="2"/>
        <scheme val="minor"/>
      </rPr>
      <t xml:space="preserve"> Be sure to enter your school's instructional days per year (required) as well as the Saturday schools per year, contractors required for Saturday school and price per contractor (if necessary).</t>
    </r>
  </si>
  <si>
    <r>
      <rPr>
        <b/>
        <sz val="11"/>
        <color indexed="8"/>
        <rFont val="Calibri"/>
        <family val="2"/>
      </rPr>
      <t>9.</t>
    </r>
    <r>
      <rPr>
        <sz val="11"/>
        <color theme="1"/>
        <rFont val="Calibri"/>
        <family val="2"/>
        <scheme val="minor"/>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</si>
  <si>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indexed="8"/>
        <rFont val="Calibri"/>
        <family val="2"/>
      </rPr>
      <t>10.</t>
    </r>
    <r>
      <rPr>
        <sz val="11"/>
        <color theme="1"/>
        <rFont val="Calibri"/>
        <family val="2"/>
        <scheme val="minor"/>
      </rPr>
      <t xml:space="preserve"> For part-Time employees simply enter the average salary for each respective position and enter the number of employees per year. </t>
    </r>
  </si>
  <si>
    <r>
      <rPr>
        <b/>
        <sz val="11"/>
        <color indexed="8"/>
        <rFont val="Calibri"/>
        <family val="2"/>
      </rPr>
      <t>11.</t>
    </r>
    <r>
      <rPr>
        <sz val="11"/>
        <color theme="1"/>
        <rFont val="Calibri"/>
        <family val="2"/>
        <scheme val="minor"/>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</si>
  <si>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</si>
  <si>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</si>
  <si>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</si>
  <si>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indexed="8"/>
        <rFont val="Calibri"/>
        <family val="2"/>
      </rPr>
      <t>1.</t>
    </r>
    <r>
      <rPr>
        <sz val="11"/>
        <color theme="1"/>
        <rFont val="Calibri"/>
        <family val="2"/>
        <scheme val="minor"/>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</si>
  <si>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indexed="8"/>
        <rFont val="Calibri"/>
        <family val="2"/>
      </rPr>
      <t>2.</t>
    </r>
    <r>
      <rPr>
        <sz val="11"/>
        <color theme="1"/>
        <rFont val="Calibri"/>
        <family val="2"/>
        <scheme val="minor"/>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</si>
  <si>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</si>
  <si>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Facilities tab</t>
  </si>
  <si>
    <t>Complete either the Lease or the Purchase section.</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</si>
  <si>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</si>
  <si>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</si>
  <si>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</si>
  <si>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FFE&amp;T (Furniture, Fixtures, Equipment &amp; Technology) tab</t>
  </si>
  <si>
    <t>See "Note FFE" tab for a note regarding the depreciation approach used in this model.</t>
  </si>
  <si>
    <t>Marketing tab</t>
  </si>
  <si>
    <t>Use this tab to show your marketing plan to reach your target market.</t>
  </si>
  <si>
    <t>This tab differs from the Market tab. This  focuses not on where your pupils will come from but on marketing expenses to reach them.</t>
  </si>
  <si>
    <t>Insurance tab</t>
  </si>
  <si>
    <t>Use this tab to show your insurance plan/budget. Note legal insurance requirements</t>
  </si>
  <si>
    <t>Incubation tab (Pre-Approval, Pre-Opening)</t>
  </si>
  <si>
    <t>EMO-CMO tab</t>
  </si>
  <si>
    <t>Use this tab to show your plan/budget -- if you use a EMO/CMO.</t>
  </si>
  <si>
    <t>Cashflow Year 1 tab</t>
  </si>
  <si>
    <t>Use this tab to "spread" your year 1 expenses out on a monthly basis.</t>
  </si>
  <si>
    <t>DSA Rates tab</t>
  </si>
  <si>
    <t>FYI</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</si>
  <si>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</si>
  <si>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</si>
  <si>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</si>
  <si>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t>
  </si>
  <si>
    <t>Questions?  Contact:</t>
  </si>
  <si>
    <t xml:space="preserve">Michael Hutchins, 775.687.9239, M.Hutchins@spcsa.nv.gov  </t>
  </si>
  <si>
    <t>Application Cover Sheet</t>
  </si>
  <si>
    <t>Mike Dang</t>
  </si>
  <si>
    <t>702.486.8879</t>
  </si>
  <si>
    <t>Proposed Name of School</t>
  </si>
  <si>
    <t>ABC Academy</t>
  </si>
  <si>
    <t xml:space="preserve">Planned school year starting in August </t>
  </si>
  <si>
    <t>School Year Ending (SYE)</t>
  </si>
  <si>
    <t>Name of lead contact(s)</t>
  </si>
  <si>
    <t>Phone number</t>
  </si>
  <si>
    <t xml:space="preserve">  email address</t>
  </si>
  <si>
    <t>Test</t>
  </si>
  <si>
    <t>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</si>
  <si>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</si>
  <si>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</si>
  <si>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</si>
  <si>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</si>
  <si>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</si>
  <si>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</si>
  <si>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</si>
  <si>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</si>
  <si>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Complete?</t>
  </si>
  <si>
    <t>/Applicant</t>
  </si>
  <si>
    <t>/SPCSA</t>
  </si>
  <si>
    <t>TOC Notes</t>
  </si>
  <si>
    <t>Comments (Applicant/SPCSA) (Not in print range)</t>
  </si>
  <si>
    <t>NA</t>
  </si>
  <si>
    <t>Key Profile Information</t>
  </si>
  <si>
    <t>Beginning School Year entered on Cover Page?</t>
  </si>
  <si>
    <t>Summary and Summary of Key Statistics</t>
  </si>
  <si>
    <t>Market (Potential Students Populations)</t>
  </si>
  <si>
    <t>Revenue &amp; Enrollment</t>
  </si>
  <si>
    <t>Staff</t>
  </si>
  <si>
    <t>Expenses: Staff</t>
  </si>
  <si>
    <t>Expenses: General Operating</t>
  </si>
  <si>
    <t>Facilities</t>
  </si>
  <si>
    <t>Expenses: Facility Lease/Purchase</t>
  </si>
  <si>
    <t>FFE&amp;T</t>
  </si>
  <si>
    <t>Expenses: Furniture, Fixtures, Equipment &amp; Technology</t>
  </si>
  <si>
    <t>Expenses: Insurance</t>
  </si>
  <si>
    <t>Marketing</t>
  </si>
  <si>
    <t>Expenses: Marketing Plan &amp; Implementation</t>
  </si>
  <si>
    <t>EMO-CMO</t>
  </si>
  <si>
    <t>Expenses: Year One--Month to Month</t>
  </si>
  <si>
    <t>Worksheet which may help calculate Facilities costs (Not required)</t>
  </si>
  <si>
    <t>PCFP Rates</t>
  </si>
  <si>
    <t>Applicable Per Pupil Revenue estimates (No completion required)</t>
  </si>
  <si>
    <t>Select Summary Data (Not required, information only)</t>
  </si>
  <si>
    <t xml:space="preserve">  </t>
  </si>
  <si>
    <t>Totals/Max'/Avg</t>
  </si>
  <si>
    <t>Number of Students</t>
  </si>
  <si>
    <t>Number of Employees (FTE)</t>
  </si>
  <si>
    <t>REVENUE</t>
  </si>
  <si>
    <t>Total</t>
  </si>
  <si>
    <t>Avg/yr(1-6)</t>
  </si>
  <si>
    <t>%AvTot</t>
  </si>
  <si>
    <t>PCFP Revenue</t>
  </si>
  <si>
    <t>Title I</t>
  </si>
  <si>
    <t>Title IIA</t>
  </si>
  <si>
    <t>Title III</t>
  </si>
  <si>
    <t>Title IV</t>
  </si>
  <si>
    <t>Federal Breakfast Program</t>
  </si>
  <si>
    <t>Federal Lunch Program</t>
  </si>
  <si>
    <t>IDEA</t>
  </si>
  <si>
    <t>State Special Education Funding</t>
  </si>
  <si>
    <t>"Replication &amp; Expansion" start-up funds</t>
  </si>
  <si>
    <t>Other start-up funds (incl' SEA grants)</t>
  </si>
  <si>
    <t>Student fees</t>
  </si>
  <si>
    <t>Food Services</t>
  </si>
  <si>
    <t>Transportation</t>
  </si>
  <si>
    <t>Investment Income</t>
  </si>
  <si>
    <t>School level fundraising</t>
  </si>
  <si>
    <t>Private fundraising (foundations, corporate)</t>
  </si>
  <si>
    <t>Private fundraising (individuals)</t>
  </si>
  <si>
    <t>Total PCFP Revenue PP</t>
  </si>
  <si>
    <t>EXPENSES</t>
  </si>
  <si>
    <t xml:space="preserve">Personnel </t>
  </si>
  <si>
    <t>General Operating Expenses</t>
  </si>
  <si>
    <t>EMO Payments</t>
  </si>
  <si>
    <t>Insurance</t>
  </si>
  <si>
    <t>TOTAL EXPENSES</t>
  </si>
  <si>
    <t>SURPLUS/(DEFICIT)/Period</t>
  </si>
  <si>
    <t>The school operates only with a surplus</t>
  </si>
  <si>
    <t xml:space="preserve">     Per student</t>
  </si>
  <si>
    <t>SURPLUS/(DEFICIT)(Cumu'; capital rqt)</t>
  </si>
  <si>
    <t>Acts as a temporary estimator of cash fund balance</t>
  </si>
  <si>
    <t xml:space="preserve">    Reserves </t>
  </si>
  <si>
    <t>Total Debt Service</t>
  </si>
  <si>
    <t>SURPLUS/(DEFICIT) After Debt Service &amp; Reserves</t>
  </si>
  <si>
    <t xml:space="preserve">Surplus/(Deficit)-Schl &amp; Pri' Fundraising-S Fees </t>
  </si>
  <si>
    <t>Surplus/(Deficit) (Cumu')</t>
  </si>
  <si>
    <t>KEY STATISTICS</t>
  </si>
  <si>
    <t xml:space="preserve">   # students &gt; Bkeven</t>
  </si>
  <si>
    <t xml:space="preserve">   % students &gt; Bkeven</t>
  </si>
  <si>
    <t>Ending Fund Balance (cumulative)</t>
  </si>
  <si>
    <t>Cumulative Reserve/Expense</t>
  </si>
  <si>
    <t>Number of Employees</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</si>
  <si>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</si>
  <si>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</si>
  <si>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</si>
  <si>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</si>
  <si>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</si>
  <si>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</si>
  <si>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</si>
  <si>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</si>
  <si>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</si>
  <si>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</si>
  <si>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</si>
  <si>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</si>
  <si>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</si>
  <si>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</si>
  <si>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</si>
  <si>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</si>
  <si>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</si>
  <si>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</si>
  <si>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</si>
  <si>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</si>
  <si>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</si>
  <si>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</si>
  <si>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</si>
  <si>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</si>
  <si>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</si>
  <si>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</si>
  <si>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PERCENT TOTAL REVENUE</t>
  </si>
  <si>
    <t>R&amp;E start-up funds</t>
  </si>
  <si>
    <t>Other start-up funds</t>
  </si>
  <si>
    <t>TOTAL REVENUE</t>
  </si>
  <si>
    <t>Other Pre-approval &amp; Pre-Opening</t>
  </si>
  <si>
    <t>SURPLUS/(DEFICIT)</t>
  </si>
  <si>
    <t>Ending Fund Balance (Estimator)</t>
  </si>
  <si>
    <t>PER PUPIL (AVERAGES)</t>
  </si>
  <si>
    <t>(Avg y1-6)</t>
  </si>
  <si>
    <t>SURPLUS/(DEFICIT) Per Pupil</t>
  </si>
  <si>
    <t>Location(s) under consideration:</t>
  </si>
  <si>
    <t>Site 1</t>
  </si>
  <si>
    <t>Specific address recommended but not required.</t>
  </si>
  <si>
    <t>SY 0/Incu</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</si>
  <si>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</si>
  <si>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</si>
  <si>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</si>
  <si>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</si>
  <si>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</si>
  <si>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</si>
  <si>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</si>
  <si>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</si>
  <si>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</si>
  <si>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</si>
  <si>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</si>
  <si>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</si>
  <si>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</si>
  <si>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</si>
  <si>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</si>
  <si>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</si>
  <si>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</si>
  <si>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</si>
  <si>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</si>
  <si>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</si>
  <si>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</si>
  <si>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</si>
  <si>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NSPF Rtg</t>
  </si>
  <si>
    <t>Grade
Level(s)</t>
  </si>
  <si>
    <t xml:space="preserve">
Enrollment</t>
  </si>
  <si>
    <t>Distance fr school (mi)</t>
  </si>
  <si>
    <t>This section enables staff to understand the market depth in the area you are considering locating your school.</t>
  </si>
  <si>
    <t>Sample nearby school (Overwrite this)</t>
  </si>
  <si>
    <t>Include all schools, not just 1 and 2 star schools</t>
  </si>
  <si>
    <t>School 2</t>
  </si>
  <si>
    <t>School 3</t>
  </si>
  <si>
    <t>List all schools from where it is reasonable that students could come from, whether or not they are 1 or 2 star schools</t>
  </si>
  <si>
    <t>The Ethnicity and Special Populations sections have been removed as new schools are approved for areas of demonstrated need.</t>
  </si>
  <si>
    <t>If you have narrowed your site to one location you do not need to fill
out this section.</t>
  </si>
  <si>
    <t>Enrollment &amp; Revenue</t>
  </si>
  <si>
    <t>School Year 1 (Fall Start) Teaching Starts</t>
  </si>
  <si>
    <t>SY Ending</t>
  </si>
  <si>
    <t>Totals</t>
  </si>
  <si>
    <t>Be sure to copy year 1 information from the Cashflow Worksheet</t>
  </si>
  <si>
    <t>Number of Students per Classroom (Goal)</t>
  </si>
  <si>
    <t>Number of classrooms calculated (Estimate)</t>
  </si>
  <si>
    <t>Number of classrooms (Planned)</t>
  </si>
  <si>
    <t>Student / Classroom, calculated</t>
  </si>
  <si>
    <t xml:space="preserve">   Target Reenrollment (NRS 388A.273)</t>
  </si>
  <si>
    <t xml:space="preserve">  Estimated # students to newly enroll (above reenrollment)</t>
  </si>
  <si>
    <t>Add'l Funding Wts</t>
  </si>
  <si>
    <t>English Language Learners (ELL)</t>
  </si>
  <si>
    <t>Gifted &amp; Talented (GATE)</t>
  </si>
  <si>
    <t>At Risk (AR, fka FRL)</t>
  </si>
  <si>
    <t>County (In Person) / Distance Ed</t>
  </si>
  <si>
    <t>Clark</t>
  </si>
  <si>
    <t xml:space="preserve"> &lt;--Select base PCFP payment category here</t>
  </si>
  <si>
    <t>General support only (All students)</t>
  </si>
  <si>
    <t>Statewide Base Per Pupil</t>
  </si>
  <si>
    <t>At Risk (% of students)</t>
  </si>
  <si>
    <t>ELL (% of students)</t>
  </si>
  <si>
    <t>Special Education (% of students) (contact staff if &gt;25% SPED)</t>
  </si>
  <si>
    <t>Special Education (# of students)</t>
  </si>
  <si>
    <t>Total Distributive School Account, including local 
revenue (funding per student)</t>
  </si>
  <si>
    <t>Base year</t>
  </si>
  <si>
    <t>Inflation adjustor (% per year)</t>
  </si>
  <si>
    <t>Applies to PCFP and Sponsorship fee</t>
  </si>
  <si>
    <t>Special Education (SPED) Weighted Funding</t>
  </si>
  <si>
    <t>Per student (Placeholder $3,000 6.28.21)</t>
  </si>
  <si>
    <t>PCFP Sponsorship Fee</t>
  </si>
  <si>
    <t>Title IA</t>
  </si>
  <si>
    <t>Per ELL student</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</si>
  <si>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</si>
  <si>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</si>
  <si>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</si>
  <si>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</si>
  <si>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</si>
  <si>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</si>
  <si>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</si>
  <si>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</si>
  <si>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</si>
  <si>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</si>
  <si>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</si>
  <si>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PPR</t>
  </si>
  <si>
    <t>Inflation adjustor</t>
  </si>
  <si>
    <t>DSA Funding</t>
  </si>
  <si>
    <t>DSA Sponsorship Fee</t>
  </si>
  <si>
    <t>Schools may earn federal revenues in year 1 but not receive it until year 2; plan accordingly</t>
  </si>
  <si>
    <t xml:space="preserve">Federal Lunch Program </t>
  </si>
  <si>
    <t>State SPED Funding</t>
  </si>
  <si>
    <t>SpEd revenue set for prior year SpEd count; Y6 would be received in Y7 (aka Y1 of a renewal)</t>
  </si>
  <si>
    <t>Start-up funds (Federal Replication &amp; Expansion already awarded to operator--not SEA grant)</t>
  </si>
  <si>
    <t>School level fundraising w/supporting documentation</t>
  </si>
  <si>
    <t>Food Services Revenue</t>
  </si>
  <si>
    <t>Transportation Funding</t>
  </si>
  <si>
    <t>Year 1 Cash Flow Worksheet</t>
  </si>
  <si>
    <t>Fall</t>
  </si>
  <si>
    <t>School Operations Year 1</t>
  </si>
  <si>
    <t xml:space="preserve">Winter, Spring  </t>
  </si>
  <si>
    <t>(This is a year 1 budget.  It is not a pre-opening budget)</t>
  </si>
  <si>
    <t>Sponsorship Fee</t>
  </si>
  <si>
    <t>For those on a quarterly payment plan, the E14 formula of =(B14/4)*0.75 reflects not getting full amount in Q1.  Balance received equally thereafter.</t>
  </si>
  <si>
    <t>(Carry over totals and input to appropriate worksheets)</t>
  </si>
  <si>
    <t>From</t>
  </si>
  <si>
    <t>SY1 Ending</t>
  </si>
  <si>
    <t>Projected</t>
  </si>
  <si>
    <t>Enrol tab</t>
  </si>
  <si>
    <t>Variance</t>
  </si>
  <si>
    <t>July</t>
  </si>
  <si>
    <t>August</t>
  </si>
  <si>
    <t>September</t>
  </si>
  <si>
    <t>October</t>
  </si>
  <si>
    <t>November</t>
  </si>
  <si>
    <t>December</t>
  </si>
  <si>
    <t>January</t>
  </si>
  <si>
    <t>February</t>
  </si>
  <si>
    <t>March</t>
  </si>
  <si>
    <t>April</t>
  </si>
  <si>
    <t xml:space="preserve">May </t>
  </si>
  <si>
    <t>June</t>
  </si>
  <si>
    <t>Comments (out of print range)</t>
  </si>
  <si>
    <t>Mo</t>
  </si>
  <si>
    <t>BOM</t>
  </si>
  <si>
    <t>Days</t>
  </si>
  <si>
    <t>REVENUES</t>
  </si>
  <si>
    <t>If your enrollment is large enough, NDE may pay you on a monthly</t>
  </si>
  <si>
    <t>CS Sponsorship Fee @ 0.0125</t>
  </si>
  <si>
    <t>basis instead of a quarterly basis.</t>
  </si>
  <si>
    <t>Charter Start up funds</t>
  </si>
  <si>
    <t>Other start-up grant funds</t>
  </si>
  <si>
    <t>Student Fees</t>
  </si>
  <si>
    <t>Private Fundraising (w/Ltr of Support)</t>
  </si>
  <si>
    <t>Fundraising Donations (w/Ltr of Support)</t>
  </si>
  <si>
    <t>Total Revenues</t>
  </si>
  <si>
    <t>Total Revenues Y-T-D</t>
  </si>
  <si>
    <t>% Revenue YTD</t>
  </si>
  <si>
    <t>OPERATING EXPENDITURES &amp; OTHER CASH OUTLAYS</t>
  </si>
  <si>
    <t>Personnel</t>
  </si>
  <si>
    <t>Instructional Supplies</t>
  </si>
  <si>
    <t>Contract Services</t>
  </si>
  <si>
    <t>Food &amp; Transportation Program</t>
  </si>
  <si>
    <t>Athletics</t>
  </si>
  <si>
    <t>General Optg Exp' Inflation</t>
  </si>
  <si>
    <t>Campus (Lease/Mortgage)</t>
  </si>
  <si>
    <t>Security Deposits (Site Lease)</t>
  </si>
  <si>
    <t>Total Expenditures</t>
  </si>
  <si>
    <t>Net Surplus (Deficit)</t>
  </si>
  <si>
    <t>Net Surplus (Deficit) Check</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</si>
  <si>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</si>
  <si>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</si>
  <si>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</si>
  <si>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</si>
  <si>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</si>
  <si>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</si>
  <si>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</si>
  <si>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</si>
  <si>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</si>
  <si>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</si>
  <si>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</si>
  <si>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Net change in cash from financing</t>
  </si>
  <si>
    <t>Projected Cash Balance Statement</t>
  </si>
  <si>
    <t>Cash (operations &amp; financing)</t>
  </si>
  <si>
    <t>Begin Cash Balance(F/B)</t>
  </si>
  <si>
    <t>End Cash Balance (F/B)</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</si>
  <si>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</si>
  <si>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</si>
  <si>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</si>
  <si>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</si>
  <si>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</si>
  <si>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</si>
  <si>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</si>
  <si>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</si>
  <si>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</si>
  <si>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</si>
  <si>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</si>
  <si>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</si>
  <si>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</si>
  <si>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</si>
  <si>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</si>
  <si>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</si>
  <si>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</si>
  <si>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</si>
  <si>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</si>
  <si>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 of available cash at start of month</t>
  </si>
  <si>
    <t>% of available cash at end of month</t>
  </si>
  <si>
    <t>Net change in Cash from operations</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</si>
  <si>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</si>
  <si>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</si>
  <si>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</si>
  <si>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</si>
  <si>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</si>
  <si>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</si>
  <si>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</si>
  <si>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</si>
  <si>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FTE - Administrators</t>
  </si>
  <si>
    <t>FTE - Office</t>
  </si>
  <si>
    <t>FTE - SPED Teachers</t>
  </si>
  <si>
    <t>FTE - ELL Teachers</t>
  </si>
  <si>
    <t>FTE - Guidance Counselors &amp; Other</t>
  </si>
  <si>
    <t>FTE - Grade Level Teachers</t>
  </si>
  <si>
    <t xml:space="preserve">   FTE - Total </t>
  </si>
  <si>
    <t>Part-Time Staff w/o benefits (FTE count)</t>
  </si>
  <si>
    <t>Avg (no SY 0)</t>
  </si>
  <si>
    <t>Enrollment</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</si>
  <si>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</si>
  <si>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</si>
  <si>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</si>
  <si>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</si>
  <si>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</si>
  <si>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</si>
  <si>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</si>
  <si>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</si>
  <si>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</si>
  <si>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</si>
  <si>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</si>
  <si>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</si>
  <si>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</si>
  <si>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</si>
  <si>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</si>
  <si>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</si>
  <si>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</si>
  <si>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</si>
  <si>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</si>
  <si>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</si>
  <si>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phoneticPr fontId="7" type="noConversion"/>
  </si>
  <si>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</si>
  <si>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</si>
  <si>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</si>
  <si>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</si>
  <si>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</si>
  <si>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</si>
  <si>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</si>
  <si>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</si>
  <si>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</si>
  <si>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</si>
  <si>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</si>
  <si>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</si>
  <si>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</si>
  <si>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</si>
  <si>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</si>
  <si>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</si>
  <si>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</si>
  <si>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</si>
  <si>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</si>
  <si>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</si>
  <si>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</si>
  <si>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</si>
  <si>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</si>
  <si>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</si>
  <si>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FTE Count</t>
  </si>
  <si>
    <t>You can overwrite input area formulas with your formula or lump sum amounts.</t>
  </si>
  <si>
    <t>Administrators (Full-time &amp; Part-Time w/benefits)</t>
  </si>
  <si>
    <t>If you do, explain your approach below.</t>
  </si>
  <si>
    <t>Principal</t>
  </si>
  <si>
    <t>Vice Principal</t>
  </si>
  <si>
    <t>year</t>
  </si>
  <si>
    <t>Admin 4</t>
  </si>
  <si>
    <t>Admin 5</t>
  </si>
  <si>
    <t xml:space="preserve">Total Administrators </t>
  </si>
  <si>
    <t>Office Staff (Full-time &amp; Part-Time w/benefits)</t>
  </si>
  <si>
    <t>Office Manager</t>
  </si>
  <si>
    <t>Office 4</t>
  </si>
  <si>
    <t>Total Administrators and Office Staff</t>
  </si>
  <si>
    <t>Special Education (SPED) Teachers (Full-time &amp; Part-Time w/benefits)</t>
  </si>
  <si>
    <t>Special Education Director 1</t>
  </si>
  <si>
    <t>Special Education Coordinator 2</t>
  </si>
  <si>
    <t>Special Education Coordinator 4</t>
  </si>
  <si>
    <t>Special Education Coordinator 5</t>
  </si>
  <si>
    <t>SPED Specialist Assistant 6</t>
  </si>
  <si>
    <t>SPED Specialist Assistant 7</t>
  </si>
  <si>
    <t>Total Special EducationTeachers</t>
  </si>
  <si>
    <t>English Language Learner (ELL) Teachers (Full-time &amp; Part-Time w/benefits)</t>
  </si>
  <si>
    <t>ELL Teacher/Reading Specialist</t>
  </si>
  <si>
    <t>Total ELL Teachers</t>
  </si>
  <si>
    <t>Nurse</t>
  </si>
  <si>
    <t>Guidance Counselor</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</si>
  <si>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</si>
  <si>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</si>
  <si>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</si>
  <si>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</si>
  <si>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</si>
  <si>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</si>
  <si>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</si>
  <si>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</si>
  <si>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</si>
  <si>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</si>
  <si>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</si>
  <si>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</si>
  <si>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</si>
  <si>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</si>
  <si>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</si>
  <si>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</si>
  <si>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</si>
  <si>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</si>
  <si>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</si>
  <si>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</si>
  <si>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</si>
  <si>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</si>
  <si>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</si>
  <si>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</si>
  <si>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</si>
  <si>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</si>
  <si>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</si>
  <si>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</si>
  <si>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</si>
  <si>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</si>
  <si>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</si>
  <si>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Total Medical Benefits</t>
  </si>
  <si>
    <t>Total FICA</t>
  </si>
  <si>
    <t>State Retirement (PERS-Required)</t>
  </si>
  <si>
    <t>TOTAL STATE RETIREMENT COSTS</t>
  </si>
  <si>
    <t>TOTAL LIFE INSURANCE</t>
  </si>
  <si>
    <t>GASB 45</t>
  </si>
  <si>
    <t>Total GASB 45</t>
  </si>
  <si>
    <t>Unuemployment Insurance</t>
  </si>
  <si>
    <t>TOTAL UNEMPLOYMENT INSURANCE</t>
  </si>
  <si>
    <t>Workers' Compensation Insurance</t>
  </si>
  <si>
    <t>Total Workers' Comp</t>
  </si>
  <si>
    <t>TOTAL BENEFITS</t>
  </si>
  <si>
    <t xml:space="preserve">     % of Salaries</t>
  </si>
  <si>
    <t>Part-Time Employees (w/o benefits)</t>
  </si>
  <si>
    <t xml:space="preserve">     Annualized salary</t>
  </si>
  <si>
    <t xml:space="preserve">     Count of PTE (FTE equivalence)</t>
  </si>
  <si>
    <t>PART TIME WAGES</t>
  </si>
  <si>
    <t>Total Part-Time Employees (w/o benefits)(FTE Count)</t>
  </si>
  <si>
    <t>PAYROLL SERVICES</t>
  </si>
  <si>
    <t>PERSONNEL (W/PAYROLL)</t>
  </si>
  <si>
    <t xml:space="preserve">General Operating &amp; Transp' Expenses </t>
  </si>
  <si>
    <t>SY 0/Incubation</t>
  </si>
  <si>
    <t>Fall, Winter</t>
  </si>
  <si>
    <t>Be sure year 1 information below matches with your Year 1 Cashflow Worksheet totals</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</si>
  <si>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</si>
  <si>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</si>
  <si>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</si>
  <si>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</si>
  <si>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</si>
  <si>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</si>
  <si>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</si>
  <si>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</si>
  <si>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</si>
  <si>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</si>
  <si>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</si>
  <si>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GENERAL OPERATING EXPENSES</t>
  </si>
  <si>
    <t>Instruction</t>
  </si>
  <si>
    <t>Assumptions</t>
  </si>
  <si>
    <t>Professional development</t>
  </si>
  <si>
    <t>Per FTE</t>
  </si>
  <si>
    <t>Staff recruitment</t>
  </si>
  <si>
    <t>Per Year</t>
    <phoneticPr fontId="7" type="noConversion"/>
  </si>
  <si>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</si>
  <si>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</si>
  <si>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</si>
  <si>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</si>
  <si>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</si>
  <si>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</si>
  <si>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</si>
  <si>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</si>
  <si>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</si>
  <si>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</si>
  <si>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</si>
  <si>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</si>
  <si>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</si>
  <si>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</si>
  <si>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</si>
  <si>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</si>
  <si>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</si>
  <si>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</si>
  <si>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</si>
  <si>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</si>
  <si>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</si>
  <si>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</si>
  <si>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</si>
  <si>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</si>
  <si>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</si>
  <si>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</si>
  <si>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</si>
  <si>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</si>
  <si>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</si>
  <si>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</si>
  <si>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</si>
  <si>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</si>
  <si>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</si>
  <si>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</si>
  <si>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</si>
  <si>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</si>
  <si>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</si>
  <si>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</si>
  <si>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</si>
  <si>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</si>
  <si>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</si>
  <si>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</si>
  <si>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</si>
  <si>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</si>
  <si>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</si>
  <si>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</si>
  <si>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</si>
  <si>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</si>
  <si>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</si>
  <si>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</si>
  <si>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</si>
  <si>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</si>
  <si>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Annual audit</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</si>
  <si>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</si>
  <si>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</si>
  <si>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</si>
  <si>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</si>
  <si>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</si>
  <si>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</si>
  <si>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</si>
  <si>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</si>
  <si>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</si>
  <si>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</si>
  <si>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transported</t>
  </si>
  <si>
    <t>Students per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</si>
  <si>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</si>
  <si>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</si>
  <si>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</si>
  <si>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</si>
  <si>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</si>
  <si>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</si>
  <si>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</si>
  <si>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</si>
  <si>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</si>
  <si>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</si>
  <si>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phoneticPr fontId="7" type="noConversion"/>
  </si>
  <si>
    <t>annual</t>
  </si>
  <si>
    <t>Number of students participating</t>
  </si>
  <si>
    <t>Number of buses required</t>
  </si>
  <si>
    <t>Bus purchasing costs</t>
  </si>
  <si>
    <t>Fuel costs</t>
  </si>
  <si>
    <t>Maintenance costs</t>
  </si>
  <si>
    <t>TOTAL TRANSPORTATION COSTS</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</si>
  <si>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</si>
  <si>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</si>
  <si>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</si>
  <si>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</si>
  <si>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</si>
  <si>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</si>
  <si>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</si>
  <si>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</si>
  <si>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</si>
  <si>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</si>
  <si>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</si>
  <si>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</si>
  <si>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</si>
  <si>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</si>
  <si>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</si>
  <si>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Potential location(s) under consideration: (Address or cross street, City, County)</t>
  </si>
  <si>
    <t>FACILITIES</t>
  </si>
  <si>
    <t>SELECT "Purchase" or "Lease"</t>
  </si>
  <si>
    <t>Lease</t>
  </si>
  <si>
    <t>LEASE OPTION</t>
  </si>
  <si>
    <t>SF/pupil</t>
  </si>
  <si>
    <t>Lease area (conditioned space)(sq ft)</t>
  </si>
  <si>
    <t>Some firms may charge above market rents but provide waivers for</t>
  </si>
  <si>
    <t xml:space="preserve">a select number of months but base annual rent increases on the </t>
  </si>
  <si>
    <t>full base rent.  Schools should be mindful of such leases to avoid</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</si>
  <si>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</si>
  <si>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</si>
  <si>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</si>
  <si>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</si>
  <si>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</si>
  <si>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</si>
  <si>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</si>
  <si>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</si>
  <si>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</si>
  <si>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</si>
  <si>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</si>
  <si>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</si>
  <si>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</si>
  <si>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</si>
  <si>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</si>
  <si>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</si>
  <si>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</si>
  <si>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</si>
  <si>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</si>
  <si>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</si>
  <si>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</si>
  <si>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</si>
  <si>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</si>
  <si>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</si>
  <si>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</si>
  <si>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</si>
  <si>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</si>
  <si>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</si>
  <si>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</si>
  <si>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</si>
  <si>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</si>
  <si>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</si>
  <si>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</si>
  <si>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</si>
  <si>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</si>
  <si>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</si>
  <si>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</si>
  <si>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</si>
  <si>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</si>
  <si>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</si>
  <si>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</si>
  <si>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</si>
  <si>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</si>
  <si>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</si>
  <si>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</si>
  <si>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</si>
  <si>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</si>
  <si>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</si>
  <si>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</si>
  <si>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</si>
  <si>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</si>
  <si>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</si>
  <si>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</si>
  <si>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</si>
  <si>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</si>
  <si>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</si>
  <si>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</si>
  <si>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1</t>
  </si>
  <si>
    <t>SY 2</t>
  </si>
  <si>
    <t>SY 3</t>
  </si>
  <si>
    <t>SY 4</t>
  </si>
  <si>
    <t>SY 5</t>
  </si>
  <si>
    <t>SY 6</t>
  </si>
  <si>
    <t>Square Feet</t>
  </si>
  <si>
    <t>Furnishings, Fixtures, Equipment 
&amp; Technology (FFE&amp;T)</t>
  </si>
  <si>
    <t>Comments (Applicant/SPCSA) (Not in print range)(Explain formula overrides)</t>
  </si>
  <si>
    <t>Student enrollment</t>
  </si>
  <si>
    <t>FTE Total (PT not incl)</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</si>
  <si>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</si>
  <si>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</si>
  <si>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</si>
  <si>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</si>
  <si>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</si>
  <si>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</si>
  <si>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</si>
  <si>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</si>
  <si>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</si>
  <si>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</si>
  <si>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</si>
  <si>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</si>
  <si>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</si>
  <si>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</si>
  <si>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</si>
  <si>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</si>
  <si>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</si>
  <si>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</si>
  <si>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</si>
  <si>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</si>
  <si>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</si>
  <si>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</si>
  <si>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</si>
  <si>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</si>
  <si>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</si>
  <si>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</si>
  <si>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</si>
  <si>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</si>
  <si>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</si>
  <si>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TOTAL FFE &amp; T COSTS 
(book expense, e.g., full accrual)</t>
  </si>
  <si>
    <t>Comments (Row #, you can include calculations in this workspace area; you can also insert Comments in cells above)</t>
  </si>
  <si>
    <t>Total Enrollment</t>
  </si>
  <si>
    <t>Rev per student</t>
  </si>
  <si>
    <t>Total FFE&amp;T</t>
  </si>
  <si>
    <t>FFE&amp;T per Student</t>
  </si>
  <si>
    <t>Net Surplus after FFE&amp;T</t>
  </si>
  <si>
    <t>Net Surplus after FFE&amp;T per Student</t>
  </si>
  <si>
    <t>Insurance Coverage</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</si>
  <si>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</si>
  <si>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</si>
  <si>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</si>
  <si>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</si>
  <si>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</si>
  <si>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</si>
  <si>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</si>
  <si>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</si>
  <si>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</si>
  <si>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</si>
  <si>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</si>
  <si>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Indicate below if required coverages are included, e.g., "in (c)"</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</si>
  <si>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</si>
  <si>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</si>
  <si>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</si>
  <si>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</si>
  <si>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</si>
  <si>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</si>
  <si>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</si>
  <si>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</si>
  <si>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</si>
  <si>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</si>
  <si>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</si>
  <si>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</si>
  <si>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</si>
  <si>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</si>
  <si>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</si>
  <si>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</si>
  <si>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</si>
  <si>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</si>
  <si>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</si>
  <si>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</si>
  <si>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</si>
  <si>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</si>
  <si>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</si>
  <si>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</si>
  <si>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</si>
  <si>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</si>
  <si>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</si>
  <si>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Total Insurance Expense b4 Inflation</t>
  </si>
  <si>
    <t>Inflation</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</si>
  <si>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</si>
  <si>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</si>
  <si>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</si>
  <si>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Charter Contract Operations Term</t>
  </si>
  <si>
    <t>SY 0</t>
  </si>
  <si>
    <t>STUDENT RECRUITMENT AND MARKETING</t>
  </si>
  <si>
    <t>Marketing/Recruitment Method</t>
  </si>
  <si>
    <t>Schedule estimate</t>
  </si>
  <si>
    <t>Total Cost</t>
  </si>
  <si>
    <t>Nevada State Public Charter School Authority</t>
  </si>
  <si>
    <t>Sample items below (erase at will)</t>
  </si>
  <si>
    <t>Research and Planning</t>
  </si>
  <si>
    <t>Market Research</t>
  </si>
  <si>
    <t>Public meeting with hosting</t>
  </si>
  <si>
    <t>Curriculum Development</t>
  </si>
  <si>
    <t>Application Costs Consultants:</t>
  </si>
  <si>
    <t>Charter application</t>
  </si>
  <si>
    <t>Staff Recruitment/Hiring</t>
  </si>
  <si>
    <t>Board Recruitment and Screening</t>
  </si>
  <si>
    <t>Website Development</t>
  </si>
  <si>
    <t>Brochures/Information</t>
  </si>
  <si>
    <t>Admissions Lottery</t>
  </si>
  <si>
    <t>TOTAL USES DURING PRE-OPENING</t>
  </si>
  <si>
    <t>Use this tab only for unique pre-opening plan/budget costs. Otherwise, use another expense 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</si>
  <si>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</si>
  <si>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</si>
  <si>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</si>
  <si>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</si>
  <si>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</si>
  <si>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</si>
  <si>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</si>
  <si>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Total Expenses (w/o EMO/CMO Fees)</t>
  </si>
  <si>
    <t>Do you plan to contract with a EMO/CMO during this term?</t>
  </si>
  <si>
    <t xml:space="preserve">    Other State &amp; Local Revenue</t>
  </si>
  <si>
    <t>Check Fee Base</t>
  </si>
  <si>
    <t xml:space="preserve">    Total Federal, State &amp; Local Revenue, Grants, other funds </t>
  </si>
  <si>
    <t>Estimated EMO, CMO, and/or BOSP Fees</t>
  </si>
  <si>
    <t>OR</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</si>
  <si>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</si>
  <si>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</si>
  <si>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</si>
  <si>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</si>
  <si>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</si>
  <si>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</si>
  <si>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</si>
  <si>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</si>
  <si>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Perform</t>
  </si>
  <si>
    <t>in fee?</t>
  </si>
  <si>
    <t>Service?</t>
  </si>
  <si>
    <t>Pass Thru?</t>
  </si>
  <si>
    <t>EMO, CMO, BOSP services to charter school</t>
  </si>
  <si>
    <t>Y/N</t>
  </si>
  <si>
    <t>"Back office" functions (Accounting, A/P, A/R, Payroll, Inventory, financial, compliance, reporting)</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</si>
  <si>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</si>
  <si>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</si>
  <si>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</si>
  <si>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</si>
  <si>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</si>
  <si>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</si>
  <si>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</si>
  <si>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</si>
  <si>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</si>
  <si>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</si>
  <si>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</si>
  <si>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</si>
  <si>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</si>
  <si>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</si>
  <si>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</si>
  <si>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</si>
  <si>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</si>
  <si>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</si>
  <si>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</si>
  <si>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</si>
  <si>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</si>
  <si>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</si>
  <si>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</si>
  <si>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</si>
  <si>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</si>
  <si>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</si>
  <si>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</si>
  <si>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Outside Revenue rates may change throughout the year as they are recalculated based on available funding.  Plan accordingly.</t>
  </si>
  <si>
    <t>For the SYE 22 &amp; SYE 23 Biennium</t>
  </si>
  <si>
    <t>We've seen differences in the 0% to 11% range--depending on the district.  So, your final rates may vary.</t>
  </si>
  <si>
    <t>PCFP Virtual</t>
  </si>
  <si>
    <t>PUPIL CENTERED FUNDING PLAN SYE 22 &amp; SYE 23</t>
  </si>
  <si>
    <t>PPRev</t>
  </si>
  <si>
    <t>SYE-20 Rates</t>
  </si>
  <si>
    <t xml:space="preserve">Total </t>
  </si>
  <si>
    <t>Period Pmt Amounts</t>
  </si>
  <si>
    <t>Index</t>
  </si>
  <si>
    <t>NDE Adjustment Factor</t>
  </si>
  <si>
    <t>For the base</t>
  </si>
  <si>
    <t>Only for the State SPED account which was not "pre" affected by the .9931% reduction.</t>
  </si>
  <si>
    <t>SYE 22</t>
  </si>
  <si>
    <t>SYE 23</t>
  </si>
  <si>
    <t>District-County</t>
  </si>
  <si>
    <t>DSA</t>
  </si>
  <si>
    <t>Outside Revenue</t>
  </si>
  <si>
    <t>Planned
Enrollment</t>
  </si>
  <si>
    <t>Payment 
Frequency</t>
  </si>
  <si>
    <t>Qrtr</t>
  </si>
  <si>
    <t>Mon</t>
  </si>
  <si>
    <t>OSRev/Tot</t>
  </si>
  <si>
    <t>Rev/CCSD</t>
  </si>
  <si>
    <t>Total
Virtual</t>
  </si>
  <si>
    <t>Inf' Total
(w/o redux)</t>
  </si>
  <si>
    <t>Total/yr</t>
  </si>
  <si>
    <t>Distance Ed SB 458.5.5 &amp; 6.5</t>
  </si>
  <si>
    <t>Carson City</t>
  </si>
  <si>
    <t>Distance Ed SB 458.5.5...w/Adj</t>
  </si>
  <si>
    <t>Churchill</t>
  </si>
  <si>
    <t>In person</t>
  </si>
  <si>
    <t>Final adjusted base PPR, SB 458.5-6</t>
  </si>
  <si>
    <t>Charter</t>
  </si>
  <si>
    <t>% Chg YOY</t>
  </si>
  <si>
    <t xml:space="preserve">Carson City </t>
  </si>
  <si>
    <t xml:space="preserve">Churchill </t>
  </si>
  <si>
    <t xml:space="preserve">Clark </t>
  </si>
  <si>
    <t xml:space="preserve">Elko </t>
  </si>
  <si>
    <t xml:space="preserve">Washoe </t>
  </si>
  <si>
    <t xml:space="preserve">White Pine </t>
  </si>
  <si>
    <t>Final adjusted base PPR, SB 458.5-6--w/NDE Adj Factor</t>
  </si>
  <si>
    <t>Douglas</t>
  </si>
  <si>
    <t>SYE 23-SYE 20</t>
  </si>
  <si>
    <t>Elko</t>
  </si>
  <si>
    <t>Esmeralda</t>
  </si>
  <si>
    <t>Eureka</t>
  </si>
  <si>
    <t>Humboldt</t>
  </si>
  <si>
    <t>Lander</t>
  </si>
  <si>
    <t>Washoe</t>
  </si>
  <si>
    <t>Lincoln</t>
  </si>
  <si>
    <t>White Pine</t>
  </si>
  <si>
    <t>Lyon</t>
  </si>
  <si>
    <t>Mineral</t>
  </si>
  <si>
    <t>Special Populations</t>
  </si>
  <si>
    <t>Nye</t>
  </si>
  <si>
    <t>Additional weighted PPR, SB 458.5-7</t>
  </si>
  <si>
    <t>Pershing</t>
  </si>
  <si>
    <t>SpEd (TEST INPUT)</t>
  </si>
  <si>
    <t>Placeholders for testing @ 33%</t>
  </si>
  <si>
    <t>Storey</t>
  </si>
  <si>
    <t>English learners</t>
  </si>
  <si>
    <t>At-risk pupils (FRL)</t>
  </si>
  <si>
    <t>Gifted and talented</t>
  </si>
  <si>
    <t xml:space="preserve">   Multi-District weighted average</t>
  </si>
  <si>
    <t>Enrollments</t>
  </si>
  <si>
    <t>In Person</t>
  </si>
  <si>
    <t>Ask RF &amp; MM if schools will be allowed to do a hybrid; I've heard of at least one app' and one school that has discussed this.</t>
  </si>
  <si>
    <t>Distance Ed'</t>
  </si>
  <si>
    <t>The school discussing this is saying their parents want the option because of Covid.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</si>
  <si>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</si>
  <si>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</si>
  <si>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</si>
  <si>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</si>
  <si>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</si>
  <si>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</si>
  <si>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</si>
  <si>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</si>
  <si>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</si>
  <si>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</si>
  <si>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</si>
  <si>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</si>
  <si>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</si>
  <si>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</si>
  <si>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</si>
  <si>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</si>
  <si>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</si>
  <si>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</si>
  <si>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</si>
  <si>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</si>
  <si>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</si>
  <si>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</si>
  <si>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</si>
  <si>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</si>
  <si>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</si>
  <si>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</si>
  <si>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</si>
  <si>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</si>
  <si>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</si>
  <si>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</si>
  <si>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</si>
  <si>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</si>
  <si>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</si>
  <si>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</si>
  <si>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</si>
  <si>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</si>
  <si>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</si>
  <si>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</si>
  <si>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</si>
  <si>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</si>
  <si>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</si>
  <si>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</si>
  <si>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</si>
  <si>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</si>
  <si>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</si>
  <si>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</si>
  <si>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</si>
  <si>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</si>
  <si>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Additional Funding</t>
  </si>
  <si>
    <t>y</t>
  </si>
  <si>
    <t>Distance Education</t>
  </si>
  <si>
    <t>(All Counties)</t>
  </si>
  <si>
    <t>School Year Ending</t>
  </si>
  <si>
    <t>Full Base</t>
  </si>
  <si>
    <t>Statewide base</t>
  </si>
  <si>
    <t>Statewide base Net of adj't</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</si>
  <si>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</si>
  <si>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</si>
  <si>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</si>
  <si>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</si>
  <si>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</si>
  <si>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</si>
  <si>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</si>
  <si>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</si>
  <si>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</si>
  <si>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</si>
  <si>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</si>
  <si>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</si>
  <si>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</si>
  <si>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</si>
  <si>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</si>
  <si>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</si>
  <si>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</si>
  <si>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</si>
  <si>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</si>
  <si>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</si>
  <si>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</si>
  <si>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</si>
  <si>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</si>
  <si>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</si>
  <si>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</si>
  <si>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</si>
  <si>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</si>
  <si>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</si>
  <si>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</si>
  <si>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</si>
  <si>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</si>
  <si>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</si>
  <si>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</si>
  <si>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</si>
  <si>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</si>
  <si>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</si>
  <si>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</si>
  <si>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</si>
  <si>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There is discussion that virtual schools will only receive a base fixed amount per pupil regardless of the school district the pupil lives in.</t>
  </si>
  <si>
    <t xml:space="preserve">Enrollment levels at which NDE may switch payments from quarterly to monthly. </t>
  </si>
  <si>
    <t>PP Rev</t>
  </si>
  <si>
    <t>Switchpoint
Enrollments</t>
  </si>
  <si>
    <t>When enrollment levels exceed the above levels NDE switches the school to monthly payments.</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</si>
  <si>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</si>
  <si>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</si>
  <si>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</si>
  <si>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</si>
  <si>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</si>
  <si>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</si>
  <si>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</si>
  <si>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</si>
  <si>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</si>
  <si>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</si>
  <si>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</si>
  <si>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</si>
  <si>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</si>
  <si>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</si>
  <si>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</si>
  <si>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</si>
  <si>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</si>
  <si>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</si>
  <si>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</si>
  <si>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</si>
  <si>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</si>
  <si>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</si>
  <si>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</si>
  <si>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</si>
  <si>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</si>
  <si>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</si>
  <si>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</si>
  <si>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</si>
  <si>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</si>
  <si>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</si>
  <si>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</si>
  <si>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</si>
  <si>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</si>
  <si>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</si>
  <si>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</si>
  <si>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</si>
  <si>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</si>
  <si>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</si>
  <si>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</si>
  <si>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</si>
  <si>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</si>
  <si>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</si>
  <si>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</si>
  <si>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</si>
  <si>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</si>
  <si>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</si>
  <si>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</si>
  <si>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</si>
  <si>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</si>
  <si>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</si>
  <si>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</si>
  <si>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</si>
  <si>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</si>
  <si>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</si>
  <si>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</si>
  <si>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</si>
  <si>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</si>
  <si>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</si>
  <si>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</si>
  <si>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</si>
  <si>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</si>
  <si>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</si>
  <si>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</si>
  <si>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</si>
  <si>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</si>
  <si>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</si>
  <si>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</si>
  <si>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</si>
  <si>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</si>
  <si>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</si>
  <si>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</si>
  <si>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</si>
  <si>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</si>
  <si>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</si>
  <si>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</si>
  <si>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</si>
  <si>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</si>
  <si>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</si>
  <si>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</si>
  <si>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</si>
  <si>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</si>
  <si>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</si>
  <si>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</si>
  <si>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</si>
  <si>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</si>
  <si>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'Thu 6/25/2020 em from Kristin dietz</t>
  </si>
  <si>
    <t>Jun 25 image vs Jul 13 image</t>
  </si>
  <si>
    <t>x</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</si>
  <si>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</si>
  <si>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</si>
  <si>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</si>
  <si>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</si>
  <si>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</si>
  <si>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</si>
  <si>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</si>
  <si>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</si>
  <si>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</si>
  <si>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</si>
  <si>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</si>
  <si>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</si>
  <si>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</si>
  <si>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</si>
  <si>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</si>
  <si>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</si>
  <si>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</si>
  <si>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</si>
  <si>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</si>
  <si>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</si>
  <si>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</si>
  <si>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</si>
  <si>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</si>
  <si>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</si>
  <si>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</si>
  <si>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</si>
  <si>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</si>
  <si>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</si>
  <si>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</si>
  <si>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</si>
  <si>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</si>
  <si>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</si>
  <si>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</si>
  <si>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</si>
  <si>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</si>
  <si>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</si>
  <si>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</si>
  <si>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</si>
  <si>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</si>
  <si>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</si>
  <si>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</si>
  <si>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</si>
  <si>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</si>
  <si>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</si>
  <si>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</si>
  <si>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</si>
  <si>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</si>
  <si>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</si>
  <si>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</si>
  <si>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</si>
  <si>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</si>
  <si>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</si>
  <si>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</si>
  <si>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</si>
  <si>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</si>
  <si>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</si>
  <si>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</si>
  <si>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</si>
  <si>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</si>
  <si>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</si>
  <si>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</si>
  <si>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</si>
  <si>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</si>
  <si>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</si>
  <si>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</si>
  <si>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</si>
  <si>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</si>
  <si>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</si>
  <si>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</si>
  <si>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</si>
  <si>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</si>
  <si>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</si>
  <si>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</si>
  <si>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</si>
  <si>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CS Sponsorship Fee (Infl' Adj'd)</t>
  </si>
  <si>
    <t>Do not use; estimates too difficult to accurately develop</t>
  </si>
  <si>
    <t>SYE 22-
conf'd</t>
  </si>
  <si>
    <t>DSA 
SYE 20</t>
  </si>
  <si>
    <t>SYE 22-
SYE 20</t>
  </si>
  <si>
    <t>CC-SYE 22</t>
  </si>
  <si>
    <t>(no 100% FRL?)</t>
  </si>
  <si>
    <t>Directors &amp; Officers</t>
  </si>
  <si>
    <t>Grant Application/Processing costs</t>
  </si>
  <si>
    <t xml:space="preserve">FTE Count &amp; Hiring Timing </t>
  </si>
  <si>
    <t>Inlcude above only grants which may reasonably be seen as forgiveable</t>
  </si>
  <si>
    <t>Consulting Services: (overwrite w/type, name if available)</t>
  </si>
  <si>
    <t>Lease rate/sq ft/Month (Contract--Before waivers/deferrals; w/o escalator)</t>
  </si>
  <si>
    <t>Lease rate/sq ft/Year (Contract--Before waivers/deferrals; w/o escalator)</t>
  </si>
  <si>
    <t>Tenant Improvement Costs (Initial Capital Outlay for Occupancy)</t>
  </si>
  <si>
    <t>Lease rate/sq ft/year (After waivers, w/o escalator)</t>
  </si>
  <si>
    <t>School leader costs in incubation</t>
  </si>
  <si>
    <t>Legal</t>
  </si>
  <si>
    <t>Education Consultant</t>
  </si>
  <si>
    <t xml:space="preserve">   Total FTEs w/benefits @ School</t>
  </si>
  <si>
    <t>Deposits (non facility)</t>
  </si>
  <si>
    <t>Insurance (If not on Insurance tab)</t>
  </si>
  <si>
    <t>Facility Size (square footage)</t>
  </si>
  <si>
    <t>EMO/CMO Payments, Net</t>
  </si>
  <si>
    <t xml:space="preserve">    Per Pupil, or</t>
  </si>
  <si>
    <t xml:space="preserve">    PCFP (State) Revenue</t>
  </si>
  <si>
    <t xml:space="preserve">    Federal</t>
  </si>
  <si>
    <t>Dupli'n</t>
  </si>
  <si>
    <t>Partnership: (overwrite w/type, name if available)</t>
  </si>
  <si>
    <t>Students for which weighted funding may be received %</t>
  </si>
  <si>
    <t xml:space="preserve">Students for which weighted funding may be received # </t>
  </si>
  <si>
    <t>ENROLLMENT (All Populations)</t>
  </si>
  <si>
    <t>Est' with</t>
  </si>
  <si>
    <t>Est'd % wo</t>
  </si>
  <si>
    <t>STATE FUNDING PORTION</t>
  </si>
  <si>
    <t>ENROLLMENT % (FEDERAL FUNDING PORTION)</t>
  </si>
  <si>
    <t>State Weighted Funding (EL, GATE, AR)</t>
  </si>
  <si>
    <t>English Language Learners (EL)</t>
  </si>
  <si>
    <t>Local SPED Funding</t>
  </si>
  <si>
    <t>Inflation adjusted Total Revenue</t>
  </si>
  <si>
    <t>Student fees PP</t>
  </si>
  <si>
    <t>All potential source Public, 
Private, Charter Schools w/in 4 miles</t>
  </si>
  <si>
    <t>Potential Site 1</t>
  </si>
  <si>
    <t>Potential Site 2 (if you are considering more than Site 1 above)</t>
  </si>
  <si>
    <t>Furniture Acquisition</t>
  </si>
  <si>
    <t>Nonprofit Incorporation (not required--but is allowed--may help with grants)</t>
  </si>
  <si>
    <t>Additional Funding/Borrowing  required/period</t>
  </si>
  <si>
    <t>The application submitted reflected completed documents/tabs above.</t>
  </si>
  <si>
    <t>https://nv.sharepoint.com/sites/spcsa/Shared Documents/Authorizing/Application Packet/Template Financial Plan Workbook/[SPCSA-New-School-Application-Financial-Plan-Template-PCFP-2021 09 22.xlsx]Sheet1</t>
  </si>
  <si>
    <t>TOTAL REVENUE PP</t>
  </si>
  <si>
    <t>REVENUE PP</t>
  </si>
  <si>
    <t>EXPENSES PP</t>
  </si>
  <si>
    <t>TOTAL EXPENSES PP</t>
  </si>
  <si>
    <t xml:space="preserve">     Surplus/(Deficit) Per Pupil</t>
  </si>
  <si>
    <t xml:space="preserve">   Margin: Surplus(Deficit)/Revenue (aka Annual ratio)</t>
  </si>
  <si>
    <t xml:space="preserve">   TOT GEN OPERATING EXPENSES w/o Trans'</t>
  </si>
  <si>
    <t>FICA (Federal Insurance Contributions Act)</t>
  </si>
  <si>
    <t>Annualized Pay</t>
  </si>
  <si>
    <t>Subtotal Part-Time Employee Wages</t>
  </si>
  <si>
    <t>FICA on Part-Time Employees wages</t>
  </si>
  <si>
    <t>Estimated hours per week</t>
  </si>
  <si>
    <t>Part-Time Employee calculator (for input above)</t>
  </si>
  <si>
    <t xml:space="preserve">Standard Hours worked per year </t>
  </si>
  <si>
    <t>Portion of Standard Year worked</t>
  </si>
  <si>
    <t xml:space="preserve">Standard Hours per school year, base for payment </t>
  </si>
  <si>
    <t xml:space="preserve">Standard school days/year with teaching days </t>
  </si>
  <si>
    <t>Hours per day possible w/o Overtime</t>
  </si>
  <si>
    <t>Portion of Standard School Year worked</t>
  </si>
  <si>
    <t xml:space="preserve">     Count of PTE (FTE equivalent)(calculator below)</t>
  </si>
  <si>
    <t>Estimated weeks to work</t>
  </si>
  <si>
    <t xml:space="preserve">   Estimated total hours worked</t>
  </si>
  <si>
    <t>Staff 1</t>
  </si>
  <si>
    <t>Staff 2</t>
  </si>
  <si>
    <t>Staff 3</t>
  </si>
  <si>
    <t>Staff 4</t>
  </si>
  <si>
    <t>1. Input Part-Time Employee(s) (PTE)</t>
  </si>
  <si>
    <t>2. Input part-time employee</t>
  </si>
  <si>
    <t>3. Input part-time employee</t>
  </si>
  <si>
    <t>4. Input part-time employee</t>
  </si>
  <si>
    <t>5. Input part-time employee</t>
  </si>
  <si>
    <t>Staff 5</t>
  </si>
  <si>
    <t>Borrowings in Period</t>
  </si>
  <si>
    <t>Cumulative Additional Funding potentially required</t>
  </si>
  <si>
    <t>Zip Codes</t>
  </si>
  <si>
    <t>Debt Balance, Ending</t>
  </si>
  <si>
    <t>Debt Balance, Beginning</t>
  </si>
  <si>
    <t>Free &amp; Reduced Lunch (FRL)</t>
  </si>
  <si>
    <t>Students not identified in any of the above groups (Adjusted Base funding only)</t>
  </si>
  <si>
    <t>Schools are paid for the higher category when duplication exists</t>
  </si>
  <si>
    <t>Add'l Wts%</t>
  </si>
  <si>
    <t>Add'l Wts$</t>
  </si>
  <si>
    <t>Average Staff Salary</t>
  </si>
  <si>
    <t xml:space="preserve">FTE - Total </t>
  </si>
  <si>
    <t>Impact magnitude</t>
  </si>
  <si>
    <t>Impact of difference in staffing levels in budget vs. narrative</t>
  </si>
  <si>
    <t>App (Narr) pg ___</t>
  </si>
  <si>
    <t>App (XL) "Staff" tab, row ___</t>
  </si>
  <si>
    <t>Federal Program</t>
  </si>
  <si>
    <t>Projected per-pupil</t>
  </si>
  <si>
    <t>Fiscal Year Used</t>
  </si>
  <si>
    <t>$400/FRL student</t>
  </si>
  <si>
    <t>FY21</t>
  </si>
  <si>
    <t>$4/student AND $66/FRL student</t>
  </si>
  <si>
    <t>FY19</t>
  </si>
  <si>
    <t>Title III ELL</t>
  </si>
  <si>
    <t>$97/EL student</t>
  </si>
  <si>
    <t>IDEA SPED-B</t>
  </si>
  <si>
    <t>$1005/Special Education Student</t>
  </si>
  <si>
    <t>FY20</t>
  </si>
  <si>
    <t>/FRL Student</t>
  </si>
  <si>
    <t>Guidance Counselor &amp; Other Staff (Full-time &amp; Part-Time w/benefits)</t>
  </si>
  <si>
    <t>Scenario 1</t>
  </si>
  <si>
    <t>Scenario 2</t>
  </si>
  <si>
    <t>Scenario 3</t>
  </si>
  <si>
    <t>Total P</t>
  </si>
  <si>
    <t>FRL P</t>
  </si>
  <si>
    <t>Non FRL P</t>
  </si>
  <si>
    <t>Minimum FRL rqt?</t>
  </si>
  <si>
    <t>No minimum FRL rqt?</t>
  </si>
  <si>
    <t>Rebecca's example</t>
  </si>
  <si>
    <t>Scenario 4</t>
  </si>
  <si>
    <t>Charter School Program (CSP) Grant (w/letter)</t>
  </si>
  <si>
    <t>Other start-up grant funds, incl' SEA Grants w/ltr</t>
  </si>
  <si>
    <t>Private fundraising (foundations, corporate) w/ltr</t>
  </si>
  <si>
    <t>Fundraising / Donations w/ltrs</t>
  </si>
  <si>
    <t>Title IIA (Fixed amt for all students)</t>
  </si>
  <si>
    <t>Title IIA (For FRL students only)</t>
  </si>
  <si>
    <t>Title IIA (FRL only)</t>
  </si>
  <si>
    <t>Title IIA (FRL &amp; Non FRL)</t>
  </si>
  <si>
    <t>Do not use</t>
  </si>
  <si>
    <t>Title IV (Do not use)</t>
  </si>
  <si>
    <t>Cumulative Net Surplus (Deficit) Borrowings/Surplus</t>
  </si>
  <si>
    <t>Debt Payments (Deb payments)</t>
  </si>
  <si>
    <t>Interest on borrowings</t>
  </si>
  <si>
    <t>Cumulative Net Surplus (Deficit) Net of Borrowings and Payments</t>
  </si>
  <si>
    <t>Net Surplus (Deficit) Net of Borrowings and Payments</t>
  </si>
  <si>
    <t>Net Surplus (Deficit) and/or Borrowings</t>
  </si>
  <si>
    <t>Back Office Service Provider (BOSP)</t>
  </si>
  <si>
    <t>EMO/CMO/BOSP Services/Fee base/Type (Check largest applicable)</t>
  </si>
  <si>
    <t>EMO, CMO, BOSP Budget Worksheet</t>
  </si>
  <si>
    <t xml:space="preserve">     SPED Students</t>
  </si>
  <si>
    <t xml:space="preserve">     SPED Students/Teacher Ratio</t>
  </si>
  <si>
    <t>Initialize and attach:</t>
  </si>
  <si>
    <t>Initialize, print (pdf) and attach:</t>
  </si>
  <si>
    <t>Total Staff w &amp; w/o benefits (FTE count)</t>
  </si>
  <si>
    <t>Staff Summary</t>
  </si>
  <si>
    <t>You may paste this summary section into your narrative --&gt;</t>
  </si>
  <si>
    <t>Staff counts here must match your narrative staff count</t>
  </si>
  <si>
    <t>Lease rate/sq ft/month (After waivers, w/o escalator)(If applicable)</t>
  </si>
  <si>
    <t>Hold off on this for now; don't want to encourage borrowing too early.</t>
  </si>
  <si>
    <t>Undupl'ed</t>
  </si>
  <si>
    <t>Default %</t>
  </si>
  <si>
    <t>FYI: Overlap</t>
  </si>
  <si>
    <t>State Weighted Funding</t>
  </si>
  <si>
    <t>SPCSA does not encourage debt but understands borrowing may be required. Supporting documentation of any planned borrowing must be provided.</t>
  </si>
  <si>
    <t>ENROLLMENT BY STUDENT GROUP (Federally Fundable)</t>
  </si>
  <si>
    <t xml:space="preserve">  Per Pupil (Federal Funding Portion)</t>
  </si>
  <si>
    <t>Check (Revenue, Summary tab)</t>
  </si>
  <si>
    <t>Difference - Check (Revenue, Summary tab)</t>
  </si>
  <si>
    <t>FEDERAL &amp; OTHER FUNDING PORTION</t>
  </si>
  <si>
    <t>STATE &amp; LOCAL (PCFP) FUNDING</t>
  </si>
  <si>
    <t xml:space="preserve">   PCFP Revenue Net of Sponsor Fee</t>
  </si>
  <si>
    <t xml:space="preserve">   PCFP Revenue Net of Sponsor Fee pp</t>
  </si>
  <si>
    <t>PCFP Sponsorship Fee (on Base)</t>
  </si>
  <si>
    <t>% of Base</t>
  </si>
  <si>
    <t xml:space="preserve">   Total Expenses PP</t>
  </si>
  <si>
    <t xml:space="preserve">   Total Revenue PP (Check w/Enrol &amp; Rev tab)</t>
  </si>
  <si>
    <t>Incubation (Pre-Year 1) Sources &amp; Uses Worksheet</t>
  </si>
  <si>
    <t>State PCFP Adj' Base Revenue</t>
  </si>
  <si>
    <t xml:space="preserve">   In balance check</t>
  </si>
  <si>
    <t xml:space="preserve">   In balance check PP</t>
  </si>
  <si>
    <t>REVENUE &amp; RESOURCES</t>
  </si>
  <si>
    <t xml:space="preserve">  FTE Teachers (SPED, ELL, Grade Level)</t>
  </si>
  <si>
    <t xml:space="preserve">  Student/Teacher ratio</t>
  </si>
  <si>
    <t>Number of students tentatively committed to enroll, based on community engagement activities</t>
  </si>
  <si>
    <t>Year 0</t>
  </si>
  <si>
    <t>UNIQUE YEAR ONE START UP EXPENSES</t>
  </si>
  <si>
    <t xml:space="preserve">     Architecture &amp; Engineering</t>
  </si>
  <si>
    <t xml:space="preserve">     Space Planning</t>
  </si>
  <si>
    <t xml:space="preserve">I pulled the Sources info'; it's more clearly handled in the revenues/resources area. </t>
  </si>
  <si>
    <t xml:space="preserve">     Other facility preparation costs</t>
  </si>
  <si>
    <t>Faculty furniture (desks, tables, chairs…)</t>
  </si>
  <si>
    <t>Student furniture (desks, tables, chairs…)</t>
  </si>
  <si>
    <t>Legal fees (Incubation Year)</t>
  </si>
  <si>
    <t>Legal fees (Post incubation)</t>
  </si>
  <si>
    <t>Community meeting, hosting</t>
  </si>
  <si>
    <r>
      <t>Nonprofit Incorporation-State (</t>
    </r>
    <r>
      <rPr>
        <i/>
        <sz val="11"/>
        <color rgb="FF000000"/>
        <rFont val="Times New Roman"/>
        <family val="1"/>
      </rPr>
      <t>see note--&gt;</t>
    </r>
    <r>
      <rPr>
        <sz val="11"/>
        <color indexed="8"/>
        <rFont val="Times New Roman"/>
        <family val="1"/>
      </rPr>
      <t>)</t>
    </r>
  </si>
  <si>
    <r>
      <t>Nonprofit Incorporation-Federal (</t>
    </r>
    <r>
      <rPr>
        <i/>
        <sz val="11"/>
        <color rgb="FF000000"/>
        <rFont val="Times New Roman"/>
        <family val="1"/>
      </rPr>
      <t>see note--&gt;</t>
    </r>
    <r>
      <rPr>
        <sz val="11"/>
        <color indexed="8"/>
        <rFont val="Times New Roman"/>
        <family val="1"/>
      </rPr>
      <t>)</t>
    </r>
  </si>
  <si>
    <t>Deposits (non facility--if not shown elsewhere)</t>
  </si>
  <si>
    <t>Brochures, Information</t>
  </si>
  <si>
    <t>Contract/Other Services (Not otherwise included in app)(note EMO, CMO, BOSP tab)</t>
  </si>
  <si>
    <t>School leader acquisition/development costs in incubation</t>
  </si>
  <si>
    <t>HR: Hiring: Head of School</t>
  </si>
  <si>
    <t>HR: Hiring: Other</t>
  </si>
  <si>
    <t>Nonprofit Incorporation may be required for some grants.  Is not required by SPCSA to open</t>
  </si>
  <si>
    <t>Total Contract/Other Services</t>
  </si>
  <si>
    <t>###</t>
  </si>
  <si>
    <t>FRL</t>
  </si>
  <si>
    <t>Foster</t>
  </si>
  <si>
    <t>Military</t>
  </si>
  <si>
    <t>Homeless</t>
  </si>
  <si>
    <t>Clark County</t>
  </si>
  <si>
    <t>Washoe County</t>
  </si>
  <si>
    <t>Asian</t>
  </si>
  <si>
    <t>Black</t>
  </si>
  <si>
    <t>White</t>
  </si>
  <si>
    <t>Hispanic</t>
  </si>
  <si>
    <t>American Indian/Alaska Native</t>
  </si>
  <si>
    <t>https://doe.nv.gov/DataCenter/Enrollment/</t>
  </si>
  <si>
    <t>Totals on this line may exceed 100% and planned enrollments</t>
  </si>
  <si>
    <t>State &amp; Local Revenue w/o St SpEd</t>
  </si>
  <si>
    <t xml:space="preserve">   Total Revenue PP </t>
  </si>
  <si>
    <t xml:space="preserve">   Enrol &amp; Rev tab</t>
  </si>
  <si>
    <t>Scratchpad</t>
  </si>
  <si>
    <t>Cash Flow Year 1 Monthly</t>
  </si>
  <si>
    <t>Facilities (worksheet)</t>
  </si>
  <si>
    <t>Cover (School Name) Page</t>
  </si>
  <si>
    <t>Checklist &amp; Table Of Contents</t>
  </si>
  <si>
    <t>General Operating Plan</t>
  </si>
  <si>
    <t xml:space="preserve">Expenses: Education/Charter Management Organization, 
Back Office Service Provider </t>
  </si>
  <si>
    <t>EMO, CMO, BOSP</t>
  </si>
  <si>
    <t>PCFP Rates (Information)</t>
  </si>
  <si>
    <t>Scratchpad (worksheet)</t>
  </si>
  <si>
    <t>School Plan Statistics</t>
  </si>
  <si>
    <t>School Financial Plan Summary</t>
  </si>
  <si>
    <t>All potential source/feeder Public, 
Private, Charter Schools w/in 4 miles</t>
  </si>
  <si>
    <t>Student fees (Net)</t>
  </si>
  <si>
    <t xml:space="preserve">Additional funding is also provided to help teach students with Special Education needs.  While a student may technically be a member of multiple special populations categories, state funding is provided for only one category, deemed to be the </t>
  </si>
  <si>
    <t>Duplication</t>
  </si>
  <si>
    <t>Estimated % w/</t>
  </si>
  <si>
    <t>category qualified for which provides the highest additional funding.  The below Duplication calculations section is designed to estimate how many funding qualified students there are among the otherwise category qualified students.</t>
  </si>
  <si>
    <t>APPLICATION START PAGE</t>
  </si>
  <si>
    <t>Instructions (start page)</t>
  </si>
  <si>
    <t>Instructions -- Start here</t>
  </si>
  <si>
    <t>Furniture, Fixtures, Equipment 
&amp; Technology (FFE&amp;T)</t>
  </si>
  <si>
    <t>Initials</t>
  </si>
  <si>
    <t xml:space="preserve">Mike Dang, 702.854.0691 (cell/text) 702.486.8879 (office), mdang@spcsa.nv.gov </t>
  </si>
  <si>
    <t>Note:State Weighted and SpEd funding are paid based on prior year verified special population enrollments.  Schools in year 1 do not receive weighted or SpEd  funds until year 2.</t>
  </si>
  <si>
    <t>Tab Removed</t>
  </si>
  <si>
    <t>N avail'</t>
  </si>
  <si>
    <t>SPED/IEP</t>
  </si>
  <si>
    <t>Statewide Student Demographics: 
Special Populations</t>
  </si>
  <si>
    <t>Statewide Student Demographics: 
Race/Ethnicity</t>
  </si>
  <si>
    <t>State Special Education (SPED)</t>
  </si>
  <si>
    <t xml:space="preserve">Above estimating table allows applicants to overwrite estimating formulas if they have reason to do so. </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</si>
  <si>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</si>
  <si>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</si>
  <si>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The highest funding is provided for SPED, followed by EL, followed by GATE, followed by At Risk.</t>
  </si>
  <si>
    <t>Demographics</t>
  </si>
  <si>
    <t>Special Population and Demographic percentages</t>
  </si>
  <si>
    <t>Free space for applicant tests, notes</t>
  </si>
  <si>
    <t>Special Populations &amp; Demographics</t>
  </si>
  <si>
    <t>SPCSA schools (Statewide)</t>
  </si>
  <si>
    <t>Statewide</t>
  </si>
  <si>
    <t>Female</t>
  </si>
  <si>
    <t>Male</t>
  </si>
  <si>
    <t>Pacific 
Islander</t>
  </si>
  <si>
    <t>Two or 
More</t>
  </si>
  <si>
    <t>Debt Service Payments-1 (Principal &amp; Interest)</t>
  </si>
  <si>
    <t>Debt Service Payments-2 (Principal &amp; Interest)</t>
  </si>
  <si>
    <t>The Demographics tab shows district percentages</t>
  </si>
  <si>
    <t>you may consider when developing your estimates for the Enrol &amp; Rev tab inputs.</t>
  </si>
  <si>
    <t>(Enter manually)</t>
  </si>
  <si>
    <t xml:space="preserve">Marketing &amp; Recruiting </t>
  </si>
  <si>
    <t>Select Information</t>
  </si>
  <si>
    <t>(Manual entry)</t>
  </si>
  <si>
    <t>You may overide these formulas with more accurate estimates</t>
  </si>
  <si>
    <t>Athletic expenditures (detail below)</t>
  </si>
  <si>
    <t>% fee on (base),(Years x-y)</t>
  </si>
  <si>
    <t>% fee per "…" (Years z-a)</t>
  </si>
  <si>
    <t xml:space="preserve">10.29 reointed cells one cell to the right on Facilities tab </t>
  </si>
  <si>
    <t>Cumulative Funding-Capital Surplus (Deficit)</t>
  </si>
  <si>
    <t>This upper summary section is so you have key information before you to help with your planning.</t>
  </si>
  <si>
    <t>Jai Mallory</t>
  </si>
  <si>
    <t>301-503-5152</t>
  </si>
  <si>
    <t>Jmallory@eagleacademypcs.org</t>
  </si>
  <si>
    <t>Chief Operating Officer</t>
  </si>
  <si>
    <t>Registrar</t>
  </si>
  <si>
    <t>IT Director</t>
  </si>
  <si>
    <t>Special Education Assistant</t>
  </si>
  <si>
    <t>School Psychologist</t>
  </si>
  <si>
    <t>Music Teacher</t>
  </si>
  <si>
    <t>Umbrella Quote</t>
  </si>
  <si>
    <t>Door to door canvassing</t>
  </si>
  <si>
    <t>1 month prior to enrollment</t>
  </si>
  <si>
    <t>direct mailings</t>
  </si>
  <si>
    <t>0-2 months prior to enrollment</t>
  </si>
  <si>
    <t>Social media upkeep and promotions</t>
  </si>
  <si>
    <t>continuous; ramping up 2 months prior to enrollment</t>
  </si>
  <si>
    <t>Info sessions, community events</t>
  </si>
  <si>
    <t>0-6 months prior to enrollment</t>
  </si>
  <si>
    <t>Student shadowing</t>
  </si>
  <si>
    <t>Prior school year</t>
  </si>
  <si>
    <t>9.5% of revenue</t>
  </si>
  <si>
    <t xml:space="preserve">Campus </t>
  </si>
  <si>
    <t>Square footage</t>
  </si>
  <si>
    <t>Projected lease amount</t>
  </si>
  <si>
    <t>$/sf</t>
  </si>
  <si>
    <t>Portables</t>
  </si>
  <si>
    <t>Number of portables</t>
  </si>
  <si>
    <t>Square footage (each)</t>
  </si>
  <si>
    <t>Square footage (Total)</t>
  </si>
  <si>
    <t>Total lease</t>
  </si>
  <si>
    <t>Lease amount</t>
  </si>
  <si>
    <t>N/A</t>
  </si>
  <si>
    <t>n</t>
  </si>
  <si>
    <t>Projected annual lease amount (each)</t>
  </si>
  <si>
    <t xml:space="preserve">This is the CSP grant.  It needed to be added to this line item since the CSP grant is not populated in the cash flow tab. </t>
  </si>
  <si>
    <t>CSP funds moved here since they are not included in cash flow tab</t>
  </si>
  <si>
    <t>CSP Grant funds put here as that line item is not included in revenue</t>
  </si>
  <si>
    <t xml:space="preserve">July - Oct.  payments paid 50% in October and 50% in January </t>
  </si>
  <si>
    <t>Y</t>
  </si>
  <si>
    <t xml:space="preserve">Grant awarded; reflected above so it is captured in cash flow tab. </t>
  </si>
  <si>
    <t>Attachment Number</t>
  </si>
  <si>
    <t>Title</t>
  </si>
  <si>
    <t>Notes</t>
  </si>
  <si>
    <t>Financial Plan</t>
  </si>
  <si>
    <t>Board meeting agenda</t>
  </si>
  <si>
    <t>Application</t>
  </si>
  <si>
    <t xml:space="preserve">Notice received the grant has been awarded, but the amount not yet known.  Conservativly estimated at only 20% of requested CSP total; approximately 75% of first year FFE&amp;T expenses. </t>
  </si>
  <si>
    <t xml:space="preserve">Minimum secured from our CMO should other year 0 funds not be received.  </t>
  </si>
  <si>
    <t xml:space="preserve">Escalates from 4%, to 6%, to 7% in year 3+. </t>
  </si>
  <si>
    <t xml:space="preserve">Year 1 replaced in year 6. </t>
  </si>
  <si>
    <t>Security system</t>
  </si>
  <si>
    <t>Year 1 purchase is amortized over 5 years at 5%; year 1 replaced in year 6</t>
  </si>
  <si>
    <t>Eagle Charter Schools of Nevada</t>
  </si>
  <si>
    <t>Provided in authorized application; draft management agreement</t>
  </si>
  <si>
    <t xml:space="preserve">Our lease rate is lowered in the initial years to help with cash flow.  This cannot be captured using typical entries on this tab as out years are calculated on initial lease rate and escalator.  We've added a separate "lease rate calculation tab" and used this line to true up the difference. </t>
  </si>
  <si>
    <t>Since Property tax was used to true up to actual lease rates; inflation was manually added within each line item</t>
  </si>
  <si>
    <t>Additional 5% inflation adjustment added annually</t>
  </si>
  <si>
    <t>Additional 3% inflation adjustment added annually</t>
  </si>
  <si>
    <t>Not calculated based off of row 16.  Actual lease cost is sum of this row and row 32.</t>
  </si>
  <si>
    <t>Annual projected lease expense</t>
  </si>
  <si>
    <t>CHARTER SCHOOL ANNUAL FINANCIAL PERFORMANCE REVIEW REPORT</t>
  </si>
  <si>
    <t>This is called a Beta version because we are testing the new Ratings logic/formulas in the lower section.</t>
  </si>
  <si>
    <t>School Years</t>
  </si>
  <si>
    <t xml:space="preserve">From  </t>
  </si>
  <si>
    <t xml:space="preserve">To  </t>
  </si>
  <si>
    <t>Budget</t>
  </si>
  <si>
    <t>School Name</t>
  </si>
  <si>
    <t>Select a school below</t>
  </si>
  <si>
    <t>Enter school name</t>
  </si>
  <si>
    <t>Independent Auditor</t>
  </si>
  <si>
    <t>Name of auditor</t>
  </si>
  <si>
    <t>Name of auditing firm</t>
  </si>
  <si>
    <t>Street, Suite</t>
  </si>
  <si>
    <t>City, State, Zip</t>
  </si>
  <si>
    <t>First Contract, First Year</t>
  </si>
  <si>
    <t>First contract, first year of operations (before first renewal sought).</t>
  </si>
  <si>
    <t>of operations</t>
  </si>
  <si>
    <t>Current Contract First Year</t>
  </si>
  <si>
    <t>Note: School is starting w/year 0 (prior year w/ASD)</t>
  </si>
  <si>
    <t>of operations-or year 0</t>
  </si>
  <si>
    <t>First year of operation with the current charter contract (including renewals).</t>
  </si>
  <si>
    <t>Key</t>
  </si>
  <si>
    <t>Enter required data in yellow cells: This data is for operations focused measuring. Accrual basis</t>
  </si>
  <si>
    <t>Enter required data in bluecells: For capital, bond, facility measuring, such as modified accrual numbers.</t>
  </si>
  <si>
    <t>Meets Standards</t>
  </si>
  <si>
    <t>MS</t>
  </si>
  <si>
    <t>Falls Far Below Standards</t>
  </si>
  <si>
    <t>FFBS</t>
  </si>
  <si>
    <t>Does Not Meets Standards</t>
  </si>
  <si>
    <t>DNMS</t>
  </si>
  <si>
    <t>SCHOOL FINANCIAL PERFORMANCE DATA</t>
  </si>
  <si>
    <t>% Chg Enrol--&gt;</t>
  </si>
  <si>
    <t>NOTES (Out of print range)</t>
  </si>
  <si>
    <t xml:space="preserve">   Actual (Count Day 10/1)</t>
  </si>
  <si>
    <t>Source: Actual enrollment from DSA spreadsheet</t>
  </si>
  <si>
    <t/>
  </si>
  <si>
    <t xml:space="preserve">   Projected (Final/Amended Budget)</t>
  </si>
  <si>
    <t>Source:  Projected/budgeted from submitted annual proposed budget</t>
  </si>
  <si>
    <t xml:space="preserve">       % Projected</t>
  </si>
  <si>
    <t>Comments</t>
  </si>
  <si>
    <t>Enrollment Detail (Preview for SYE 23)</t>
  </si>
  <si>
    <t>Average Daily Enrollment</t>
  </si>
  <si>
    <t xml:space="preserve">   ADE/Actual (Count Day 10/1)</t>
  </si>
  <si>
    <t>Approved enrollment (Contract)</t>
  </si>
  <si>
    <t xml:space="preserve">   Projected/Approved</t>
  </si>
  <si>
    <t>Special Education</t>
  </si>
  <si>
    <t>Multiple categories okay</t>
  </si>
  <si>
    <t>English Learners</t>
  </si>
  <si>
    <t>At Risk (aka FRL)</t>
  </si>
  <si>
    <t xml:space="preserve">GATE </t>
  </si>
  <si>
    <t>Comments (more)</t>
  </si>
  <si>
    <t>SOURCE: STATEMENT OF ACTIVITIES (ACCRUAL INFORMATION)</t>
  </si>
  <si>
    <t>SELECT REVENUES</t>
  </si>
  <si>
    <t>% Chg Rev St--&gt;</t>
  </si>
  <si>
    <t>Percent Revenue</t>
  </si>
  <si>
    <t>Local</t>
  </si>
  <si>
    <t>Special Programs Funding</t>
  </si>
  <si>
    <t>Donations/Fundraising</t>
  </si>
  <si>
    <t>Revenues - Other</t>
  </si>
  <si>
    <t>Exclude borrowings, other "Other Financing Sources"</t>
  </si>
  <si>
    <t>May include interest and all other revenues</t>
  </si>
  <si>
    <t xml:space="preserve">    Tot Revenue PP</t>
  </si>
  <si>
    <t>Comments:</t>
  </si>
  <si>
    <t>SELECT EXPENSES</t>
  </si>
  <si>
    <t>% Chg Ed Prog--&gt;</t>
  </si>
  <si>
    <t>Educational Programs</t>
  </si>
  <si>
    <t>EMO/CMO, ESP</t>
  </si>
  <si>
    <t>Including any overrides or fees payable to EMO</t>
  </si>
  <si>
    <t>Special Programs Expenses</t>
  </si>
  <si>
    <t>Support Services (Gen &amp; Admin)</t>
  </si>
  <si>
    <t>Net of any overrides to EMO</t>
  </si>
  <si>
    <t>Support Services, Other</t>
  </si>
  <si>
    <t>Other Expenses</t>
  </si>
  <si>
    <t>Total Expenses, Operating</t>
  </si>
  <si>
    <t xml:space="preserve">Show select additional detail below. </t>
  </si>
  <si>
    <t xml:space="preserve">    Tot Expenses PP</t>
  </si>
  <si>
    <t xml:space="preserve">     Error check</t>
  </si>
  <si>
    <t>Special Programs Funds/Expenses</t>
  </si>
  <si>
    <t>Detail already included in the above Total Expenses</t>
  </si>
  <si>
    <t>Interest Expense</t>
  </si>
  <si>
    <t>Non long term debt, non facility interest expenses</t>
  </si>
  <si>
    <t>Interest Expense (Capital/Bldg)</t>
  </si>
  <si>
    <t>Long term debt interest expense</t>
  </si>
  <si>
    <t xml:space="preserve">   Total Interest Expense</t>
  </si>
  <si>
    <t>Capital Lease Expense + Principal reduction</t>
  </si>
  <si>
    <t>E.g., furniture, equipment, textboosk, software, computers; excludes pre-issuance Cap'l Expenditures</t>
  </si>
  <si>
    <t>Operating Lease Expense</t>
  </si>
  <si>
    <t>E.g., facility, classroom, office space, occupancy, rent</t>
  </si>
  <si>
    <t>Depreciation Expense</t>
  </si>
  <si>
    <t>Not treated as an expense by some schools</t>
  </si>
  <si>
    <t>Amortization Expense</t>
  </si>
  <si>
    <t>This total does not include the detail breakout shown above.</t>
  </si>
  <si>
    <t>Prior Period Adjustment</t>
  </si>
  <si>
    <t>Total Revenue - Operating Expenses</t>
  </si>
  <si>
    <t xml:space="preserve">   Net Surplus (Deficit)</t>
  </si>
  <si>
    <t>Adjustments to Net Surplus (Deficit)</t>
  </si>
  <si>
    <t>Deferred Outflows</t>
  </si>
  <si>
    <t>Net Pension Liability</t>
  </si>
  <si>
    <t>Deferred Inflows</t>
  </si>
  <si>
    <t>Net Pension Liability Expense</t>
  </si>
  <si>
    <t>Adjusted Net Surplus (Deficit)</t>
  </si>
  <si>
    <t>Other financing sources</t>
  </si>
  <si>
    <t>Capital Expenditures</t>
  </si>
  <si>
    <t>Large capital expenditures which should not be included in operations performance reviews</t>
  </si>
  <si>
    <t>Capital Expenditures Paid with Bond Proceeds</t>
  </si>
  <si>
    <t>Exclude principal reductions; 
Include allowed pre-issuance Capital Expenditures.</t>
  </si>
  <si>
    <t>NOTICES/OTHER</t>
  </si>
  <si>
    <t>Debt Default</t>
  </si>
  <si>
    <t>Source: Notes to the audited financial statements</t>
  </si>
  <si>
    <t>Facility Lease Default</t>
  </si>
  <si>
    <t>Audit Opinion</t>
  </si>
  <si>
    <t>Unqualified</t>
  </si>
  <si>
    <t>Audit Opinion: 1. Unqualified, 2. Qualified, 3. Adverse, 4. Disclaimer</t>
  </si>
  <si>
    <t>Audit Findings</t>
  </si>
  <si>
    <t>Going Concern Determination</t>
  </si>
  <si>
    <t>Identified material weakness(es)?</t>
  </si>
  <si>
    <t>Audit: Internal Control identified material weakness(es)?</t>
  </si>
  <si>
    <t>Special Education Reserve &gt;=$25k</t>
  </si>
  <si>
    <t>Special Education Reserve "maintained in a separate bank account" (Charter contract, 3.4.4) or supporting documentation of insurance policy with sufficient coverage.</t>
  </si>
  <si>
    <t>SpEd Res @ Separate Bank Acct</t>
  </si>
  <si>
    <t>Special Education Reserve "maintained in a separate bank account" (Charter contract, 3.4.4)</t>
  </si>
  <si>
    <t xml:space="preserve">Waitlist % of Enrollment </t>
  </si>
  <si>
    <t>E.g., FYI "soft #s" (overstating risk high)  as multiple enrollments possible</t>
  </si>
  <si>
    <t>Student Retention Rate %</t>
  </si>
  <si>
    <t>Other Legal/Financial Notices</t>
  </si>
  <si>
    <t>Explanations/Notes:</t>
  </si>
  <si>
    <t>Explain items like Auditor's opinion of not Unqualified, internal control identified material weaknesses…</t>
  </si>
  <si>
    <t>...(Continued):</t>
  </si>
  <si>
    <t>SOURCE: STATEMENT OF NET POSITION (ACCRUAL INFORMATION)</t>
  </si>
  <si>
    <t>SELECT ASSETS</t>
  </si>
  <si>
    <t>% Chg C-Un--&gt;</t>
  </si>
  <si>
    <t>Source: Statement of Net Position</t>
  </si>
  <si>
    <t>Percent Total Assets</t>
  </si>
  <si>
    <t>Cash, Unrestricted</t>
  </si>
  <si>
    <t xml:space="preserve">Exclude bond proceeds.  Include committed, assigned and unassigned Fund Balances in Cash </t>
  </si>
  <si>
    <t>Cash, Restricted</t>
  </si>
  <si>
    <t>Exclude bond proceeds.  Include restricted and non spendable Fund Balances in Cash</t>
  </si>
  <si>
    <t>Cash equivalents, Restricted</t>
  </si>
  <si>
    <t xml:space="preserve">Exclude bond proceeds.  </t>
  </si>
  <si>
    <t>Cash equivalents, unrestricted</t>
  </si>
  <si>
    <t>Other liquid assets, (includes restricted and non spendable?)</t>
  </si>
  <si>
    <t>Total Cash &amp; Equivalents</t>
  </si>
  <si>
    <t>Includes Restricted Cash for Total Cash formula below</t>
  </si>
  <si>
    <t xml:space="preserve">    Total Cash &amp; Eq' (Unrestr'd)</t>
  </si>
  <si>
    <t>Unrestricted cash only</t>
  </si>
  <si>
    <t>Proceeds from Bonds</t>
  </si>
  <si>
    <t>% Chg CA--&gt;</t>
  </si>
  <si>
    <t>Accounts Receivable</t>
  </si>
  <si>
    <t>Other Current Assets</t>
  </si>
  <si>
    <t>Total Current Assets</t>
  </si>
  <si>
    <t>Current Assets (Operating)</t>
  </si>
  <si>
    <t>Non Current Assets, Facilities</t>
  </si>
  <si>
    <t>Non Current Assets, Other, Net</t>
  </si>
  <si>
    <t>Fixed, capital and other non current assets</t>
  </si>
  <si>
    <t>Total Assets</t>
  </si>
  <si>
    <t>Total Assets &amp; Deferred Outflows</t>
  </si>
  <si>
    <t>SELECT LIABILITIES</t>
  </si>
  <si>
    <t>Sources: Statement of Net Position,</t>
  </si>
  <si>
    <t>Current Liabilities</t>
  </si>
  <si>
    <t>% Chg CL--&gt;</t>
  </si>
  <si>
    <t>Accounts Payable</t>
  </si>
  <si>
    <t>Capital leases, current</t>
  </si>
  <si>
    <t>Notes/bonds/Debt, current</t>
  </si>
  <si>
    <t>Current portion (separate from non current portion); include current portion of capital lease</t>
  </si>
  <si>
    <t>Other Current Liabilities</t>
  </si>
  <si>
    <t>Excludes (current) Annual Principal; excludes current portion of capital leases</t>
  </si>
  <si>
    <t xml:space="preserve">   Current Liabilities</t>
  </si>
  <si>
    <t>Comments: Liabilities</t>
  </si>
  <si>
    <t>Noncurrent Liabilities</t>
  </si>
  <si>
    <t>Outstanding Loans</t>
  </si>
  <si>
    <t>Yes</t>
  </si>
  <si>
    <t>Noncurrent portions</t>
  </si>
  <si>
    <t>Long-term Liabilities</t>
  </si>
  <si>
    <t>Bond Debt &amp; Capital Lease Bal'</t>
  </si>
  <si>
    <t>Include E.g. capital lease, long-term portion</t>
  </si>
  <si>
    <t>Other NonCurrent Liabilities</t>
  </si>
  <si>
    <t>Net PERS Pension Liability</t>
  </si>
  <si>
    <t>Include Net PERS pension liabilities here; they are removed to calculate operating liabilities.</t>
  </si>
  <si>
    <t>Total Liabilities</t>
  </si>
  <si>
    <t>Total Liabilities (Operating)</t>
  </si>
  <si>
    <t>This line excludes bonds and pension liabilities and annual principal</t>
  </si>
  <si>
    <t>Estimated Net Assets</t>
  </si>
  <si>
    <t xml:space="preserve">Comments: </t>
  </si>
  <si>
    <t>Total Liab's &amp; Def'd Inflows</t>
  </si>
  <si>
    <t>Liab's &amp; Def'd Infl' w/o NPL</t>
  </si>
  <si>
    <t>Net Position (Per Annual Independent Audit)</t>
  </si>
  <si>
    <t>Net Position (Beg' of Yr)</t>
  </si>
  <si>
    <t>Change in Net Position</t>
  </si>
  <si>
    <t>Net Position (End of Yr)</t>
  </si>
  <si>
    <t>Calculated</t>
  </si>
  <si>
    <t>Reconciliation</t>
  </si>
  <si>
    <t>Annual independent audit</t>
  </si>
  <si>
    <t>Plus NPL adjustment</t>
  </si>
  <si>
    <t>Minus calculated net position</t>
  </si>
  <si>
    <t>Should equal zero</t>
  </si>
  <si>
    <t>Notes:</t>
  </si>
  <si>
    <t>I certify that to the best of my knowledge the information entered above is correct.</t>
  </si>
  <si>
    <t xml:space="preserve">Name of Board Member submitter  </t>
  </si>
  <si>
    <t xml:space="preserve">Title  </t>
  </si>
  <si>
    <t>School Board submitter's email address</t>
  </si>
  <si>
    <t>Date prepared &amp; Phone #</t>
  </si>
  <si>
    <t>Emailing this document to the SPCSA from an authorized school board chairperson or vice-chairperson will count as a signature. Submit this as a working Excel file.</t>
  </si>
  <si>
    <t>FINANCIAL PERFORMANCE MEASURES, METRICS, RATINGS</t>
  </si>
  <si>
    <t>Near Term Measure 1</t>
  </si>
  <si>
    <t>1</t>
  </si>
  <si>
    <t>Current Ratio (CA/CL) (MS &gt;=1.1 or...)</t>
  </si>
  <si>
    <t>See note (mouseover cell to left) for thresholds</t>
  </si>
  <si>
    <t xml:space="preserve">  Total Current Assets (Operating)</t>
  </si>
  <si>
    <t xml:space="preserve">Near Term Measure ‐ Current Ratio Current Assets / Current Liabilities </t>
  </si>
  <si>
    <t xml:space="preserve">  Total Current Liabilities (Operating)</t>
  </si>
  <si>
    <t xml:space="preserve">Meets Standard:  Current Ratio is 1.1 or greater. Or  Current Ratio is between 1.0 and 1.1 and one‐year trend is positive. </t>
  </si>
  <si>
    <t xml:space="preserve">     Current Ratio</t>
  </si>
  <si>
    <t xml:space="preserve">Note: For schools in their first or second year of operation, the Current Ratio must be greater than 1.1. </t>
  </si>
  <si>
    <t xml:space="preserve">Does Not Meet Standard:  Current Ratio is between 0.9 and .99. </t>
  </si>
  <si>
    <t xml:space="preserve">     Ratings</t>
  </si>
  <si>
    <t xml:space="preserve">Or  Current Ratio is between 1.0 and 1.1 and one-year trend is negative. </t>
  </si>
  <si>
    <t>Falls Far Below Standard:  Current Ratio is less than 0.9.</t>
  </si>
  <si>
    <t>Similar to Debt to Capitalization ; Debt / (Debt + Unrestricted Net Assets)</t>
  </si>
  <si>
    <t>Near Term Measure 2A</t>
  </si>
  <si>
    <t>2A</t>
  </si>
  <si>
    <t>Unrestricted Days Cash On Hand (&gt;= 60 days, unless…)</t>
  </si>
  <si>
    <t>Unrestricted Cash</t>
  </si>
  <si>
    <t xml:space="preserve">  Total Expenses, Operating</t>
  </si>
  <si>
    <t>* make sure row 77 is total expenses -- row 95 if 77 includes 95</t>
  </si>
  <si>
    <t xml:space="preserve">  Total Depreciation</t>
  </si>
  <si>
    <t xml:space="preserve">  Total Amortization</t>
  </si>
  <si>
    <t>Total Expenses, Net</t>
  </si>
  <si>
    <t xml:space="preserve">     Average Daily Expenses</t>
  </si>
  <si>
    <t xml:space="preserve">      UDCOH</t>
  </si>
  <si>
    <t>Unrestricted Cash / Average Daily Expenses = Days cash can cover average expenses.</t>
  </si>
  <si>
    <t>Trend</t>
  </si>
  <si>
    <t>Near Term Measure 2B (For Information purposes)</t>
  </si>
  <si>
    <t>2B</t>
  </si>
  <si>
    <t>Unrestricted Days Cash On Hand--w/Accounts Receivables (Information item)</t>
  </si>
  <si>
    <t>Unrestricted Cash &amp; AR</t>
  </si>
  <si>
    <t>Near Term Measure 3</t>
  </si>
  <si>
    <t>Enrollment Variance (Most recent year only)</t>
  </si>
  <si>
    <t xml:space="preserve">   Actual Enrollment</t>
  </si>
  <si>
    <t>&lt;--This is the version SPCSA staff are recommending to the board.</t>
  </si>
  <si>
    <t xml:space="preserve">   Projected Enrollment</t>
  </si>
  <si>
    <t>5.25.2021</t>
  </si>
  <si>
    <t xml:space="preserve">     Forecast Accuracy</t>
  </si>
  <si>
    <t>3B</t>
  </si>
  <si>
    <t>Enrollment Forecast Accuracy (For Information Only--Four-year, per Technical Guide) (&gt;=95% and…)</t>
  </si>
  <si>
    <t>3C</t>
  </si>
  <si>
    <t xml:space="preserve">Enrollment Forecast Accuracy (Test 2, For Information Only--Three year trailing weighted average, 57%, 29%, 14% weighting) </t>
  </si>
  <si>
    <t>This measure puts the heaviest weight on the most current year.</t>
  </si>
  <si>
    <t>3D</t>
  </si>
  <si>
    <t>Enrollment Forecast Accuracy (Test 3, For Information Only--Three year trailing weighted average, 44%, 33%, 23% weighting)</t>
  </si>
  <si>
    <t>This measure spreads the weighting over the entire three years.</t>
  </si>
  <si>
    <t>3E</t>
  </si>
  <si>
    <t>Enrollment Forecast Accuracy (Test 4, For Information Only--Three year trailing weighted average, 50%, 33%, 12% weighting)</t>
  </si>
  <si>
    <t>This measure is a balance between most recent and three year.</t>
  </si>
  <si>
    <t>Near Term Measure 4</t>
  </si>
  <si>
    <t>4</t>
  </si>
  <si>
    <t>Notices</t>
  </si>
  <si>
    <t>Debt Default (n/a if no debt)</t>
  </si>
  <si>
    <t>n/a</t>
  </si>
  <si>
    <t>Sustainabilty Measure 1</t>
  </si>
  <si>
    <t>5</t>
  </si>
  <si>
    <t>Total Margin (Not in default and not delinquent w/debt serevices)</t>
  </si>
  <si>
    <t xml:space="preserve">   Current Year Net Surplus</t>
  </si>
  <si>
    <t xml:space="preserve">   Current Year Total Revenue</t>
  </si>
  <si>
    <t>Meets Standard:</t>
  </si>
  <si>
    <t xml:space="preserve">      Current Year Margin</t>
  </si>
  <si>
    <t>* Aggregated three-year total margin is positive and the most recent year total margin is</t>
  </si>
  <si>
    <t>positive.</t>
  </si>
  <si>
    <t>3 Year</t>
  </si>
  <si>
    <t>Does Not Meet Standard:</t>
  </si>
  <si>
    <t>Surplus</t>
  </si>
  <si>
    <t>* Aggregated three-year total margin is negative or the most recent year total margin is</t>
  </si>
  <si>
    <t>Revenue</t>
  </si>
  <si>
    <t>negative.</t>
  </si>
  <si>
    <t xml:space="preserve">     Aggregated 3 Year Margin</t>
  </si>
  <si>
    <t>Falls Far Below Standard:</t>
  </si>
  <si>
    <t>* Aggregated three-year total margin is negative and the most recent year total margin is</t>
  </si>
  <si>
    <t>Sustainabilty Measure 2</t>
  </si>
  <si>
    <t>6A</t>
  </si>
  <si>
    <r>
      <t xml:space="preserve">Debt to Asset Ratio </t>
    </r>
    <r>
      <rPr>
        <sz val="10"/>
        <rFont val="Arial"/>
        <family val="2"/>
      </rPr>
      <t>(W/facilties, bonds.  W/o Net Pension Liability…)</t>
    </r>
  </si>
  <si>
    <t>Total Debt</t>
  </si>
  <si>
    <t xml:space="preserve">   Debt to Asset Ratio</t>
  </si>
  <si>
    <t xml:space="preserve">   Ratings</t>
  </si>
  <si>
    <t>6B</t>
  </si>
  <si>
    <t>Debt to Asset Ratio  (Information only: W/O facilties, bonds.  W/o Net Pension Liability…)</t>
  </si>
  <si>
    <t>Total Debt (Operating)</t>
  </si>
  <si>
    <t>This debt amount EXcludes Bond Debt &amp; Capital Lease Balances and  excludes Net Pension Liabilities</t>
  </si>
  <si>
    <t xml:space="preserve">Total Assets </t>
  </si>
  <si>
    <t>These ratings are "for information"</t>
  </si>
  <si>
    <t>Sustainabilty Measure 3</t>
  </si>
  <si>
    <t>7</t>
  </si>
  <si>
    <t>Cash Flow</t>
  </si>
  <si>
    <t xml:space="preserve">   Total Cash Balance</t>
  </si>
  <si>
    <t>"[I]ncludes restricted and unrestricted funds."</t>
  </si>
  <si>
    <t xml:space="preserve">   Multi Year Cash Flow (3 yr)</t>
  </si>
  <si>
    <t>Includes cash equivalents (Excludes bond proceeds)</t>
  </si>
  <si>
    <t xml:space="preserve">   One Year Cash Flow (1 yr)</t>
  </si>
  <si>
    <t>Y3-Y1 (rolling 3 year lookback)</t>
  </si>
  <si>
    <t xml:space="preserve">   One Year Cash Bal Chg</t>
  </si>
  <si>
    <t>Y2-Y1 (rolling 1 year lookback), Year over Year cash balance growth</t>
  </si>
  <si>
    <t>Sustainabilty Measure 4</t>
  </si>
  <si>
    <t>8</t>
  </si>
  <si>
    <t>Debt and/or Lease Service Coverage Ratio (MS &gt;=1.1)</t>
  </si>
  <si>
    <t>Net Income (aka Net Surplus)</t>
  </si>
  <si>
    <t>Does not include borrowings.</t>
  </si>
  <si>
    <t>Depreciation</t>
  </si>
  <si>
    <t>Capital Lease Expense</t>
  </si>
  <si>
    <t>Amortization</t>
  </si>
  <si>
    <t>NI b4 DIA</t>
  </si>
  <si>
    <t>Net Income before Depreciation, Interest Expense and Amortization, to derive net income cash available to cover fixed charges</t>
  </si>
  <si>
    <t>Annual Principal</t>
  </si>
  <si>
    <t>Total Interest, including bond, capital, building, financing interest</t>
  </si>
  <si>
    <t>Facility/Capital Lease Expense</t>
  </si>
  <si>
    <t>Debt (&amp; Lease) Service</t>
  </si>
  <si>
    <t>Capital and operating leases in Debt;</t>
  </si>
  <si>
    <t>DSCR or LSCR ***</t>
  </si>
  <si>
    <t>Or Debt, Lease and other Fixed Charge Coverage Ratio</t>
  </si>
  <si>
    <t>Exclude from numerator Cap ex paid for w/bond proceeds; exclude borrowings and other</t>
  </si>
  <si>
    <t>No FFBS rating for this Measure</t>
  </si>
  <si>
    <t>financing sources in net income. Exclude uses of bond proceeds from operating ratios.</t>
  </si>
  <si>
    <t>Hover cursor over red flags below to see notes.</t>
  </si>
  <si>
    <t>Guide is wrong-talks Current ratio in D/A</t>
  </si>
  <si>
    <t>Near Term</t>
  </si>
  <si>
    <t>Measure 1 - Current Ratio</t>
  </si>
  <si>
    <t>Is 1.1 or greater</t>
  </si>
  <si>
    <t>Between 1.0 and 1.1 and one-year trend is positive</t>
  </si>
  <si>
    <t>Between 0.9 and .99 (MD changed to &lt;1 to get the full 0.999…)</t>
  </si>
  <si>
    <t>Between 1.0 and 1.1 and one-year trend is negative</t>
  </si>
  <si>
    <t>Less Than 0.9</t>
  </si>
  <si>
    <t>Measure 2A - Unrestricted Days of Cash-on-Hand</t>
  </si>
  <si>
    <t>DO NOT DELETE ANY OF THE FOLLOWING</t>
  </si>
  <si>
    <t>60 days of cash or more</t>
  </si>
  <si>
    <t>OR Between 30 and 60 and one-year trend is positive</t>
  </si>
  <si>
    <t>Days of cash between 15 and 29</t>
  </si>
  <si>
    <t>OR Between 30 and 60 and one-year trend is negative</t>
  </si>
  <si>
    <t>Less than 15 days of cash</t>
  </si>
  <si>
    <t>Operating Deficit, No = 0</t>
  </si>
  <si>
    <t>Contract y1= Current y1? Y = 1</t>
  </si>
  <si>
    <t>DCOH (c1 y1) &gt; 15? Y = 1</t>
  </si>
  <si>
    <t>Enrol, DCOH (c1 y1) &gt; 15? Y = 1</t>
  </si>
  <si>
    <t>If enrollment &gt; 0, then test</t>
  </si>
  <si>
    <t>C1, y1 school</t>
  </si>
  <si>
    <t>Enrol, DCOH (c1 y1) &gt; 30? Y = 1</t>
  </si>
  <si>
    <t>MS?</t>
  </si>
  <si>
    <t>Measure 2B - Unrestricted Days of Cash-on-Hand</t>
  </si>
  <si>
    <t>Orig'Contract y1 or y2?</t>
  </si>
  <si>
    <t>Meets Standard: (30-60 &amp; posi trnd)</t>
  </si>
  <si>
    <t>Measure 3 - Enrollment Forecast Accuracy</t>
  </si>
  <si>
    <t>Enrollment forecast accuracy equals or exceeds 95% in the most recent year and equals or exceeds 95% of each the last three years</t>
  </si>
  <si>
    <t>Enrollment forecast accuracy is between 85% and 94% in the most recent year</t>
  </si>
  <si>
    <t>Enrollment forecast accuracy is 95% or greater in the most recent year but does not equal or exceed 95% or greater each of the last three years</t>
  </si>
  <si>
    <t>Enrollment forecast accuracy is less than 85% in the most recent year</t>
  </si>
  <si>
    <t xml:space="preserve">Working Area for "Enrollment Forecast Accuracy" (EFA) (Do not delete or move w/o ensuring links to this area do not break) </t>
  </si>
  <si>
    <t>Contract 1, Year 1</t>
  </si>
  <si>
    <t>Current Contract year 1</t>
  </si>
  <si>
    <t>First Contract?</t>
  </si>
  <si>
    <t>Current Contract Year</t>
  </si>
  <si>
    <t>MS (only) Ratings</t>
  </si>
  <si>
    <t>MS (Most recent year)</t>
  </si>
  <si>
    <t>EFA equals or exceeds 95% in the most recent year and equals or</t>
  </si>
  <si>
    <t>Last year (cy-1)</t>
  </si>
  <si>
    <t>exceeds 95% each of the last three years.</t>
  </si>
  <si>
    <t>Last 2 years(cy-2)</t>
  </si>
  <si>
    <t>Note: For schools in their first or second year of operation, enrollment forecast accuracy must</t>
  </si>
  <si>
    <t>Last 3 years(cy-3)</t>
  </si>
  <si>
    <t>be equal to or exceed 95% for each year of operation.</t>
  </si>
  <si>
    <t>MS Summary</t>
  </si>
  <si>
    <t>DNMS (1)(Most recent year)</t>
  </si>
  <si>
    <t>EFA is between 85% and 94% in the most recent year</t>
  </si>
  <si>
    <t xml:space="preserve">OR </t>
  </si>
  <si>
    <t>EFA is 95% or greater in the most recent year but does not equal
 or exceed 95% or greater each of the last three years.</t>
  </si>
  <si>
    <t>MR yr</t>
  </si>
  <si>
    <t>DNMS prior year</t>
  </si>
  <si>
    <t>DNMS 2 yrs a</t>
  </si>
  <si>
    <t>DNMS 3 yrs a</t>
  </si>
  <si>
    <t>DNMS &gt;85 &amp; &lt; 94% OR
EFA MRY &gt;=95% &amp; &lt;95% Any YA (1, 2, 3)</t>
  </si>
  <si>
    <t>Enrollment Forecast Accuracy (EFA)
Most Recent Year (MRY)
Year Ago (YA)</t>
  </si>
  <si>
    <t>3/26 Best formula</t>
  </si>
  <si>
    <t>3/26 Request removing the last three years requirement.</t>
  </si>
  <si>
    <t>SUMMARY-EFA</t>
  </si>
  <si>
    <t>Problem? Y1, y2 lower thresholds.  Means overrides this? Yes</t>
  </si>
  <si>
    <t>EFA Current year</t>
  </si>
  <si>
    <t>DNMS1</t>
  </si>
  <si>
    <t>SUSTAINABILTY MEASURE 1</t>
  </si>
  <si>
    <t xml:space="preserve">Total Margin </t>
  </si>
  <si>
    <t>MS: Most recent yr TM pos'</t>
  </si>
  <si>
    <r>
      <t>Meets Standard: M</t>
    </r>
    <r>
      <rPr>
        <sz val="11"/>
        <rFont val="Calibri"/>
        <family val="2"/>
      </rPr>
      <t xml:space="preserve">ost recent year Total Margin is </t>
    </r>
    <r>
      <rPr>
        <b/>
        <sz val="11"/>
        <rFont val="Calibri"/>
        <family val="2"/>
      </rPr>
      <t>positive</t>
    </r>
    <r>
      <rPr>
        <sz val="11"/>
        <rFont val="Calibri"/>
        <family val="2"/>
      </rPr>
      <t>--  </t>
    </r>
  </si>
  <si>
    <t>AND MS: Rcnt 3yr TM pos' if poss</t>
  </si>
  <si>
    <r>
      <t>AND</t>
    </r>
    <r>
      <rPr>
        <sz val="11"/>
        <rFont val="Calibri"/>
        <family val="2"/>
      </rPr>
      <t>--</t>
    </r>
    <r>
      <rPr>
        <b/>
        <sz val="11"/>
        <rFont val="Calibri"/>
        <family val="2"/>
      </rPr>
      <t>when calculable</t>
    </r>
    <r>
      <rPr>
        <sz val="11"/>
        <rFont val="Calibri"/>
        <family val="2"/>
      </rPr>
      <t xml:space="preserve">--the Aggregated Three‐Year Total Margin is also </t>
    </r>
    <r>
      <rPr>
        <b/>
        <sz val="11"/>
        <rFont val="Calibri"/>
        <family val="2"/>
      </rPr>
      <t>positive</t>
    </r>
    <r>
      <rPr>
        <sz val="11"/>
        <rFont val="Calibri"/>
        <family val="2"/>
      </rPr>
      <t>.   </t>
    </r>
  </si>
  <si>
    <t>MS: With "AND" constraint</t>
  </si>
  <si>
    <t xml:space="preserve">Does Not Meet Standard: </t>
  </si>
  <si>
    <r>
      <t>o</t>
    </r>
    <r>
      <rPr>
        <sz val="11"/>
        <rFont val="Calibri"/>
        <family val="2"/>
      </rPr>
      <t xml:space="preserve"> Aggregated Three‐Year Total Margin, </t>
    </r>
    <r>
      <rPr>
        <b/>
        <sz val="11"/>
        <rFont val="Calibri"/>
        <family val="2"/>
      </rPr>
      <t>when calculable</t>
    </r>
    <r>
      <rPr>
        <sz val="11"/>
        <rFont val="Calibri"/>
        <family val="2"/>
      </rPr>
      <t xml:space="preserve">, is </t>
    </r>
    <r>
      <rPr>
        <b/>
        <sz val="11"/>
        <rFont val="Calibri"/>
        <family val="2"/>
      </rPr>
      <t>negative</t>
    </r>
  </si>
  <si>
    <r>
      <t>OR</t>
    </r>
    <r>
      <rPr>
        <sz val="11"/>
        <rFont val="Calibri"/>
        <family val="2"/>
      </rPr>
      <t xml:space="preserve"> the most recent year Total Margin is </t>
    </r>
    <r>
      <rPr>
        <b/>
        <sz val="11"/>
        <rFont val="Calibri"/>
        <family val="2"/>
      </rPr>
      <t>negative</t>
    </r>
    <r>
      <rPr>
        <sz val="11"/>
        <rFont val="Calibri"/>
        <family val="2"/>
      </rPr>
      <t>.</t>
    </r>
  </si>
  <si>
    <r>
      <t xml:space="preserve">FFBS: </t>
    </r>
    <r>
      <rPr>
        <b/>
        <sz val="11"/>
        <rFont val="Symbol"/>
        <family val="1"/>
        <charset val="2"/>
      </rPr>
      <t>o</t>
    </r>
    <r>
      <rPr>
        <b/>
        <sz val="11"/>
        <rFont val="Calibri"/>
        <family val="2"/>
      </rPr>
      <t xml:space="preserve"> Aggregated Three‐Year Total Margin is negative </t>
    </r>
  </si>
  <si>
    <r>
      <t>AND</t>
    </r>
    <r>
      <rPr>
        <sz val="11"/>
        <rFont val="Calibri"/>
        <family val="2"/>
      </rPr>
      <t xml:space="preserve"> most recent year Total Margin is negative.</t>
    </r>
  </si>
  <si>
    <t>Note: For schools in their first or second year of operation, substitute the “Aggregated Three‐ year Total Margin” with the “Total Margin.”</t>
  </si>
  <si>
    <t>School is not in default of loan covenant(s) and is not delinquent with debt service payments</t>
  </si>
  <si>
    <t>School does not have an outstanding loan</t>
  </si>
  <si>
    <t>School is in default of loan covenant(s) and is not delinquent with debt service payments</t>
  </si>
  <si>
    <t>Sustainability</t>
  </si>
  <si>
    <t>Measure 1 - Total Margin</t>
  </si>
  <si>
    <t>Aggregated three-year total margin is positive and the most recent year total margin is positive</t>
  </si>
  <si>
    <t>Aggregated three-year total margin is negative or the most recent year total margin is negative</t>
  </si>
  <si>
    <t>Aggregated three-year total margin is negative and the most recent year total margin is negative</t>
  </si>
  <si>
    <t>Measure 2 - Debt to Asset Ratio</t>
  </si>
  <si>
    <t>Is less than 0.9</t>
  </si>
  <si>
    <t>Is greater than or equal to 0.90 and less than or equal to 1.0</t>
  </si>
  <si>
    <t>Is greater than 1.0</t>
  </si>
  <si>
    <t>Measure 3 - Cash Flow</t>
  </si>
  <si>
    <t>Multi-year cumulative cash flow is positive and the most recent year cash flow is positive</t>
  </si>
  <si>
    <t>Multi-year cumulative cash flow is negative or the most recent year cash flow is negative</t>
  </si>
  <si>
    <t>Multi-year cumulative cash flow is negative and the most year recent cash flow is negative</t>
  </si>
  <si>
    <t>Measure 4 - Debt Service Coverage Ratio</t>
  </si>
  <si>
    <t>Is equal to or exceeds 1.10</t>
  </si>
  <si>
    <t>Less than 1.10</t>
  </si>
  <si>
    <t>=IF('Formula Sheet'!$C$31&gt;2,IF($F$22&gt;'=1.1,"X",""),IF($F$22&gt;1.1,"X",""))</t>
  </si>
  <si>
    <t>Total Current Liabilities</t>
  </si>
  <si>
    <t>=IF('Formula Sheet'!$C$31&gt;2,IF(AND($F$22&gt;'=0.995,$F$22&lt;1.1,$F$23&gt;0),"X",""),"")</t>
  </si>
  <si>
    <t>Current Ratio</t>
  </si>
  <si>
    <t>=IF('Formula Sheet'!$C$31&gt;2,IF(AND($F$22&gt;'=0.9,$F$22&lt;'=0.994),"X",""),IF(AND($F$22&gt;'=0.9,$F$22&lt;'=1.1),"X",""))</t>
  </si>
  <si>
    <t>One-Year Trend</t>
  </si>
  <si>
    <t>=IF('Formula Sheet'!$C$31&gt;2,IF(AND($F$22&gt;'=1,$F$22&lt;1.1,$F$23&lt;0),"X",""),"")</t>
  </si>
  <si>
    <t>=IF($F$22&lt;0.9,"X","")</t>
  </si>
  <si>
    <t>Measure 2 - Unrestricted Days of Cash-on-Hand</t>
  </si>
  <si>
    <t xml:space="preserve">Purpose:  The unrestricted days cash-on-hand indicates how many days a school can pay its operating expenses without an inflow of cash. National standards state 60-120 cash-on-hand is considered a model practice.  </t>
  </si>
  <si>
    <t>Data Source:  Statement of Net Position;  Statement of Revenues, Expenditures and Changes in Fund Balance;  Notes to the Financial Statements</t>
  </si>
  <si>
    <t>Average Daily Expenses =</t>
  </si>
  <si>
    <t>=</t>
  </si>
  <si>
    <t>Unrestricted Days of Cash-on-Hand =</t>
  </si>
  <si>
    <t xml:space="preserve">One-Year Trend = </t>
  </si>
  <si>
    <t>=IF('Formula Sheet'!$C$31&gt;2,IF($F$47&gt;'=60,"X",""),IF($F$47&gt;'=30,"X",""))</t>
  </si>
  <si>
    <t>Annual Depreciation</t>
  </si>
  <si>
    <t>=IF('Formula Sheet'!$C$31&gt;2,IF(AND($F$47&gt;'=30,$F$47&lt;60,$F$48&gt;0),"X",""),"")</t>
  </si>
  <si>
    <t>=IF('Formula Sheet'!$C$31&gt;2,IF(AND($F$47&gt;'=15,$F$47&lt;30),"X",""),IF(AND($F$47&gt;'=15,$F$47&lt;30),"X",""))</t>
  </si>
  <si>
    <t>Unrestricted Cash and Equivalents</t>
  </si>
  <si>
    <t>=IF('Formula Sheet'!$C$31&gt;2,IF(AND($F$47&gt;'=30,$F$47&lt;60,$F$48&lt;0),"X",""),IF(AND($F$47&gt;30,$F$47&lt;60,$F$48&lt;0),"X",""))</t>
  </si>
  <si>
    <t>Average Daily Expenses</t>
  </si>
  <si>
    <t>=IF($F$47&lt;15,"X","")</t>
  </si>
  <si>
    <t>Days of Cash-On-Hand</t>
  </si>
  <si>
    <t xml:space="preserve">Purpose: Enrollment forecast accuracy tells sponsors whether or not the school is meeting its enrollment projections, thereby generating sufficient revenue to fund ongoing operations.  </t>
  </si>
  <si>
    <t>Data Source:  Actual Enrollment = certified validation day numbers;  Projected Enrollment = charter school board-approved budgeted enrollment</t>
  </si>
  <si>
    <t>2017 Forecast Accuracy =</t>
  </si>
  <si>
    <t>2016 Forecast Accuracy =</t>
  </si>
  <si>
    <t>2015 Forecast Accuracy =</t>
  </si>
  <si>
    <t>Actual Enrollment</t>
  </si>
  <si>
    <t>=IF('Formula Sheet'!$C$31&gt;2,IF(AND($F$68&gt;'=0.95,$F$69&gt;'=0.95,$F$70&gt;'=0.95),"X",""),IF('Formula Sheet'!$C$31'=2,IF(AND($F$68&gt;'=0.95,$F$69&gt;'=0.95,N70'=0),"X",""),IF(AND($F$68&gt;'=0.95,$F$69&gt;'=0,N70'=0),"X","")))</t>
  </si>
  <si>
    <t>Projected Enrollment</t>
  </si>
  <si>
    <t>Current Year Forecast Accuracy</t>
  </si>
  <si>
    <t>=IF('Formula Sheet'!$C$31&gt;2,IF(AND($F$68&gt;'=0.85,$F$68&lt;0.95),"X",""),IF(AND($F$68&gt;'=0.85,$F$68&lt;0.95),"X",""))</t>
  </si>
  <si>
    <t>Previous Year Forecast Accuracy</t>
  </si>
  <si>
    <t>2015 Forecast Accuracy</t>
  </si>
  <si>
    <t>=IF('Formula Sheet'!$C$31&gt;2,IF(AND($F$68&gt;'=0.95,OR($F$69&lt;0.95,$F$70&lt;0.95)),"X",""),IF('Formula Sheet'!$C$31'=2,IF(AND($F$68&gt;'=0.95,$F$69&lt;0.95),"X",""),""))</t>
  </si>
  <si>
    <t>=IF('Formula Sheet'!$C$31&gt;2,IF($F$68&lt;0.85,"X",""),IF($F$68&lt;0.85,"X",""))</t>
  </si>
  <si>
    <t>Measure 4 - Debt Default</t>
  </si>
  <si>
    <t>Purpose: The debt default indicator addresses whether or not a school is meeting its loan obligations and/or is delinquent with its debt service payments.  Notes from the audited financial statements are used as the source of data. In most cases this will not be applicable for charter schools that do not have outstanding loan.</t>
  </si>
  <si>
    <t>Data Source:  Notes to the Financial Statements</t>
  </si>
  <si>
    <t>Sponsors may consider a school in default only when the charter school is not making payments on its debt, or when it is out of compliance with other requirements in its debt covenants.</t>
  </si>
  <si>
    <t>Does the school have an outstanding loan?</t>
  </si>
  <si>
    <t>=IF(O88'="X","",IF($F$87'="No","X",""))</t>
  </si>
  <si>
    <t>Is the school in default of loan covenants?</t>
  </si>
  <si>
    <t>=IF($F$86'="No","X","")</t>
  </si>
  <si>
    <t>=IF($F$87'="Yes","X","")</t>
  </si>
  <si>
    <t>Purpose: Total margin measures the deficit or surplus a school yields out of its total revenues, which indicates whether or not the school is operating within its available resources. The measurement looks at the most recent 3 years.</t>
  </si>
  <si>
    <t>Data Source:  Statement of Revenues, Expenditures and Changes in Fund Balance</t>
  </si>
  <si>
    <t>2017 Total Margin =</t>
  </si>
  <si>
    <t>2016 Total Margin =</t>
  </si>
  <si>
    <t>2015 Total Margin =</t>
  </si>
  <si>
    <t>Aggregated Total Margin =</t>
  </si>
  <si>
    <t>2017 Total Revenue</t>
  </si>
  <si>
    <t>=IF('Formula Sheet'!$C$31&gt;2,IF(AND($F$120&gt;0,$F$115&gt;0),"X",""),IF(AND($F$120&gt;0,$F$115&gt;0),"X",""))</t>
  </si>
  <si>
    <t>2017 Total Expenditures</t>
  </si>
  <si>
    <t>Net Surplus</t>
  </si>
  <si>
    <t>=IF(O116'="X","",IF('Formula Sheet'!$C$31&gt;2,IF(OR($F$120&lt;0,$F$115&lt;0),"X",""),IF(OR($F$120&lt;0,$F$115&lt;0),"X","")))</t>
  </si>
  <si>
    <t>Current Year Total Margin</t>
  </si>
  <si>
    <t>Previous Year Current Margin</t>
  </si>
  <si>
    <t>=IF('Formula Sheet'!$C$31&gt;2,IF(AND($F$120&lt;0,$F$115&lt;0),"X",""),IF(AND($F$120&lt;0,$F$115&lt;0),"X",""))</t>
  </si>
  <si>
    <t>2015 Total Margin</t>
  </si>
  <si>
    <t>Three-Year Net Surplus</t>
  </si>
  <si>
    <t>Three-Year Revenues</t>
  </si>
  <si>
    <t>Aggregated Total Margin</t>
  </si>
  <si>
    <t>Purpose: The debt to asset ratio measures the amount of debt a school owes versus the assets they own; in other words, it measures the extent to which the school relies on borrowed funds to finance its operations.  A debt to asset ratio greater than 1.0 is a generally accepted indicator of potential long-term financial issues, as the organization owes more than it owns, reflecting a risky financial position. A ratio less than 0.9 indicates a financially healthy balance sheet, both in the assets and liabilities, and the implied balance in the equity account.</t>
  </si>
  <si>
    <t>Data Source:  Statement of Net Position</t>
  </si>
  <si>
    <t>Debt to Asset Ratio =</t>
  </si>
  <si>
    <t>* PERS pension liability is excluded from Total Liabilities</t>
  </si>
  <si>
    <t>=IF($F$138&lt;0.9,"X","")</t>
  </si>
  <si>
    <t>=IF(AND($F$138&gt;'=0.9,$F$138&lt;'=1),"X","")</t>
  </si>
  <si>
    <t>Debt to Asset Ratio</t>
  </si>
  <si>
    <t>=IF($F$138&gt;1,"X","")</t>
  </si>
  <si>
    <t>Purpose: The cash flow measure indicates a school’s change in cash balance from one period to another. This measure includes restricted and unrestricted funds. The measurement looks at the most recent 3 years.</t>
  </si>
  <si>
    <t>2017 Cash Flow =</t>
  </si>
  <si>
    <t>2016 Cash Flow =</t>
  </si>
  <si>
    <t>2015 Cash Flow =</t>
  </si>
  <si>
    <t>Multi-Year Cash Flow =</t>
  </si>
  <si>
    <t>2017 Cash</t>
  </si>
  <si>
    <t>=IF('Formula Sheet'!$C$31&gt;2,IF(AND($F$162&gt;0,$F$159&gt;0),"X",""),IF(AND($F$162&gt;0,$F$159&gt;0),"X",""))</t>
  </si>
  <si>
    <t>2016 Cash</t>
  </si>
  <si>
    <t>2015 Cash</t>
  </si>
  <si>
    <t>=IF(O160'="X","",IF('Formula Sheet'!$C$31&gt;2,IF(OR($F$162&lt;0,$F$159&lt;0),"X",""),IF(OR($F$162&lt;0,$F$159&lt;0),"X","")))</t>
  </si>
  <si>
    <t>Current Year Cash Flow</t>
  </si>
  <si>
    <t>Previous Year Cash Flow</t>
  </si>
  <si>
    <t>=IF('Formula Sheet'!$C$31&gt;2,IF(AND($F$162&lt;0,$F$159&lt;0),"X",""),IF(AND($F$162&lt;0,$F$159&lt;0),"X",""))</t>
  </si>
  <si>
    <t>2015 Cash Flow</t>
  </si>
  <si>
    <t>Multi-Year Cash Flow</t>
  </si>
  <si>
    <t>Purpose: The debt service coverage ratio indicates a school’s ability to cover its debt obligations in the current year. In most cases this will not be applicable for charter schools that do not have an outstanding loan. This ratio measures whether or not a school can pay the principal and interest due on its debt based on the current year’s net income. Depreciation expense is added back to the net income because it is a non-cash transaction and does not actually cost the school money. The interest expense is added back to the net income because it is one of the expenses an entity is trying to pay, which is why it is included in the denominator.</t>
  </si>
  <si>
    <t>Data Source:  Statement of Revenues, Expenditures and Changes in Fund Balance;  Notes to the Financial Statements</t>
  </si>
  <si>
    <t>Debt Service Coverage Ratio =</t>
  </si>
  <si>
    <t>=IF($F$177'="Yes",IF($F$185&gt;'=1.1,"X",""),"")</t>
  </si>
  <si>
    <t>Net Income</t>
  </si>
  <si>
    <t>=IF($F$177'="No","X","")</t>
  </si>
  <si>
    <t>=IF($F$185'="","",IF($F$185&lt;1.1,"X",""))</t>
  </si>
  <si>
    <t>Interest Payments</t>
  </si>
  <si>
    <t>Debt Service Current Ratio</t>
  </si>
  <si>
    <t>Facility details</t>
  </si>
  <si>
    <t>Sarahra property</t>
  </si>
  <si>
    <t>2025 E. Sahara  Las Vegas, NV  89104</t>
  </si>
  <si>
    <t>Attachment 1</t>
  </si>
  <si>
    <t>3-5</t>
  </si>
  <si>
    <t xml:space="preserve">Consulting Services:  Data Analyst </t>
  </si>
  <si>
    <t>Interest expense; Year 0 loans</t>
  </si>
  <si>
    <t>Consulting Services:  HR</t>
  </si>
  <si>
    <t>Consulting Services:  CFO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</si>
</sst>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_(&quot;$&quot;* #,##0_);_(&quot;$&quot;* \(#,##0\);_(&quot;$&quot;* &quot;-&quot;??_);_(@_)"/>
    <numFmt numFmtId="167" formatCode="&quot;$&quot;#,##0\ ;\(&quot;$&quot;#,##0\)"/>
    <numFmt numFmtId="168" formatCode="[$-409]mmmm\ d\,\ yyyy;@"/>
    <numFmt numFmtId="169" formatCode="_(* #,##0.00_);_(* \(#,##0.00\);_(* \-??_);_(@_)"/>
    <numFmt numFmtId="170" formatCode="_(\$* #,##0.00_);_(\$* \(#,##0.00\);_(\$* \-??_);_(@_)"/>
    <numFmt numFmtId="171" formatCode="_ * #,##0.00_ ;_ * \-#,##0.00_ ;_ * \-??_ ;_ @_ "/>
    <numFmt numFmtId="172" formatCode="_(#,##0_);[Red]_(\(#,##0\);_(&quot;-&quot;_);_(@_)"/>
    <numFmt numFmtId="173" formatCode="_(#,##0.0_);[Red]_(\(#,##0.0\);_(&quot;-&quot;_);_(@_)"/>
    <numFmt numFmtId="174" formatCode="_(&quot;$&quot;#,##0_);[Red]_(&quot;$&quot;\(#,##0\);_(&quot;$&quot;\ &quot;-&quot;_);_(@_)"/>
    <numFmt numFmtId="175" formatCode="0%;[Red]\(0%\);&quot;-%&quot;"/>
    <numFmt numFmtId="176" formatCode="_(#,##0_)&quot; sf/p&quot;;[Red]_(\(#,##0\);_(&quot;-&quot;_);_(@_)"/>
    <numFmt numFmtId="177" formatCode="_(&quot;$&quot;#,##0_);&quot;$&quot;\(#,##0\);_(&quot;$&quot;&quot;-&quot;_);_(@_)"/>
    <numFmt numFmtId="178" formatCode="_(&quot;$&quot;#,##0.00_);&quot;$&quot;\(#,##0.00\);_(&quot;$&quot;&quot;-&quot;_);_(@_)"/>
    <numFmt numFmtId="179" formatCode="&quot;$&quot;#,##0_)&quot;/pp&quot;;[Red]\(&quot;$&quot;#,##0\)"/>
    <numFmt numFmtId="180" formatCode="0%;[Red]\(0\)%"/>
    <numFmt numFmtId="181" formatCode="#,##0_)&quot;sf&quot;;\(#,##0\)&quot;sf&quot;;_(* &quot;-&quot;_);_(@_)"/>
    <numFmt numFmtId="182" formatCode="_(&quot;$&quot;* #,##0_);[Red]_(&quot;$&quot;* \(#,##0\);_(&quot;$&quot;* \ &quot;-&quot;_);_(@_)"/>
    <numFmt numFmtId="183" formatCode="_(* #,##0_);_(* \(#,##0\);_(* &quot;-&quot;??_);_(@_)"/>
    <numFmt numFmtId="184" formatCode="_(&quot;$&quot;\ #,##0_);[Red]_(&quot;$&quot;\(#,##0\);_(&quot;$&quot;\ &quot;-&quot;_);_(@_)"/>
    <numFmt numFmtId="185" formatCode="0_);[Red]\(0\)"/>
    <numFmt numFmtId="186" formatCode="000\-000\-0000"/>
    <numFmt numFmtId="187" formatCode="_(&quot;$&quot;#,##0.00_);[Red]_(&quot;$&quot;\(#,##0.00\);_(&quot;$&quot;\ &quot;-&quot;_);_(@_)"/>
    <numFmt numFmtId="188" formatCode="&quot;SYE &quot;General"/>
    <numFmt numFmtId="189" formatCode="&quot;SY &quot;General"/>
    <numFmt numFmtId="190" formatCode="0.00%;[Red]\(0.00%\);&quot;-%&quot;"/>
    <numFmt numFmtId="191" formatCode="#,##0_)&quot;sf/p&quot;;\(#,##0\)&quot;sf&quot;;_(* &quot;-&quot;_);_(@_)"/>
    <numFmt numFmtId="192" formatCode="_(#,##0_)&quot;sf/p&quot;;[Red]_(\(#,##0\);_(&quot;-&quot;_);_(@_)"/>
    <numFmt numFmtId="193" formatCode="General&quot; s&quot;"/>
    <numFmt numFmtId="194" formatCode="_(#,##0.0_)&quot;mi&quot;;[Red]_(\(#,##0.0\);_(&quot;-&quot;_);_(@_)"/>
    <numFmt numFmtId="195" formatCode="&quot;Yr &quot;General"/>
    <numFmt numFmtId="196" formatCode="0.0%;[Red]\(0.0%\);&quot;-%&quot;"/>
    <numFmt numFmtId="197" formatCode="_(#,##0_)&quot;s&quot;;[Red]_(\(#,##0\)&quot; s&quot;;_(&quot;-&quot;_);_(@_)"/>
    <numFmt numFmtId="198" formatCode="&quot;max &quot;#,##0_);[Red]\(#,##0\)"/>
    <numFmt numFmtId="199" formatCode="&quot;av &quot;_(&quot;$&quot;#,##0_);[Red]_(&quot;$&quot;\(#,##0\);_(&quot;$&quot;\ &quot;-&quot;_);_(@_)"/>
    <numFmt numFmtId="200" formatCode="&quot;min &quot;_(#,##0_);[Red]_(\(#,##0\);_(&quot;-&quot;_);_(@_)"/>
    <numFmt numFmtId="201" formatCode="_(#,##0_)&quot;s&quot;;[Red]_(\(#,##0\);_(&quot;-&quot;_);_(@_)"/>
    <numFmt numFmtId="202" formatCode="&quot;Plan max &quot;#,##0_);[Red]\(#,##0\)"/>
    <numFmt numFmtId="203" formatCode="_(#,##0.00_);[Red]_(\(#,##0.00\);_(&quot;-&quot;_);_(@_)"/>
    <numFmt numFmtId="204" formatCode="&quot;$&quot;#,##0_)&quot;/pp&quot;;[Red]\(&quot;$&quot;#,##0\);&quot;$-/pp&quot;"/>
    <numFmt numFmtId="205" formatCode="&quot;max &quot;#,##0_);[Red]\(#,##0\);&quot;max -&quot;"/>
    <numFmt numFmtId="206" formatCode="&quot;Plan max &quot;#,##0_);[Red]\(#,##0\);&quot;Plan max -&quot;"/>
    <numFmt numFmtId="207" formatCode="General;;&quot;-s&quot;"/>
    <numFmt numFmtId="208" formatCode="&quot;av&quot;_(&quot;$&quot;* #,##0_);_(&quot;$&quot;* \(#,##0\);_(&quot;$&quot;* &quot;-&quot;??_);_(@_)"/>
    <numFmt numFmtId="209" formatCode="#,##0_)&quot;Ss&quot;;[Red]\(#,##0\);&quot;- Ss&quot;"/>
    <numFmt numFmtId="210" formatCode="_(&quot;$&quot;#,##0.0_);[Red]_(&quot;$&quot;\(#,##0.0\);_(&quot;$&quot;\ &quot;-&quot;_);_(@_)"/>
    <numFmt numFmtId="211" formatCode="&quot;avg &quot;&quot;$&quot;#,##0_);[Red]\(&quot;$&quot;#,##0\);&quot;avg $-&quot;"/>
    <numFmt numFmtId="212" formatCode="&quot;$&quot;#,##0.00_);[Red]\(&quot;$&quot;#,##0.00\);&quot;$ -&quot;"/>
    <numFmt numFmtId="213" formatCode="0.00%;[Red]\(0.00%\);&quot;% -&quot;"/>
    <numFmt numFmtId="214" formatCode="#,##0.00;[Red]\(#,##0.00\);&quot;-&quot;"/>
    <numFmt numFmtId="215" formatCode="_(#,##0.0_)&quot;sf&quot;;[Red]_(\(#,##0.0\);_(&quot;-&quot;_);_(@_)"/>
    <numFmt numFmtId="216" formatCode="&quot;July 1, 20&quot;##"/>
    <numFmt numFmtId="217" formatCode="&quot;$&quot;#,##0_)&quot;pp&quot;;[Red]\(&quot;$&quot;#,##0\)&quot;pp&quot;;&quot;$/pp&quot;"/>
    <numFmt numFmtId="218" formatCode="_(&quot;$&quot;#,##0_)&quot;PP&quot;;[Red]_(&quot;$&quot;\(#,##0\);_(&quot;$&quot;\ &quot;-&quot;_);_(@_)"/>
    <numFmt numFmtId="219" formatCode="_(&quot;$&quot;#,##0_)&quot;P FRL P&quot;;[Red]_(&quot;$&quot;\(#,##0\);_(&quot;$&quot;\ &quot;-&quot;_);_(@_)"/>
    <numFmt numFmtId="220" formatCode="_(&quot;$&quot;#,##0.00_)&quot;/mo&quot;;[Red]_(&quot;$&quot;\(#,##0.00\);_(&quot;$&quot;\ &quot;-&quot;_);_(@_)"/>
    <numFmt numFmtId="221" formatCode="_(&quot;$&quot;#,##0.00_)&quot;/yr&quot;;[Red]_(&quot;$&quot;\(#,##0.00\);_(&quot;$&quot;\ &quot;-&quot;_);_(@_)"/>
    <numFmt numFmtId="222" formatCode="&quot;Year &quot;General"/>
    <numFmt numFmtId="223" formatCode="&quot;Fall &quot;General"/>
    <numFmt numFmtId="224" formatCode="&quot;Spring &quot;General"/>
    <numFmt numFmtId="225" formatCode="_(* #,##0.0_);_(* \(#,##0.0\);_(* &quot;-&quot;??_);_(@_)"/>
    <numFmt numFmtId="226" formatCode="\r\ 00"/>
    <numFmt numFmtId="227" formatCode="_(#,##0.00_)&quot;x&quot;;[Red]_(\(#,##0.00\)&quot;x&quot;;_(&quot;-&quot;_);_(@_)"/>
    <numFmt numFmtId="228" formatCode="_(#,##0.0_)&quot;x&quot;;[Red]_(\(#,##0.0\)&quot;x&quot;;_(&quot;-&quot;_);_(@_)"/>
    <numFmt numFmtId="229" formatCode="_(#,##0.0_)&quot; Days&quot;;[Red]_(\(#,##0.0\);_(&quot;-&quot;_);_(@_)"/>
    <numFmt numFmtId="230" formatCode="_(#,##0_)&quot; Days&quot;;[Red]_(\(#,##0\);_(&quot;-&quot;_);_(@_)"/>
    <numFmt numFmtId="231" formatCode="0.0%;[Red]\(0.0\)%"/>
  </numFmts>
  <fonts count="211">
    <font>
      <sz val="11"/>
      <color theme="1"/>
      <name val="Calibri"/>
      <family val="2"/>
      <scheme val="minor"/>
    </font>
    <font>
      <sz val="11"/>
      <color indexed="8"/>
      <name val="Calibri"/>
      <family val="2"/>
    </font>
    <font>
      <sz val="10"/>
      <name val="Arial"/>
      <family val="2"/>
    </font>
    <font>
      <sz val="11"/>
      <color indexed="8"/>
      <name val="Calibri"/>
      <family val="2"/>
    </font>
    <font>
      <sz val="8"/>
      <name val="Arial"/>
      <family val="2"/>
    </font>
    <font>
      <b/>
      <sz val="8"/>
      <name val="Arial"/>
      <family val="2"/>
    </font>
    <font>
      <b/>
      <sz val="11"/>
      <color indexed="8"/>
      <name val="Calibri"/>
      <family val="2"/>
    </font>
    <font>
      <sz val="8"/>
      <name val="Verdana"/>
      <family val="2"/>
    </font>
    <font>
      <sz val="11"/>
      <color theme="1"/>
      <name val="Calibri"/>
      <family val="2"/>
      <scheme val="minor"/>
    </font>
    <font>
      <b/>
      <sz val="11"/>
      <color rgb="FF0070C0"/>
      <name val="Calibri"/>
      <family val="2"/>
      <scheme val="minor"/>
    </font>
    <font>
      <u/>
      <sz val="8.8000000000000007"/>
      <color theme="10"/>
      <name val="Calibri"/>
      <family val="2"/>
    </font>
    <font>
      <b/>
      <sz val="11"/>
      <color theme="1"/>
      <name val="Calibri"/>
      <family val="2"/>
      <scheme val="minor"/>
    </font>
    <font>
      <b/>
      <sz val="11"/>
      <color theme="0"/>
      <name val="Calibri"/>
      <family val="2"/>
      <scheme val="minor"/>
    </font>
    <font>
      <i/>
      <sz val="11"/>
      <color theme="1"/>
      <name val="Calibri"/>
      <family val="2"/>
      <scheme val="minor"/>
    </font>
    <font>
      <sz val="9"/>
      <name val="Arial"/>
      <family val="2"/>
    </font>
    <font>
      <b/>
      <sz val="10"/>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Times New Roman"/>
      <family val="1"/>
    </font>
    <font>
      <sz val="18"/>
      <name val="Times New Roman"/>
      <family val="1"/>
    </font>
    <font>
      <sz val="8"/>
      <name val="Times New Roman"/>
      <family val="1"/>
    </font>
    <font>
      <u/>
      <sz val="10"/>
      <color indexed="12"/>
      <name val="Arial"/>
      <family val="2"/>
    </font>
    <font>
      <sz val="12"/>
      <name val="Helv"/>
    </font>
    <font>
      <sz val="10"/>
      <name val="Helv"/>
    </font>
    <font>
      <i/>
      <sz val="10"/>
      <color rgb="FF7F7F7F"/>
      <name val="Arial"/>
      <family val="2"/>
    </font>
    <font>
      <b/>
      <sz val="11"/>
      <color theme="3"/>
      <name val="Arial"/>
      <family val="2"/>
    </font>
    <font>
      <sz val="10"/>
      <name val="Courier"/>
      <family val="3"/>
    </font>
    <font>
      <sz val="10"/>
      <color indexed="10"/>
      <name val="Arial"/>
      <family val="2"/>
    </font>
    <font>
      <b/>
      <sz val="11"/>
      <color indexed="62"/>
      <name val="Arial"/>
      <family val="2"/>
    </font>
    <font>
      <sz val="11"/>
      <color indexed="10"/>
      <name val="Calibri"/>
      <family val="2"/>
    </font>
    <font>
      <sz val="12"/>
      <color indexed="8"/>
      <name val="Verdana"/>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Arial"/>
      <family val="2"/>
      <charset val="1"/>
    </font>
    <font>
      <b/>
      <sz val="10"/>
      <color indexed="8"/>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u/>
      <sz val="10"/>
      <color rgb="FF0000FF"/>
      <name val="Arial"/>
      <family val="2"/>
      <charset val="1"/>
    </font>
    <font>
      <sz val="11"/>
      <color indexed="10"/>
      <name val="Calibri"/>
      <family val="2"/>
      <scheme val="minor"/>
    </font>
    <font>
      <sz val="11"/>
      <color indexed="19"/>
      <name val="Calibri"/>
      <family val="2"/>
      <scheme val="minor"/>
    </font>
    <font>
      <b/>
      <sz val="18"/>
      <color indexed="62"/>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b/>
      <sz val="12"/>
      <name val="Arial"/>
      <family val="2"/>
    </font>
    <font>
      <sz val="11"/>
      <color theme="1"/>
      <name val="Courier New"/>
      <family val="2"/>
    </font>
    <font>
      <b/>
      <sz val="15"/>
      <color theme="3"/>
      <name val="Courier New"/>
      <family val="2"/>
    </font>
    <font>
      <b/>
      <sz val="13"/>
      <color theme="3"/>
      <name val="Courier New"/>
      <family val="2"/>
    </font>
    <font>
      <b/>
      <sz val="11"/>
      <color theme="3"/>
      <name val="Courier New"/>
      <family val="2"/>
    </font>
    <font>
      <sz val="11"/>
      <color rgb="FF006100"/>
      <name val="Courier New"/>
      <family val="2"/>
    </font>
    <font>
      <sz val="11"/>
      <color rgb="FF9C0006"/>
      <name val="Courier New"/>
      <family val="2"/>
    </font>
    <font>
      <sz val="11"/>
      <color rgb="FF9C6500"/>
      <name val="Courier New"/>
      <family val="2"/>
    </font>
    <font>
      <sz val="11"/>
      <color rgb="FF3F3F76"/>
      <name val="Courier New"/>
      <family val="2"/>
    </font>
    <font>
      <b/>
      <sz val="11"/>
      <color rgb="FF3F3F3F"/>
      <name val="Courier New"/>
      <family val="2"/>
    </font>
    <font>
      <b/>
      <sz val="11"/>
      <color rgb="FFFA7D00"/>
      <name val="Courier New"/>
      <family val="2"/>
    </font>
    <font>
      <sz val="11"/>
      <color rgb="FFFA7D00"/>
      <name val="Courier New"/>
      <family val="2"/>
    </font>
    <font>
      <b/>
      <sz val="11"/>
      <color theme="0"/>
      <name val="Courier New"/>
      <family val="2"/>
    </font>
    <font>
      <sz val="11"/>
      <color rgb="FFFF0000"/>
      <name val="Courier New"/>
      <family val="2"/>
    </font>
    <font>
      <i/>
      <sz val="11"/>
      <color rgb="FF7F7F7F"/>
      <name val="Courier New"/>
      <family val="2"/>
    </font>
    <font>
      <b/>
      <sz val="11"/>
      <color theme="1"/>
      <name val="Courier New"/>
      <family val="2"/>
    </font>
    <font>
      <sz val="11"/>
      <color theme="0"/>
      <name val="Courier New"/>
      <family val="2"/>
    </font>
    <font>
      <b/>
      <sz val="18"/>
      <name val="Arial"/>
      <family val="2"/>
    </font>
    <font>
      <sz val="18"/>
      <color theme="3"/>
      <name val="Cambria"/>
      <family val="2"/>
      <scheme val="major"/>
    </font>
    <font>
      <sz val="12"/>
      <color theme="1"/>
      <name val="Calibri"/>
      <family val="2"/>
      <scheme val="minor"/>
    </font>
    <font>
      <sz val="11"/>
      <color rgb="FF9C5700"/>
      <name val="Calibri"/>
      <family val="2"/>
      <scheme val="minor"/>
    </font>
    <font>
      <i/>
      <sz val="9"/>
      <color indexed="8"/>
      <name val="Arial"/>
      <family val="2"/>
    </font>
    <font>
      <b/>
      <sz val="9"/>
      <color indexed="23"/>
      <name val="Arial"/>
      <family val="2"/>
    </font>
    <font>
      <b/>
      <sz val="10"/>
      <color indexed="23"/>
      <name val="Arial"/>
      <family val="2"/>
    </font>
    <font>
      <b/>
      <sz val="12"/>
      <color indexed="9"/>
      <name val="Arial"/>
      <family val="2"/>
    </font>
    <font>
      <b/>
      <sz val="11"/>
      <name val="Times New Roman"/>
      <family val="1"/>
    </font>
    <font>
      <sz val="11"/>
      <name val="Times New Roman"/>
      <family val="1"/>
    </font>
    <font>
      <sz val="11"/>
      <color indexed="8"/>
      <name val="Times New Roman"/>
      <family val="1"/>
    </font>
    <font>
      <b/>
      <sz val="11"/>
      <color indexed="8"/>
      <name val="Times New Roman"/>
      <family val="1"/>
    </font>
    <font>
      <sz val="10"/>
      <color rgb="FF0000FF"/>
      <name val="Arial"/>
      <family val="2"/>
    </font>
    <font>
      <b/>
      <sz val="10"/>
      <color indexed="8"/>
      <name val="Times New Roman"/>
      <family val="1"/>
    </font>
    <font>
      <sz val="10"/>
      <color indexed="8"/>
      <name val="Times New Roman"/>
      <family val="1"/>
    </font>
    <font>
      <sz val="11"/>
      <color rgb="FF0000FF"/>
      <name val="Times New Roman"/>
      <family val="1"/>
    </font>
    <font>
      <sz val="9"/>
      <color indexed="8"/>
      <name val="Times New Roman"/>
      <family val="1"/>
    </font>
    <font>
      <b/>
      <sz val="10"/>
      <color rgb="FF0000FF"/>
      <name val="Arial"/>
      <family val="2"/>
    </font>
    <font>
      <b/>
      <sz val="14"/>
      <color indexed="9"/>
      <name val="Arial"/>
      <family val="2"/>
    </font>
    <font>
      <b/>
      <sz val="9"/>
      <color indexed="8"/>
      <name val="Times New Roman"/>
      <family val="1"/>
    </font>
    <font>
      <b/>
      <sz val="11"/>
      <color rgb="FF0000FF"/>
      <name val="Times New Roman"/>
      <family val="1"/>
    </font>
    <font>
      <b/>
      <sz val="14"/>
      <color indexed="8"/>
      <name val="Times New Roman"/>
      <family val="1"/>
    </font>
    <font>
      <i/>
      <sz val="9"/>
      <color indexed="8"/>
      <name val="Times New Roman"/>
      <family val="1"/>
    </font>
    <font>
      <b/>
      <sz val="12"/>
      <color indexed="8"/>
      <name val="Times New Roman"/>
      <family val="1"/>
    </font>
    <font>
      <i/>
      <sz val="11"/>
      <color indexed="8"/>
      <name val="Times New Roman"/>
      <family val="1"/>
    </font>
    <font>
      <b/>
      <i/>
      <sz val="11"/>
      <color indexed="8"/>
      <name val="Times New Roman"/>
      <family val="1"/>
    </font>
    <font>
      <sz val="12"/>
      <color indexed="8"/>
      <name val="Times New Roman"/>
      <family val="1"/>
    </font>
    <font>
      <sz val="8.8000000000000007"/>
      <color indexed="8"/>
      <name val="Times New Roman"/>
      <family val="1"/>
    </font>
    <font>
      <b/>
      <sz val="12"/>
      <color theme="0"/>
      <name val="Arial"/>
      <family val="2"/>
    </font>
    <font>
      <b/>
      <sz val="11"/>
      <color indexed="8"/>
      <name val="Arial"/>
      <family val="2"/>
    </font>
    <font>
      <b/>
      <sz val="11"/>
      <color rgb="FF000000"/>
      <name val="Times New Roman"/>
      <family val="1"/>
    </font>
    <font>
      <b/>
      <sz val="12"/>
      <color theme="1"/>
      <name val="Arial"/>
      <family val="2"/>
    </font>
    <font>
      <b/>
      <sz val="14"/>
      <color theme="0"/>
      <name val="Arial"/>
      <family val="2"/>
    </font>
    <font>
      <sz val="11"/>
      <color theme="0" tint="-0.34998626667073579"/>
      <name val="Times New Roman"/>
      <family val="1"/>
    </font>
    <font>
      <b/>
      <sz val="12"/>
      <name val="Times New Roman"/>
      <family val="1"/>
    </font>
    <font>
      <sz val="10"/>
      <color rgb="FF0000FF"/>
      <name val="Times New Roman"/>
      <family val="1"/>
    </font>
    <font>
      <b/>
      <i/>
      <sz val="10"/>
      <color rgb="FFFF0000"/>
      <name val="Times New Roman"/>
      <family val="1"/>
    </font>
    <font>
      <sz val="12"/>
      <color rgb="FF0000FF"/>
      <name val="Times New Roman"/>
      <family val="1"/>
    </font>
    <font>
      <sz val="10"/>
      <color rgb="FF000000"/>
      <name val="Times New Roman"/>
      <family val="1"/>
    </font>
    <font>
      <sz val="12"/>
      <name val="Arial"/>
      <family val="2"/>
    </font>
    <font>
      <sz val="11"/>
      <name val="Arial"/>
      <family val="2"/>
    </font>
    <font>
      <sz val="11"/>
      <color rgb="FF000000"/>
      <name val="Times New Roman"/>
      <family val="1"/>
    </font>
    <font>
      <i/>
      <sz val="8"/>
      <color indexed="8"/>
      <name val="Times New Roman"/>
      <family val="1"/>
    </font>
    <font>
      <i/>
      <sz val="11"/>
      <color rgb="FF000000"/>
      <name val="Times New Roman"/>
      <family val="1"/>
    </font>
    <font>
      <b/>
      <sz val="10"/>
      <name val="Times New Roman"/>
      <family val="1"/>
    </font>
    <font>
      <b/>
      <sz val="11"/>
      <color rgb="FF0000FF"/>
      <name val="Calibri"/>
      <family val="2"/>
      <scheme val="minor"/>
    </font>
    <font>
      <b/>
      <sz val="28"/>
      <color rgb="FF0000FF"/>
      <name val="Times New Roman"/>
      <family val="1"/>
    </font>
    <font>
      <sz val="12"/>
      <color rgb="FF000000"/>
      <name val="Times New Roman"/>
      <family val="1"/>
    </font>
    <font>
      <sz val="11"/>
      <color theme="0" tint="-0.249977111117893"/>
      <name val="Times New Roman"/>
      <family val="1"/>
    </font>
    <font>
      <b/>
      <sz val="14"/>
      <name val="Times New Roman"/>
      <family val="1"/>
    </font>
    <font>
      <u/>
      <sz val="12"/>
      <color rgb="FF0000FF"/>
      <name val="Times New Roman"/>
      <family val="1"/>
    </font>
    <font>
      <b/>
      <sz val="10"/>
      <color indexed="23"/>
      <name val="Times Roman"/>
    </font>
    <font>
      <i/>
      <sz val="9"/>
      <color indexed="8"/>
      <name val="Times Roman"/>
    </font>
    <font>
      <b/>
      <sz val="12"/>
      <color rgb="FF0000FF"/>
      <name val="Times New Roman"/>
      <family val="1"/>
    </font>
    <font>
      <b/>
      <sz val="12"/>
      <color theme="1"/>
      <name val="Calibri"/>
      <family val="2"/>
      <scheme val="minor"/>
    </font>
    <font>
      <i/>
      <sz val="12"/>
      <color theme="1"/>
      <name val="Calibri"/>
      <family val="2"/>
      <scheme val="minor"/>
    </font>
    <font>
      <i/>
      <sz val="12"/>
      <color indexed="8"/>
      <name val="Times New Roman"/>
      <family val="1"/>
    </font>
    <font>
      <sz val="12"/>
      <color theme="1"/>
      <name val="Arial"/>
      <family val="2"/>
    </font>
    <font>
      <b/>
      <sz val="12"/>
      <color theme="0"/>
      <name val="Calibri"/>
      <family val="2"/>
      <scheme val="minor"/>
    </font>
    <font>
      <sz val="12"/>
      <color theme="0" tint="-0.34998626667073579"/>
      <name val="Times New Roman"/>
      <family val="1"/>
    </font>
    <font>
      <sz val="11"/>
      <color theme="0" tint="-0.249977111117893"/>
      <name val="Calibri"/>
      <family val="2"/>
      <scheme val="minor"/>
    </font>
    <font>
      <sz val="10"/>
      <color theme="0" tint="-0.249977111117893"/>
      <name val="Times New Roman"/>
      <family val="1"/>
    </font>
    <font>
      <sz val="12"/>
      <color theme="0" tint="-0.249977111117893"/>
      <name val="Times New Roman"/>
      <family val="1"/>
    </font>
    <font>
      <sz val="12"/>
      <color theme="0" tint="-0.249977111117893"/>
      <name val="Calibri"/>
      <family val="2"/>
      <scheme val="minor"/>
    </font>
    <font>
      <sz val="11"/>
      <color rgb="FF000000"/>
      <name val="Calibri"/>
      <family val="2"/>
      <scheme val="minor"/>
    </font>
    <font>
      <sz val="9"/>
      <color indexed="81"/>
      <name val="Tahoma"/>
      <family val="2"/>
    </font>
    <font>
      <b/>
      <sz val="9"/>
      <color indexed="81"/>
      <name val="Tahoma"/>
      <family val="2"/>
    </font>
    <font>
      <sz val="11"/>
      <color theme="1"/>
      <name val="Times New Roman"/>
      <family val="1"/>
    </font>
    <font>
      <i/>
      <sz val="11"/>
      <color rgb="FF0000FF"/>
      <name val="Times New Roman"/>
      <family val="1"/>
    </font>
    <font>
      <b/>
      <sz val="14"/>
      <color indexed="8"/>
      <name val="Arial"/>
      <family val="2"/>
    </font>
    <font>
      <sz val="11"/>
      <color indexed="8"/>
      <name val="Arial"/>
      <family val="2"/>
    </font>
    <font>
      <sz val="11"/>
      <color rgb="FFFF0000"/>
      <name val="Times New Roman"/>
      <family val="1"/>
    </font>
    <font>
      <b/>
      <sz val="11"/>
      <color theme="1"/>
      <name val="Times New Roman"/>
      <family val="1"/>
    </font>
    <font>
      <sz val="11"/>
      <color indexed="32"/>
      <name val="Calibri"/>
      <family val="2"/>
      <scheme val="minor"/>
    </font>
    <font>
      <sz val="12"/>
      <color indexed="32"/>
      <name val="Times New Roman"/>
      <family val="1"/>
    </font>
    <font>
      <sz val="11"/>
      <color indexed="32"/>
      <name val="Times New Roman"/>
      <family val="1"/>
    </font>
    <font>
      <sz val="11"/>
      <color indexed="32"/>
      <name val="Arial"/>
      <family val="2"/>
    </font>
    <font>
      <sz val="12"/>
      <color indexed="32"/>
      <name val="Arial"/>
      <family val="2"/>
    </font>
    <font>
      <b/>
      <sz val="11"/>
      <color indexed="32"/>
      <name val="Arial"/>
      <family val="2"/>
    </font>
    <font>
      <b/>
      <sz val="11"/>
      <color rgb="FFFF0000"/>
      <name val="Calibri"/>
      <family val="2"/>
      <scheme val="minor"/>
    </font>
    <font>
      <sz val="11"/>
      <color theme="1"/>
      <name val="Arial"/>
      <family val="2"/>
    </font>
    <font>
      <b/>
      <sz val="14"/>
      <color theme="1"/>
      <name val="Calibri"/>
      <family val="2"/>
      <scheme val="minor"/>
    </font>
    <font>
      <i/>
      <sz val="9"/>
      <name val="Arial"/>
      <family val="2"/>
    </font>
    <font>
      <sz val="12"/>
      <name val="Times New Roman"/>
      <family val="1"/>
    </font>
    <font>
      <b/>
      <sz val="11"/>
      <color indexed="32"/>
      <name val="Times New Roman"/>
      <family val="1"/>
    </font>
    <font>
      <i/>
      <sz val="11"/>
      <color indexed="32"/>
      <name val="Times New Roman"/>
      <family val="1"/>
    </font>
    <font>
      <b/>
      <u/>
      <sz val="11"/>
      <color indexed="8"/>
      <name val="Times New Roman"/>
      <family val="1"/>
    </font>
    <font>
      <i/>
      <sz val="11"/>
      <name val="Times New Roman"/>
      <family val="1"/>
    </font>
    <font>
      <b/>
      <sz val="12"/>
      <color rgb="FF000000"/>
      <name val="Times New Roman"/>
      <family val="1"/>
    </font>
    <font>
      <b/>
      <i/>
      <sz val="12"/>
      <name val="Times New Roman"/>
      <family val="1"/>
    </font>
    <font>
      <b/>
      <i/>
      <sz val="12"/>
      <color indexed="8"/>
      <name val="Times New Roman"/>
      <family val="1"/>
    </font>
    <font>
      <b/>
      <sz val="10"/>
      <color indexed="39"/>
      <name val="Times New Roman"/>
      <family val="1"/>
    </font>
    <font>
      <sz val="11"/>
      <color indexed="39"/>
      <name val="Times New Roman"/>
      <family val="1"/>
    </font>
    <font>
      <i/>
      <sz val="11"/>
      <color theme="1"/>
      <name val="Times New Roman"/>
      <family val="1"/>
    </font>
    <font>
      <sz val="12"/>
      <color rgb="FF000000"/>
      <name val="Cambria"/>
      <family val="1"/>
    </font>
    <font>
      <i/>
      <sz val="12"/>
      <color theme="1"/>
      <name val="Arial"/>
      <family val="2"/>
    </font>
    <font>
      <b/>
      <i/>
      <sz val="11"/>
      <color theme="0" tint="-0.34998626667073579"/>
      <name val="Times New Roman"/>
      <family val="1"/>
    </font>
    <font>
      <i/>
      <sz val="11"/>
      <color theme="0" tint="-0.34998626667073579"/>
      <name val="Times New Roman"/>
      <family val="1"/>
    </font>
    <font>
      <sz val="10"/>
      <color theme="0" tint="-0.34998626667073579"/>
      <name val="Times New Roman"/>
      <family val="1"/>
    </font>
    <font>
      <u/>
      <sz val="11"/>
      <color indexed="8"/>
      <name val="Times New Roman"/>
      <family val="1"/>
    </font>
    <font>
      <u/>
      <sz val="12"/>
      <color indexed="12"/>
      <name val="Times New Roman"/>
      <family val="1"/>
    </font>
    <font>
      <b/>
      <i/>
      <sz val="12"/>
      <color theme="1"/>
      <name val="Times New Roman"/>
      <family val="1"/>
    </font>
    <font>
      <b/>
      <u/>
      <sz val="12"/>
      <color rgb="FF0000FF"/>
      <name val="Times New Roman"/>
      <family val="1"/>
    </font>
    <font>
      <b/>
      <sz val="11"/>
      <color indexed="8"/>
      <name val="Calibri"/>
      <family val="2"/>
      <scheme val="minor"/>
    </font>
    <font>
      <sz val="14"/>
      <color indexed="8"/>
      <name val="Times New Roman"/>
      <family val="1"/>
    </font>
    <font>
      <u/>
      <sz val="12"/>
      <color theme="10"/>
      <name val="Times New Roman"/>
      <family val="1"/>
    </font>
    <font>
      <b/>
      <i/>
      <sz val="12"/>
      <color rgb="FF000000"/>
      <name val="Times New Roman"/>
      <family val="1"/>
    </font>
    <font>
      <sz val="8"/>
      <name val="Calibri"/>
      <family val="2"/>
      <scheme val="minor"/>
    </font>
    <font>
      <sz val="10"/>
      <name val="Arial"/>
    </font>
    <font>
      <sz val="9"/>
      <color theme="0" tint="-0.499984740745262"/>
      <name val="Arial"/>
      <family val="2"/>
    </font>
    <font>
      <sz val="12"/>
      <color indexed="8"/>
      <name val="Arial"/>
      <family val="2"/>
    </font>
    <font>
      <sz val="11"/>
      <name val="Calibri"/>
      <family val="2"/>
    </font>
    <font>
      <b/>
      <sz val="14"/>
      <name val="Arial"/>
      <family val="2"/>
    </font>
    <font>
      <b/>
      <sz val="11"/>
      <name val="Calibri"/>
      <family val="2"/>
    </font>
    <font>
      <i/>
      <sz val="10"/>
      <name val="Times New Roman"/>
      <family val="1"/>
    </font>
    <font>
      <b/>
      <sz val="10"/>
      <color rgb="FF0000FF"/>
      <name val="Times New Roman"/>
      <family val="1"/>
    </font>
    <font>
      <b/>
      <sz val="9"/>
      <name val="Arial"/>
      <family val="2"/>
    </font>
    <font>
      <sz val="9"/>
      <color theme="1"/>
      <name val="Calibri"/>
      <family val="2"/>
      <scheme val="minor"/>
    </font>
    <font>
      <u/>
      <sz val="10"/>
      <color theme="10"/>
      <name val="Arial"/>
      <family val="2"/>
    </font>
    <font>
      <i/>
      <sz val="10"/>
      <color indexed="8"/>
      <name val="Times New Roman"/>
      <family val="1"/>
    </font>
    <font>
      <b/>
      <i/>
      <sz val="10"/>
      <color indexed="8"/>
      <name val="Times New Roman"/>
      <family val="1"/>
    </font>
    <font>
      <sz val="8"/>
      <name val="Cambria"/>
      <family val="1"/>
    </font>
    <font>
      <i/>
      <sz val="10"/>
      <name val="Arial"/>
      <family val="2"/>
    </font>
    <font>
      <sz val="11"/>
      <name val="Symbol"/>
      <family val="1"/>
      <charset val="2"/>
    </font>
    <font>
      <b/>
      <sz val="11"/>
      <name val="Symbol"/>
      <family val="1"/>
      <charset val="2"/>
    </font>
    <font>
      <b/>
      <sz val="16"/>
      <color theme="1"/>
      <name val="Calibri"/>
      <family val="2"/>
      <scheme val="minor"/>
    </font>
    <font>
      <b/>
      <sz val="11"/>
      <name val="Calibri"/>
      <family val="2"/>
      <scheme val="minor"/>
    </font>
    <font>
      <sz val="16"/>
      <color theme="1"/>
      <name val="Calibri"/>
      <family val="2"/>
      <scheme val="minor"/>
    </font>
    <font>
      <sz val="11"/>
      <name val="Calibri"/>
      <family val="2"/>
      <scheme val="minor"/>
    </font>
    <font>
      <sz val="10.5"/>
      <name val="Calibri"/>
      <family val="2"/>
      <scheme val="minor"/>
    </font>
  </fonts>
  <fills count="8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40"/>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9"/>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8"/>
      </patternFill>
    </fill>
    <fill>
      <patternFill patternType="solid">
        <fgColor indexed="47"/>
        <bgColor indexed="64"/>
      </patternFill>
    </fill>
    <fill>
      <patternFill patternType="solid">
        <fgColor indexed="45"/>
        <bgColor indexed="64"/>
      </patternFill>
    </fill>
    <fill>
      <patternFill patternType="solid">
        <fgColor rgb="FFF0F0F0"/>
        <bgColor indexed="64"/>
      </patternFill>
    </fill>
    <fill>
      <patternFill patternType="solid">
        <fgColor indexed="51"/>
        <bgColor indexed="8"/>
      </patternFill>
    </fill>
    <fill>
      <patternFill patternType="solid">
        <fgColor rgb="FFCCCCCC"/>
        <bgColor indexed="64"/>
      </patternFill>
    </fill>
    <fill>
      <patternFill patternType="solid">
        <fgColor rgb="FF0000FF"/>
        <bgColor indexed="64"/>
      </patternFill>
    </fill>
    <fill>
      <patternFill patternType="solid">
        <fgColor indexed="15"/>
        <bgColor indexed="64"/>
      </patternFill>
    </fill>
    <fill>
      <patternFill patternType="solid">
        <fgColor indexed="11"/>
        <bgColor indexed="64"/>
      </patternFill>
    </fill>
    <fill>
      <patternFill patternType="solid">
        <fgColor indexed="55"/>
        <bgColor indexed="64"/>
      </patternFill>
    </fill>
    <fill>
      <patternFill patternType="solid">
        <fgColor theme="0" tint="-4.9989318521683403E-2"/>
        <bgColor indexed="64"/>
      </patternFill>
    </fill>
    <fill>
      <patternFill patternType="solid">
        <fgColor rgb="FFFFFF99"/>
        <bgColor rgb="FFFFFF99"/>
      </patternFill>
    </fill>
    <fill>
      <patternFill patternType="solid">
        <fgColor rgb="FFFFFF66"/>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71">
    <border>
      <left/>
      <right/>
      <top/>
      <bottom/>
      <diagonal/>
    </border>
    <border>
      <left/>
      <right/>
      <top/>
      <bottom style="thin">
        <color indexed="64"/>
      </bottom>
      <diagonal/>
    </border>
    <border>
      <left/>
      <right/>
      <top style="double">
        <color indexed="64"/>
      </top>
      <bottom/>
      <diagonal/>
    </border>
    <border>
      <left style="hair">
        <color indexed="64"/>
      </left>
      <right style="hair">
        <color indexed="64"/>
      </right>
      <top style="hair">
        <color indexed="64"/>
      </top>
      <bottom style="hair">
        <color indexed="64"/>
      </bottom>
      <diagonal/>
    </border>
    <border>
      <left style="dashed">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dashed">
        <color indexed="64"/>
      </top>
      <bottom/>
      <diagonal/>
    </border>
    <border>
      <left style="thin">
        <color indexed="9"/>
      </left>
      <right style="thin">
        <color indexed="9"/>
      </right>
      <top style="thin">
        <color indexed="9"/>
      </top>
      <bottom style="thin">
        <color indexed="9"/>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double">
        <color indexed="8"/>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0"/>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22"/>
      </top>
      <bottom style="hair">
        <color indexed="22"/>
      </bottom>
      <diagonal/>
    </border>
    <border>
      <left/>
      <right/>
      <top style="dotted">
        <color indexed="22"/>
      </top>
      <bottom style="dotted">
        <color indexed="22"/>
      </bottom>
      <diagonal/>
    </border>
    <border>
      <left/>
      <right/>
      <top/>
      <bottom style="dotted">
        <color indexed="22"/>
      </bottom>
      <diagonal/>
    </border>
    <border>
      <left/>
      <right/>
      <top style="hair">
        <color indexed="22"/>
      </top>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hair">
        <color indexed="64"/>
      </left>
      <right style="hair">
        <color indexed="64"/>
      </right>
      <top/>
      <bottom style="hair">
        <color indexed="64"/>
      </bottom>
      <diagonal/>
    </border>
    <border>
      <left style="hair">
        <color indexed="22"/>
      </left>
      <right style="hair">
        <color indexed="22"/>
      </right>
      <top style="hair">
        <color indexed="22"/>
      </top>
      <bottom style="hair">
        <color indexed="22"/>
      </bottom>
      <diagonal/>
    </border>
    <border>
      <left style="thin">
        <color indexed="64"/>
      </left>
      <right/>
      <top style="hair">
        <color indexed="22"/>
      </top>
      <bottom style="hair">
        <color indexed="2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22"/>
      </left>
      <right style="hair">
        <color indexed="22"/>
      </right>
      <top/>
      <bottom style="hair">
        <color indexed="22"/>
      </bottom>
      <diagonal/>
    </border>
    <border>
      <left/>
      <right style="hair">
        <color indexed="22"/>
      </right>
      <top style="hair">
        <color indexed="22"/>
      </top>
      <bottom style="hair">
        <color indexed="22"/>
      </bottom>
      <diagonal/>
    </border>
    <border>
      <left style="hair">
        <color indexed="22"/>
      </left>
      <right style="thin">
        <color indexed="64"/>
      </right>
      <top style="thin">
        <color indexed="64"/>
      </top>
      <bottom/>
      <diagonal/>
    </border>
    <border>
      <left style="thin">
        <color indexed="64"/>
      </left>
      <right/>
      <top style="thin">
        <color indexed="64"/>
      </top>
      <bottom style="thin">
        <color indexed="64"/>
      </bottom>
      <diagonal/>
    </border>
    <border>
      <left style="hair">
        <color indexed="22"/>
      </left>
      <right style="thin">
        <color indexed="64"/>
      </right>
      <top style="hair">
        <color indexed="22"/>
      </top>
      <bottom style="hair">
        <color indexed="22"/>
      </bottom>
      <diagonal/>
    </border>
    <border>
      <left style="hair">
        <color indexed="22"/>
      </left>
      <right style="thin">
        <color indexed="64"/>
      </right>
      <top style="hair">
        <color indexed="22"/>
      </top>
      <bottom/>
      <diagonal/>
    </border>
    <border>
      <left style="hair">
        <color indexed="22"/>
      </left>
      <right style="thin">
        <color indexed="64"/>
      </right>
      <top style="hair">
        <color indexed="22"/>
      </top>
      <bottom style="thin">
        <color indexed="64"/>
      </bottom>
      <diagonal/>
    </border>
    <border>
      <left/>
      <right style="hair">
        <color indexed="64"/>
      </right>
      <top style="hair">
        <color indexed="22"/>
      </top>
      <bottom style="hair">
        <color indexed="22"/>
      </bottom>
      <diagonal/>
    </border>
    <border>
      <left style="thin">
        <color indexed="64"/>
      </left>
      <right style="hair">
        <color indexed="22"/>
      </right>
      <top style="hair">
        <color indexed="22"/>
      </top>
      <bottom style="hair">
        <color indexed="22"/>
      </bottom>
      <diagonal/>
    </border>
    <border>
      <left/>
      <right/>
      <top style="hair">
        <color indexed="22"/>
      </top>
      <bottom style="thin">
        <color indexed="64"/>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style="thin">
        <color rgb="FFA1AFC9"/>
      </bottom>
      <diagonal/>
    </border>
    <border>
      <left style="thin">
        <color rgb="FFA1AFC9"/>
      </left>
      <right style="thin">
        <color rgb="FFA1AFC9"/>
      </right>
      <top style="thin">
        <color rgb="FFA1AFC9"/>
      </top>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A1AFC9"/>
      </left>
      <right style="thin">
        <color rgb="FFA1AFC9"/>
      </right>
      <top/>
      <bottom style="thin">
        <color rgb="FFA1AFC9"/>
      </bottom>
      <diagonal/>
    </border>
    <border>
      <left style="thin">
        <color indexed="64"/>
      </left>
      <right style="thin">
        <color rgb="FFA1AFC9"/>
      </right>
      <top style="thin">
        <color indexed="64"/>
      </top>
      <bottom style="thin">
        <color indexed="64"/>
      </bottom>
      <diagonal/>
    </border>
    <border>
      <left style="thin">
        <color rgb="FFA1AFC9"/>
      </left>
      <right style="thin">
        <color rgb="FFA1AFC9"/>
      </right>
      <top style="thin">
        <color indexed="64"/>
      </top>
      <bottom style="thin">
        <color indexed="64"/>
      </bottom>
      <diagonal/>
    </border>
    <border>
      <left style="thin">
        <color rgb="FFA1AFC9"/>
      </left>
      <right style="thin">
        <color indexed="64"/>
      </right>
      <top style="thin">
        <color indexed="64"/>
      </top>
      <bottom style="thin">
        <color indexed="64"/>
      </bottom>
      <diagonal/>
    </border>
    <border>
      <left style="thin">
        <color rgb="FFA1AFC9"/>
      </left>
      <right/>
      <top style="thin">
        <color rgb="FFA1AFC9"/>
      </top>
      <bottom/>
      <diagonal/>
    </border>
    <border>
      <left style="thin">
        <color indexed="64"/>
      </left>
      <right style="thin">
        <color rgb="FFA1AFC9"/>
      </right>
      <top/>
      <bottom style="thin">
        <color rgb="FFA1AFC9"/>
      </bottom>
      <diagonal/>
    </border>
    <border>
      <left style="thin">
        <color rgb="FFA1AFC9"/>
      </left>
      <right style="thin">
        <color indexed="64"/>
      </right>
      <top/>
      <bottom style="thin">
        <color rgb="FFA1AFC9"/>
      </bottom>
      <diagonal/>
    </border>
    <border>
      <left style="thin">
        <color indexed="64"/>
      </left>
      <right style="thin">
        <color rgb="FFA1AFC9"/>
      </right>
      <top style="thin">
        <color rgb="FFA1AFC9"/>
      </top>
      <bottom style="thin">
        <color rgb="FFA1AFC9"/>
      </bottom>
      <diagonal/>
    </border>
    <border>
      <left style="thin">
        <color rgb="FFA1AFC9"/>
      </left>
      <right style="thin">
        <color indexed="64"/>
      </right>
      <top style="thin">
        <color rgb="FFA1AFC9"/>
      </top>
      <bottom style="thin">
        <color rgb="FFA1AFC9"/>
      </bottom>
      <diagonal/>
    </border>
    <border>
      <left style="thin">
        <color indexed="64"/>
      </left>
      <right style="thin">
        <color rgb="FFA1AFC9"/>
      </right>
      <top style="thin">
        <color rgb="FFA1AFC9"/>
      </top>
      <bottom/>
      <diagonal/>
    </border>
    <border>
      <left style="thin">
        <color rgb="FFA1AFC9"/>
      </left>
      <right style="thin">
        <color indexed="64"/>
      </right>
      <top style="thin">
        <color rgb="FFA1AFC9"/>
      </top>
      <bottom/>
      <diagonal/>
    </border>
    <border>
      <left style="thin">
        <color indexed="64"/>
      </left>
      <right/>
      <top style="thin">
        <color indexed="64"/>
      </top>
      <bottom style="thin">
        <color rgb="FFA1AFC9"/>
      </bottom>
      <diagonal/>
    </border>
    <border>
      <left/>
      <right style="thin">
        <color indexed="64"/>
      </right>
      <top style="thin">
        <color indexed="64"/>
      </top>
      <bottom style="thin">
        <color rgb="FFA1AFC9"/>
      </bottom>
      <diagonal/>
    </border>
    <border>
      <left style="thin">
        <color indexed="64"/>
      </left>
      <right style="thin">
        <color rgb="FFA1AFC9"/>
      </right>
      <top style="thin">
        <color rgb="FFA1AFC9"/>
      </top>
      <bottom style="thin">
        <color indexed="64"/>
      </bottom>
      <diagonal/>
    </border>
    <border>
      <left style="thin">
        <color rgb="FFA1AFC9"/>
      </left>
      <right style="thin">
        <color indexed="64"/>
      </right>
      <top style="thin">
        <color rgb="FFA1AFC9"/>
      </top>
      <bottom style="thin">
        <color indexed="64"/>
      </bottom>
      <diagonal/>
    </border>
    <border>
      <left style="hair">
        <color indexed="22"/>
      </left>
      <right style="hair">
        <color indexed="22"/>
      </right>
      <top style="hair">
        <color indexed="22"/>
      </top>
      <bottom/>
      <diagonal/>
    </border>
    <border>
      <left style="hair">
        <color indexed="22"/>
      </left>
      <right style="hair">
        <color indexed="22"/>
      </right>
      <top style="thin">
        <color indexed="64"/>
      </top>
      <bottom style="hair">
        <color indexed="22"/>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right/>
      <top style="thin">
        <color indexed="64"/>
      </top>
      <bottom style="dotted">
        <color indexed="22"/>
      </bottom>
      <diagonal/>
    </border>
    <border>
      <left/>
      <right/>
      <top style="dotted">
        <color indexed="22"/>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indexed="22"/>
      </left>
      <right style="hair">
        <color indexed="22"/>
      </right>
      <top style="hair">
        <color indexed="22"/>
      </top>
      <bottom style="thin">
        <color indexed="64"/>
      </bottom>
      <diagonal/>
    </border>
    <border>
      <left style="hair">
        <color indexed="22"/>
      </left>
      <right/>
      <top style="thin">
        <color indexed="64"/>
      </top>
      <bottom/>
      <diagonal/>
    </border>
    <border>
      <left style="hair">
        <color indexed="22"/>
      </left>
      <right style="hair">
        <color indexed="22"/>
      </right>
      <top style="thin">
        <color indexed="64"/>
      </top>
      <bottom/>
      <diagonal/>
    </border>
    <border>
      <left/>
      <right/>
      <top style="thin">
        <color indexed="64"/>
      </top>
      <bottom style="medium">
        <color indexed="64"/>
      </bottom>
      <diagonal/>
    </border>
    <border>
      <left/>
      <right style="thin">
        <color indexed="9"/>
      </right>
      <top style="thin">
        <color indexed="9"/>
      </top>
      <bottom/>
      <diagonal/>
    </border>
    <border>
      <left style="hair">
        <color indexed="22"/>
      </left>
      <right style="hair">
        <color indexed="22"/>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style="hair">
        <color indexed="22"/>
      </right>
      <top style="thin">
        <color indexed="64"/>
      </top>
      <bottom style="hair">
        <color indexed="22"/>
      </bottom>
      <diagonal/>
    </border>
    <border>
      <left/>
      <right style="hair">
        <color indexed="22"/>
      </right>
      <top style="hair">
        <color indexed="22"/>
      </top>
      <bottom style="thin">
        <color indexed="64"/>
      </bottom>
      <diagonal/>
    </border>
    <border>
      <left style="thin">
        <color indexed="64"/>
      </left>
      <right/>
      <top style="hair">
        <color indexed="22"/>
      </top>
      <bottom style="thin">
        <color indexed="64"/>
      </bottom>
      <diagonal/>
    </border>
    <border>
      <left style="thin">
        <color indexed="64"/>
      </left>
      <right/>
      <top style="thin">
        <color indexed="64"/>
      </top>
      <bottom style="hair">
        <color indexed="22"/>
      </bottom>
      <diagonal/>
    </border>
    <border>
      <left/>
      <right style="thin">
        <color indexed="64"/>
      </right>
      <top style="thin">
        <color indexed="64"/>
      </top>
      <bottom style="hair">
        <color indexed="22"/>
      </bottom>
      <diagonal/>
    </border>
    <border>
      <left/>
      <right style="thin">
        <color indexed="64"/>
      </right>
      <top style="hair">
        <color indexed="22"/>
      </top>
      <bottom style="hair">
        <color indexed="22"/>
      </bottom>
      <diagonal/>
    </border>
    <border>
      <left/>
      <right style="hair">
        <color indexed="22"/>
      </right>
      <top style="hair">
        <color indexed="22"/>
      </top>
      <bottom/>
      <diagonal/>
    </border>
    <border>
      <left style="thin">
        <color indexed="64"/>
      </left>
      <right style="hair">
        <color indexed="22"/>
      </right>
      <top style="thin">
        <color indexed="64"/>
      </top>
      <bottom style="hair">
        <color indexed="22"/>
      </bottom>
      <diagonal/>
    </border>
    <border>
      <left style="thin">
        <color indexed="64"/>
      </left>
      <right style="hair">
        <color indexed="22"/>
      </right>
      <top style="hair">
        <color indexed="22"/>
      </top>
      <bottom/>
      <diagonal/>
    </border>
    <border>
      <left style="thin">
        <color indexed="64"/>
      </left>
      <right style="hair">
        <color indexed="22"/>
      </right>
      <top style="hair">
        <color indexed="22"/>
      </top>
      <bottom style="thin">
        <color indexed="64"/>
      </bottom>
      <diagonal/>
    </border>
    <border>
      <left/>
      <right style="thin">
        <color indexed="64"/>
      </right>
      <top style="hair">
        <color indexed="22"/>
      </top>
      <bottom/>
      <diagonal/>
    </border>
    <border>
      <left style="thin">
        <color indexed="64"/>
      </left>
      <right style="hair">
        <color indexed="22"/>
      </right>
      <top/>
      <bottom style="hair">
        <color indexed="22"/>
      </bottom>
      <diagonal/>
    </border>
    <border>
      <left style="thin">
        <color indexed="64"/>
      </left>
      <right/>
      <top style="hair">
        <color indexed="22"/>
      </top>
      <bottom/>
      <diagonal/>
    </border>
    <border>
      <left/>
      <right style="hair">
        <color indexed="22"/>
      </right>
      <top style="thin">
        <color indexed="64"/>
      </top>
      <bottom/>
      <diagonal/>
    </border>
    <border>
      <left style="hair">
        <color indexed="22"/>
      </left>
      <right/>
      <top style="thin">
        <color indexed="64"/>
      </top>
      <bottom style="hair">
        <color indexed="22"/>
      </bottom>
      <diagonal/>
    </border>
    <border>
      <left style="hair">
        <color indexed="22"/>
      </left>
      <right/>
      <top style="hair">
        <color indexed="22"/>
      </top>
      <bottom style="hair">
        <color indexed="22"/>
      </bottom>
      <diagonal/>
    </border>
    <border>
      <left style="hair">
        <color indexed="22"/>
      </left>
      <right/>
      <top style="hair">
        <color indexed="22"/>
      </top>
      <bottom/>
      <diagonal/>
    </border>
    <border>
      <left style="hair">
        <color indexed="22"/>
      </left>
      <right/>
      <top style="hair">
        <color indexed="22"/>
      </top>
      <bottom style="thin">
        <color indexed="64"/>
      </bottom>
      <diagonal/>
    </border>
    <border>
      <left style="thin">
        <color indexed="64"/>
      </left>
      <right style="hair">
        <color indexed="22"/>
      </right>
      <top style="thin">
        <color indexed="64"/>
      </top>
      <bottom style="thin">
        <color indexed="64"/>
      </bottom>
      <diagonal/>
    </border>
    <border>
      <left style="hair">
        <color indexed="22"/>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22"/>
      </top>
      <bottom style="thin">
        <color indexed="64"/>
      </bottom>
      <diagonal/>
    </border>
    <border>
      <left style="thin">
        <color indexed="64"/>
      </left>
      <right style="thin">
        <color indexed="64"/>
      </right>
      <top style="thin">
        <color indexed="64"/>
      </top>
      <bottom style="hair">
        <color indexed="22"/>
      </bottom>
      <diagonal/>
    </border>
    <border>
      <left style="thin">
        <color indexed="64"/>
      </left>
      <right style="thin">
        <color indexed="64"/>
      </right>
      <top style="hair">
        <color indexed="22"/>
      </top>
      <bottom style="hair">
        <color indexed="22"/>
      </bottom>
      <diagonal/>
    </border>
    <border>
      <left style="thin">
        <color indexed="64"/>
      </left>
      <right style="thin">
        <color indexed="64"/>
      </right>
      <top style="hair">
        <color indexed="22"/>
      </top>
      <bottom style="thin">
        <color indexed="64"/>
      </bottom>
      <diagonal/>
    </border>
    <border>
      <left/>
      <right/>
      <top style="dotted">
        <color indexed="22"/>
      </top>
      <bottom/>
      <diagonal/>
    </border>
    <border>
      <left style="thin">
        <color rgb="FF000000"/>
      </left>
      <right style="thin">
        <color rgb="FF000000"/>
      </right>
      <top style="thin">
        <color rgb="FF000000"/>
      </top>
      <bottom style="thin">
        <color rgb="FF000000"/>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rgb="FF00000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style="hair">
        <color rgb="FFC0C0C0"/>
      </right>
      <top style="hair">
        <color rgb="FFC0C0C0"/>
      </top>
      <bottom style="hair">
        <color rgb="FFC0C0C0"/>
      </bottom>
      <diagonal/>
    </border>
    <border>
      <left/>
      <right/>
      <top/>
      <bottom style="double">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s>
  <cellStyleXfs count="33114">
    <xf numFmtId="0" fontId="0" fillId="0" borderId="0"/>
    <xf numFmtId="44" fontId="4" fillId="0" borderId="0" applyFont="0" applyFill="0" applyBorder="0" applyAlignment="0" applyProtection="0"/>
    <xf numFmtId="0" fontId="5" fillId="0" borderId="1">
      <alignment horizontal="left"/>
    </xf>
    <xf numFmtId="49" fontId="4" fillId="0" borderId="2" applyFont="0" applyFill="0" applyBorder="0" applyAlignment="0" applyProtection="0">
      <alignment horizontal="right"/>
    </xf>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0"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9" fontId="2" fillId="0" borderId="0" applyFont="0" applyFill="0" applyBorder="0" applyAlignment="0" applyProtection="0"/>
    <xf numFmtId="0" fontId="9" fillId="4" borderId="3" applyNumberFormat="0" applyAlignment="0" applyProtection="0">
      <alignment horizontal="center" vertical="top"/>
    </xf>
    <xf numFmtId="0" fontId="6" fillId="3" borderId="4" applyNumberFormat="0" applyFont="0" applyFill="0" applyAlignment="0"/>
    <xf numFmtId="0" fontId="17" fillId="0" borderId="0"/>
    <xf numFmtId="0" fontId="18" fillId="0" borderId="0" applyNumberFormat="0" applyFill="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23" applyNumberFormat="0" applyAlignment="0" applyProtection="0"/>
    <xf numFmtId="0" fontId="26" fillId="11" borderId="24" applyNumberFormat="0" applyAlignment="0" applyProtection="0"/>
    <xf numFmtId="0" fontId="27" fillId="11" borderId="23" applyNumberFormat="0" applyAlignment="0" applyProtection="0"/>
    <xf numFmtId="0" fontId="28" fillId="0" borderId="25" applyNumberFormat="0" applyFill="0" applyAlignment="0" applyProtection="0"/>
    <xf numFmtId="0" fontId="11" fillId="0" borderId="28" applyNumberFormat="0" applyFill="0" applyAlignment="0" applyProtection="0"/>
    <xf numFmtId="0" fontId="31"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31" fillId="29"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31" fillId="37" borderId="0" applyNumberFormat="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0" fontId="32" fillId="0" borderId="0" applyFont="0" applyFill="0" applyBorder="0" applyAlignment="0" applyProtection="0"/>
    <xf numFmtId="167"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3" fontId="3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33" fillId="0" borderId="0" applyNumberFormat="0" applyFill="0" applyBorder="0" applyAlignment="0" applyProtection="0"/>
    <xf numFmtId="168" fontId="34" fillId="0" borderId="0" applyNumberFormat="0" applyFill="0" applyBorder="0" applyAlignment="0" applyProtection="0"/>
    <xf numFmtId="168" fontId="8" fillId="0" borderId="0"/>
    <xf numFmtId="168" fontId="8" fillId="0" borderId="0"/>
    <xf numFmtId="168" fontId="32" fillId="0" borderId="0" applyFont="0" applyFill="0" applyBorder="0" applyAlignment="0" applyProtection="0"/>
    <xf numFmtId="168" fontId="2" fillId="0" borderId="0"/>
    <xf numFmtId="168" fontId="35" fillId="0" borderId="0" applyNumberFormat="0" applyFill="0" applyBorder="0" applyAlignment="0" applyProtection="0">
      <alignment vertical="top"/>
      <protection locked="0"/>
    </xf>
    <xf numFmtId="168" fontId="32" fillId="0" borderId="30" applyNumberFormat="0" applyFont="0" applyFill="0" applyAlignment="0" applyProtection="0"/>
    <xf numFmtId="168" fontId="8" fillId="0" borderId="0"/>
    <xf numFmtId="168" fontId="2" fillId="0" borderId="0"/>
    <xf numFmtId="0" fontId="8" fillId="0" borderId="0"/>
    <xf numFmtId="0" fontId="8" fillId="0" borderId="0"/>
    <xf numFmtId="0" fontId="8" fillId="0" borderId="0"/>
    <xf numFmtId="0" fontId="8" fillId="0" borderId="0"/>
    <xf numFmtId="168" fontId="2" fillId="0" borderId="0"/>
    <xf numFmtId="168"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44" fontId="2" fillId="0" borderId="0" applyFont="0" applyFill="0" applyBorder="0" applyAlignment="0" applyProtection="0"/>
    <xf numFmtId="0" fontId="8" fillId="0" borderId="0"/>
    <xf numFmtId="0" fontId="8" fillId="0" borderId="0"/>
    <xf numFmtId="0" fontId="2" fillId="0" borderId="0"/>
    <xf numFmtId="9" fontId="2" fillId="0" borderId="0" applyFont="0" applyFill="0" applyBorder="0" applyAlignment="0" applyProtection="0"/>
    <xf numFmtId="0" fontId="2" fillId="0" borderId="0"/>
    <xf numFmtId="0" fontId="8" fillId="0" borderId="0"/>
    <xf numFmtId="0" fontId="36" fillId="0" borderId="0"/>
    <xf numFmtId="0" fontId="36" fillId="0" borderId="0"/>
    <xf numFmtId="44" fontId="2" fillId="0" borderId="0" applyFont="0" applyFill="0" applyBorder="0" applyAlignment="0" applyProtection="0"/>
    <xf numFmtId="0" fontId="34" fillId="0" borderId="0" applyNumberFormat="0" applyFill="0" applyBorder="0" applyAlignment="0" applyProtection="0"/>
    <xf numFmtId="43" fontId="2" fillId="0" borderId="0" applyFont="0" applyFill="0" applyBorder="0" applyAlignment="0" applyProtection="0"/>
    <xf numFmtId="2" fontId="32" fillId="0" borderId="0" applyFont="0" applyFill="0" applyBorder="0" applyAlignment="0" applyProtection="0"/>
    <xf numFmtId="43" fontId="2" fillId="0" borderId="0" applyFont="0" applyFill="0" applyBorder="0" applyAlignment="0" applyProtection="0"/>
    <xf numFmtId="0" fontId="32" fillId="0" borderId="30" applyNumberFormat="0" applyFont="0" applyFill="0" applyAlignment="0" applyProtection="0"/>
    <xf numFmtId="0" fontId="2" fillId="0" borderId="0"/>
    <xf numFmtId="0" fontId="33" fillId="0" borderId="0" applyNumberFormat="0" applyFill="0" applyBorder="0" applyAlignment="0" applyProtection="0"/>
    <xf numFmtId="0" fontId="32" fillId="0" borderId="0" applyFont="0" applyFill="0" applyBorder="0" applyAlignment="0" applyProtection="0"/>
    <xf numFmtId="44" fontId="2" fillId="0" borderId="0" applyFont="0" applyFill="0" applyBorder="0" applyAlignment="0" applyProtection="0"/>
    <xf numFmtId="0" fontId="39" fillId="0" borderId="22" applyNumberFormat="0" applyFill="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8" fillId="0" borderId="0" applyNumberFormat="0" applyFill="0" applyBorder="0" applyAlignment="0" applyProtection="0"/>
    <xf numFmtId="167" fontId="32" fillId="0" borderId="0" applyFont="0" applyFill="0" applyBorder="0" applyAlignment="0" applyProtection="0"/>
    <xf numFmtId="0" fontId="36" fillId="0" borderId="0"/>
    <xf numFmtId="0" fontId="36" fillId="0" borderId="0"/>
    <xf numFmtId="0" fontId="2" fillId="0" borderId="0"/>
    <xf numFmtId="0" fontId="2" fillId="0" borderId="0"/>
    <xf numFmtId="41" fontId="37" fillId="0" borderId="0"/>
    <xf numFmtId="37" fontId="3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12" borderId="26"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8" fillId="20" borderId="0" applyNumberFormat="0" applyBorder="0" applyAlignment="0" applyProtection="0"/>
    <xf numFmtId="0" fontId="31" fillId="30" borderId="0" applyNumberFormat="0" applyBorder="0" applyAlignment="0" applyProtection="0"/>
    <xf numFmtId="0" fontId="8" fillId="31" borderId="0" applyNumberFormat="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70" fontId="50" fillId="0" borderId="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33" fillId="0" borderId="0" applyNumberFormat="0" applyFill="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3"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2"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0" borderId="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8"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40" fillId="0" borderId="0"/>
    <xf numFmtId="0" fontId="2" fillId="0" borderId="0"/>
    <xf numFmtId="0" fontId="2" fillId="0" borderId="0"/>
    <xf numFmtId="0" fontId="2" fillId="0" borderId="0"/>
    <xf numFmtId="0" fontId="36" fillId="0" borderId="0"/>
    <xf numFmtId="0" fontId="2" fillId="0" borderId="0"/>
    <xf numFmtId="0" fontId="2" fillId="0" borderId="0"/>
    <xf numFmtId="0" fontId="1" fillId="0" borderId="0"/>
    <xf numFmtId="0" fontId="2" fillId="0" borderId="0"/>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2" fillId="0" borderId="0" applyFill="0"/>
    <xf numFmtId="0" fontId="40" fillId="0" borderId="0"/>
    <xf numFmtId="168"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8" fillId="0" borderId="0"/>
    <xf numFmtId="0" fontId="40" fillId="0" borderId="0"/>
    <xf numFmtId="0" fontId="2" fillId="0" borderId="0"/>
    <xf numFmtId="0" fontId="40" fillId="0" borderId="0"/>
    <xf numFmtId="0" fontId="8" fillId="0" borderId="0"/>
    <xf numFmtId="0" fontId="40" fillId="0" borderId="0"/>
    <xf numFmtId="168" fontId="2" fillId="0" borderId="0"/>
    <xf numFmtId="0" fontId="40" fillId="0" borderId="0"/>
    <xf numFmtId="0" fontId="2" fillId="0" borderId="0"/>
    <xf numFmtId="0" fontId="40" fillId="0" borderId="0"/>
    <xf numFmtId="0" fontId="40"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50"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50" fillId="0" borderId="0"/>
    <xf numFmtId="0" fontId="49" fillId="0" borderId="0" applyNumberForma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32" fillId="0" borderId="30" applyNumberFormat="0" applyFon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4" borderId="0" applyNumberFormat="0" applyBorder="0" applyAlignment="0" applyProtection="0"/>
    <xf numFmtId="0" fontId="23" fillId="8" borderId="0" applyNumberFormat="0" applyBorder="0" applyAlignment="0" applyProtection="0"/>
    <xf numFmtId="0" fontId="27" fillId="11" borderId="23"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22" fillId="7" borderId="0" applyNumberFormat="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5" fillId="10" borderId="23" applyNumberFormat="0" applyAlignment="0" applyProtection="0"/>
    <xf numFmtId="0" fontId="28" fillId="0" borderId="25" applyNumberFormat="0" applyFill="0" applyAlignment="0" applyProtection="0"/>
    <xf numFmtId="0" fontId="24" fillId="9" borderId="0" applyNumberFormat="0" applyBorder="0" applyAlignment="0" applyProtection="0"/>
    <xf numFmtId="0" fontId="8" fillId="0" borderId="0"/>
    <xf numFmtId="0" fontId="8" fillId="13" borderId="27" applyNumberFormat="0" applyFont="0" applyAlignment="0" applyProtection="0"/>
    <xf numFmtId="0" fontId="26" fillId="11" borderId="24" applyNumberFormat="0" applyAlignment="0" applyProtection="0"/>
    <xf numFmtId="9" fontId="8" fillId="0" borderId="0" applyFon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8" fillId="0" borderId="0"/>
    <xf numFmtId="0" fontId="2" fillId="0" borderId="0"/>
    <xf numFmtId="0" fontId="2" fillId="0" borderId="0"/>
    <xf numFmtId="0" fontId="2" fillId="0" borderId="0"/>
    <xf numFmtId="9" fontId="2" fillId="0" borderId="0" applyFont="0" applyFill="0" applyBorder="0" applyAlignment="0" applyProtection="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2"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2" fillId="0" borderId="0"/>
    <xf numFmtId="168" fontId="2" fillId="0" borderId="0"/>
    <xf numFmtId="168" fontId="2"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3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168" fontId="2" fillId="0" borderId="0"/>
    <xf numFmtId="0" fontId="8" fillId="0" borderId="0"/>
    <xf numFmtId="0" fontId="39" fillId="0" borderId="22"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168" fontId="34" fillId="0" borderId="0" applyNumberFormat="0" applyFill="0" applyBorder="0" applyAlignment="0" applyProtection="0"/>
    <xf numFmtId="0" fontId="8" fillId="0" borderId="0"/>
    <xf numFmtId="0" fontId="8" fillId="0" borderId="0"/>
    <xf numFmtId="0" fontId="8" fillId="0" borderId="0"/>
    <xf numFmtId="0" fontId="8" fillId="0" borderId="0"/>
    <xf numFmtId="168" fontId="2" fillId="0" borderId="0"/>
    <xf numFmtId="9" fontId="2" fillId="0" borderId="0" applyFont="0" applyFill="0" applyBorder="0" applyAlignment="0" applyProtection="0"/>
    <xf numFmtId="168" fontId="32" fillId="0" borderId="30" applyNumberFormat="0" applyFont="0" applyFill="0" applyAlignment="0" applyProtection="0"/>
    <xf numFmtId="43" fontId="2" fillId="0" borderId="0" applyFont="0" applyFill="0" applyBorder="0" applyAlignment="0" applyProtection="0"/>
    <xf numFmtId="0" fontId="8" fillId="0" borderId="0"/>
    <xf numFmtId="168" fontId="2"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19" fillId="0" borderId="20"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11" fillId="0" borderId="28" applyNumberFormat="0" applyFill="0" applyAlignment="0" applyProtection="0"/>
    <xf numFmtId="0" fontId="20" fillId="0" borderId="21" applyNumberFormat="0" applyFill="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17" borderId="0" applyNumberFormat="0" applyBorder="0" applyAlignment="0" applyProtection="0"/>
    <xf numFmtId="0" fontId="31" fillId="43"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5" borderId="0" applyNumberFormat="0" applyBorder="0" applyAlignment="0" applyProtection="0"/>
    <xf numFmtId="0" fontId="31" fillId="46" borderId="0" applyNumberFormat="0" applyBorder="0" applyAlignment="0" applyProtection="0"/>
    <xf numFmtId="0" fontId="31" fillId="29" borderId="0" applyNumberFormat="0" applyBorder="0" applyAlignment="0" applyProtection="0"/>
    <xf numFmtId="0" fontId="31" fillId="39" borderId="0" applyNumberFormat="0" applyBorder="0" applyAlignment="0" applyProtection="0"/>
    <xf numFmtId="0" fontId="31" fillId="33" borderId="0" applyNumberFormat="0" applyBorder="0" applyAlignment="0" applyProtection="0"/>
    <xf numFmtId="0" fontId="31" fillId="43"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0" fontId="31" fillId="22" borderId="0" applyNumberFormat="0" applyBorder="0" applyAlignment="0" applyProtection="0"/>
    <xf numFmtId="0" fontId="31" fillId="46" borderId="0" applyNumberFormat="0" applyBorder="0" applyAlignment="0" applyProtection="0"/>
    <xf numFmtId="0" fontId="31" fillId="26" borderId="0" applyNumberFormat="0" applyBorder="0" applyAlignment="0" applyProtection="0"/>
    <xf numFmtId="0" fontId="31" fillId="48" borderId="0" applyNumberFormat="0" applyBorder="0" applyAlignment="0" applyProtection="0"/>
    <xf numFmtId="0" fontId="31" fillId="34" borderId="0" applyNumberFormat="0" applyBorder="0" applyAlignment="0" applyProtection="0"/>
    <xf numFmtId="0" fontId="31" fillId="49" borderId="0" applyNumberFormat="0" applyBorder="0" applyAlignment="0" applyProtection="0"/>
    <xf numFmtId="0" fontId="23" fillId="8" borderId="0" applyNumberFormat="0" applyBorder="0" applyAlignment="0" applyProtection="0"/>
    <xf numFmtId="0" fontId="23" fillId="50" borderId="0" applyNumberFormat="0" applyBorder="0" applyAlignment="0" applyProtection="0"/>
    <xf numFmtId="0" fontId="27" fillId="1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169" fontId="50" fillId="0" borderId="0"/>
    <xf numFmtId="44" fontId="2" fillId="0" borderId="0" applyFont="0" applyFill="0" applyBorder="0" applyAlignment="0" applyProtection="0"/>
    <xf numFmtId="170" fontId="50" fillId="0" borderId="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7" borderId="0" applyNumberFormat="0" applyBorder="0" applyAlignment="0" applyProtection="0"/>
    <xf numFmtId="0" fontId="22" fillId="43" borderId="0" applyNumberFormat="0" applyBorder="0" applyAlignment="0" applyProtection="0"/>
    <xf numFmtId="0" fontId="53" fillId="0" borderId="31" applyNumberFormat="0" applyFill="0" applyAlignment="0" applyProtection="0"/>
    <xf numFmtId="0" fontId="46" fillId="0" borderId="31" applyNumberFormat="0" applyFill="0" applyAlignment="0" applyProtection="0"/>
    <xf numFmtId="0" fontId="19" fillId="0" borderId="20" applyNumberFormat="0" applyFill="0" applyAlignment="0" applyProtection="0"/>
    <xf numFmtId="0" fontId="46" fillId="0" borderId="31"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20" fillId="0" borderId="21"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8" fillId="0" borderId="33" applyNumberFormat="0" applyFill="0" applyAlignment="0" applyProtection="0"/>
    <xf numFmtId="0" fontId="21" fillId="0" borderId="22"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25" fillId="10"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28" fillId="0" borderId="25" applyNumberFormat="0" applyFill="0" applyAlignment="0" applyProtection="0"/>
    <xf numFmtId="0" fontId="24" fillId="9" borderId="0" applyNumberFormat="0" applyBorder="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50" fillId="0" borderId="0"/>
    <xf numFmtId="0" fontId="8" fillId="0" borderId="0"/>
    <xf numFmtId="0" fontId="2" fillId="0" borderId="0"/>
    <xf numFmtId="0" fontId="2" fillId="0" borderId="0"/>
    <xf numFmtId="0" fontId="2" fillId="0" borderId="0"/>
    <xf numFmtId="0" fontId="2" fillId="0" borderId="0"/>
    <xf numFmtId="0" fontId="44" fillId="0" borderId="0" applyNumberFormat="0" applyFill="0" applyBorder="0" applyProtection="0">
      <alignment vertical="top" wrapText="1"/>
    </xf>
    <xf numFmtId="0" fontId="50"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2" fillId="0" borderId="0"/>
    <xf numFmtId="0" fontId="2"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11" borderId="24" applyNumberFormat="0" applyAlignment="0" applyProtection="0"/>
    <xf numFmtId="0" fontId="26" fillId="51" borderId="24" applyNumberForma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2"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0" fontId="46"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8" fillId="0" borderId="0"/>
    <xf numFmtId="0" fontId="8" fillId="0" borderId="0"/>
    <xf numFmtId="0" fontId="8" fillId="0" borderId="0"/>
    <xf numFmtId="0" fontId="2" fillId="0" borderId="0"/>
    <xf numFmtId="0" fontId="2" fillId="0" borderId="0">
      <alignment vertical="top"/>
    </xf>
    <xf numFmtId="168" fontId="8" fillId="0" borderId="0"/>
    <xf numFmtId="0" fontId="8" fillId="0" borderId="0"/>
    <xf numFmtId="168" fontId="8" fillId="0" borderId="0"/>
    <xf numFmtId="168" fontId="8" fillId="0" borderId="0"/>
    <xf numFmtId="0" fontId="2" fillId="0" borderId="0">
      <alignment vertical="top"/>
    </xf>
    <xf numFmtId="0" fontId="8" fillId="0" borderId="0"/>
    <xf numFmtId="0" fontId="8" fillId="0" borderId="0"/>
    <xf numFmtId="0" fontId="8" fillId="0" borderId="0"/>
    <xf numFmtId="0" fontId="2"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 fontId="51" fillId="44" borderId="36" applyNumberFormat="0" applyProtection="0">
      <alignment vertical="center"/>
    </xf>
    <xf numFmtId="4" fontId="60" fillId="44" borderId="36" applyNumberFormat="0" applyProtection="0">
      <alignment vertical="center"/>
    </xf>
    <xf numFmtId="4" fontId="51" fillId="44" borderId="36" applyNumberFormat="0" applyProtection="0">
      <alignment horizontal="left" vertical="center" indent="1"/>
    </xf>
    <xf numFmtId="0" fontId="51" fillId="44" borderId="36" applyNumberFormat="0" applyProtection="0">
      <alignment horizontal="left" vertical="top" indent="1"/>
    </xf>
    <xf numFmtId="4" fontId="51" fillId="52" borderId="0" applyNumberFormat="0" applyProtection="0">
      <alignment horizontal="left" vertical="center" indent="1"/>
    </xf>
    <xf numFmtId="4" fontId="45" fillId="39" borderId="36" applyNumberFormat="0" applyProtection="0">
      <alignment horizontal="right" vertical="center"/>
    </xf>
    <xf numFmtId="4" fontId="45" fillId="40" borderId="36" applyNumberFormat="0" applyProtection="0">
      <alignment horizontal="right" vertical="center"/>
    </xf>
    <xf numFmtId="4" fontId="45" fillId="49" borderId="36" applyNumberFormat="0" applyProtection="0">
      <alignment horizontal="right" vertical="center"/>
    </xf>
    <xf numFmtId="4" fontId="45" fillId="46" borderId="36" applyNumberFormat="0" applyProtection="0">
      <alignment horizontal="right" vertical="center"/>
    </xf>
    <xf numFmtId="4" fontId="45" fillId="53" borderId="36" applyNumberFormat="0" applyProtection="0">
      <alignment horizontal="right" vertical="center"/>
    </xf>
    <xf numFmtId="4" fontId="45" fillId="45" borderId="36" applyNumberFormat="0" applyProtection="0">
      <alignment horizontal="right" vertical="center"/>
    </xf>
    <xf numFmtId="4" fontId="45" fillId="54" borderId="36" applyNumberFormat="0" applyProtection="0">
      <alignment horizontal="right" vertical="center"/>
    </xf>
    <xf numFmtId="4" fontId="45" fillId="55" borderId="36" applyNumberFormat="0" applyProtection="0">
      <alignment horizontal="right" vertical="center"/>
    </xf>
    <xf numFmtId="4" fontId="45" fillId="56" borderId="36" applyNumberFormat="0" applyProtection="0">
      <alignment horizontal="right" vertical="center"/>
    </xf>
    <xf numFmtId="4" fontId="51" fillId="57" borderId="37" applyNumberFormat="0" applyProtection="0">
      <alignment horizontal="left" vertical="center" indent="1"/>
    </xf>
    <xf numFmtId="4" fontId="45" fillId="58" borderId="0" applyNumberFormat="0" applyProtection="0">
      <alignment horizontal="left" vertical="center" indent="1"/>
    </xf>
    <xf numFmtId="4" fontId="61" fillId="48" borderId="0" applyNumberFormat="0" applyProtection="0">
      <alignment horizontal="left" vertical="center" indent="1"/>
    </xf>
    <xf numFmtId="4" fontId="45" fillId="52" borderId="36" applyNumberFormat="0" applyProtection="0">
      <alignment horizontal="right" vertical="center"/>
    </xf>
    <xf numFmtId="4" fontId="45" fillId="58" borderId="0" applyNumberFormat="0" applyProtection="0">
      <alignment horizontal="left" vertical="center" indent="1"/>
    </xf>
    <xf numFmtId="4" fontId="45" fillId="52" borderId="0" applyNumberFormat="0" applyProtection="0">
      <alignment horizontal="left" vertical="center" indent="1"/>
    </xf>
    <xf numFmtId="0" fontId="2" fillId="48" borderId="36" applyNumberFormat="0" applyProtection="0">
      <alignment horizontal="left" vertical="center" indent="1"/>
    </xf>
    <xf numFmtId="0" fontId="2" fillId="48" borderId="36" applyNumberFormat="0" applyProtection="0">
      <alignment horizontal="left" vertical="top" indent="1"/>
    </xf>
    <xf numFmtId="0" fontId="2" fillId="52" borderId="36" applyNumberFormat="0" applyProtection="0">
      <alignment horizontal="left" vertical="center" indent="1"/>
    </xf>
    <xf numFmtId="0" fontId="2" fillId="52" borderId="36" applyNumberFormat="0" applyProtection="0">
      <alignment horizontal="left" vertical="top" indent="1"/>
    </xf>
    <xf numFmtId="0" fontId="2" fillId="38" borderId="36" applyNumberFormat="0" applyProtection="0">
      <alignment horizontal="left" vertical="center" indent="1"/>
    </xf>
    <xf numFmtId="0" fontId="2" fillId="38" borderId="36" applyNumberFormat="0" applyProtection="0">
      <alignment horizontal="left" vertical="top" indent="1"/>
    </xf>
    <xf numFmtId="0" fontId="2" fillId="58" borderId="36" applyNumberFormat="0" applyProtection="0">
      <alignment horizontal="left" vertical="center" indent="1"/>
    </xf>
    <xf numFmtId="0" fontId="2" fillId="58" borderId="36" applyNumberFormat="0" applyProtection="0">
      <alignment horizontal="left" vertical="top" indent="1"/>
    </xf>
    <xf numFmtId="0" fontId="2" fillId="51" borderId="29" applyNumberFormat="0">
      <protection locked="0"/>
    </xf>
    <xf numFmtId="4" fontId="45" fillId="41" borderId="36" applyNumberFormat="0" applyProtection="0">
      <alignment vertical="center"/>
    </xf>
    <xf numFmtId="4" fontId="62" fillId="41" borderId="36" applyNumberFormat="0" applyProtection="0">
      <alignment vertical="center"/>
    </xf>
    <xf numFmtId="4" fontId="45" fillId="41" borderId="36" applyNumberFormat="0" applyProtection="0">
      <alignment horizontal="left" vertical="center" indent="1"/>
    </xf>
    <xf numFmtId="0" fontId="45" fillId="41" borderId="36" applyNumberFormat="0" applyProtection="0">
      <alignment horizontal="left" vertical="top" indent="1"/>
    </xf>
    <xf numFmtId="4" fontId="45" fillId="58" borderId="36" applyNumberFormat="0" applyProtection="0">
      <alignment horizontal="right" vertical="center"/>
    </xf>
    <xf numFmtId="4" fontId="62" fillId="58" borderId="36" applyNumberFormat="0" applyProtection="0">
      <alignment horizontal="right" vertical="center"/>
    </xf>
    <xf numFmtId="4" fontId="45" fillId="52" borderId="36" applyNumberFormat="0" applyProtection="0">
      <alignment horizontal="left" vertical="center" indent="1"/>
    </xf>
    <xf numFmtId="0" fontId="45" fillId="52" borderId="36" applyNumberFormat="0" applyProtection="0">
      <alignment horizontal="left" vertical="top" indent="1"/>
    </xf>
    <xf numFmtId="4" fontId="63" fillId="59" borderId="0" applyNumberFormat="0" applyProtection="0">
      <alignment horizontal="left" vertical="center" indent="1"/>
    </xf>
    <xf numFmtId="4" fontId="41" fillId="58" borderId="36" applyNumberFormat="0" applyProtection="0">
      <alignment horizontal="right" vertical="center"/>
    </xf>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32" fillId="0" borderId="0" applyFont="0" applyFill="0" applyBorder="0" applyAlignment="0" applyProtection="0"/>
    <xf numFmtId="2" fontId="32" fillId="0" borderId="0" applyFont="0" applyFill="0" applyBorder="0" applyAlignment="0" applyProtection="0"/>
    <xf numFmtId="167" fontId="32" fillId="0" borderId="0" applyFont="0" applyFill="0" applyBorder="0" applyAlignment="0" applyProtection="0"/>
    <xf numFmtId="0" fontId="33" fillId="0" borderId="0" applyNumberFormat="0" applyFill="0" applyBorder="0" applyAlignment="0" applyProtection="0"/>
    <xf numFmtId="0" fontId="8" fillId="0" borderId="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170" fontId="50" fillId="0" borderId="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46" fillId="0" borderId="31" applyNumberFormat="0" applyFill="0" applyAlignment="0" applyProtection="0"/>
    <xf numFmtId="0" fontId="47" fillId="0" borderId="32" applyNumberFormat="0" applyFill="0" applyAlignment="0" applyProtection="0"/>
    <xf numFmtId="0" fontId="42" fillId="0" borderId="33" applyNumberFormat="0" applyFill="0" applyAlignment="0" applyProtection="0"/>
    <xf numFmtId="0" fontId="40" fillId="0" borderId="0"/>
    <xf numFmtId="0" fontId="2" fillId="0" borderId="0"/>
    <xf numFmtId="0" fontId="1" fillId="0" borderId="0"/>
    <xf numFmtId="0" fontId="40" fillId="0" borderId="0"/>
    <xf numFmtId="0" fontId="40" fillId="0" borderId="0"/>
    <xf numFmtId="0" fontId="40" fillId="0" borderId="0"/>
    <xf numFmtId="0" fontId="40" fillId="0" borderId="0"/>
    <xf numFmtId="0" fontId="2" fillId="0" borderId="0"/>
    <xf numFmtId="9" fontId="2" fillId="0" borderId="0" applyFont="0" applyFill="0" applyBorder="0" applyAlignment="0" applyProtection="0"/>
    <xf numFmtId="9" fontId="50" fillId="0" borderId="0"/>
    <xf numFmtId="9" fontId="2" fillId="0" borderId="0" applyFont="0" applyFill="0" applyBorder="0" applyAlignment="0" applyProtection="0"/>
    <xf numFmtId="9" fontId="1" fillId="0" borderId="0" applyFon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28" applyNumberFormat="0" applyFill="0" applyAlignment="0" applyProtection="0"/>
    <xf numFmtId="44" fontId="2" fillId="0" borderId="0" applyFont="0" applyFill="0" applyBorder="0" applyAlignment="0" applyProtection="0"/>
    <xf numFmtId="43" fontId="2" fillId="0" borderId="0" applyFont="0" applyFill="0" applyBorder="0" applyAlignment="0" applyProtection="0"/>
    <xf numFmtId="0" fontId="8" fillId="0" borderId="0"/>
    <xf numFmtId="168" fontId="2"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15" borderId="0" applyNumberFormat="0" applyBorder="0" applyAlignment="0" applyProtection="0"/>
    <xf numFmtId="0" fontId="8" fillId="16" borderId="0" applyNumberFormat="0" applyBorder="0" applyAlignment="0" applyProtection="0"/>
    <xf numFmtId="0" fontId="2" fillId="0" borderId="0"/>
    <xf numFmtId="0" fontId="2" fillId="0" borderId="0"/>
    <xf numFmtId="0" fontId="8" fillId="19" borderId="0" applyNumberFormat="0" applyBorder="0" applyAlignment="0" applyProtection="0"/>
    <xf numFmtId="0" fontId="2" fillId="0" borderId="0"/>
    <xf numFmtId="0" fontId="2" fillId="0" borderId="0"/>
    <xf numFmtId="0" fontId="8" fillId="23" borderId="0" applyNumberFormat="0" applyBorder="0" applyAlignment="0" applyProtection="0"/>
    <xf numFmtId="0" fontId="8" fillId="24" borderId="0" applyNumberFormat="0" applyBorder="0" applyAlignment="0" applyProtection="0"/>
    <xf numFmtId="0" fontId="2" fillId="0" borderId="0"/>
    <xf numFmtId="0" fontId="2" fillId="0" borderId="0"/>
    <xf numFmtId="0" fontId="8" fillId="27" borderId="0" applyNumberFormat="0" applyBorder="0" applyAlignment="0" applyProtection="0"/>
    <xf numFmtId="0" fontId="8" fillId="28" borderId="0" applyNumberFormat="0" applyBorder="0" applyAlignment="0" applyProtection="0"/>
    <xf numFmtId="0" fontId="2" fillId="0" borderId="0"/>
    <xf numFmtId="0" fontId="8" fillId="32" borderId="0" applyNumberFormat="0" applyBorder="0" applyAlignment="0" applyProtection="0"/>
    <xf numFmtId="0" fontId="2" fillId="0" borderId="0"/>
    <xf numFmtId="0" fontId="2" fillId="0" borderId="0"/>
    <xf numFmtId="0" fontId="8" fillId="35" borderId="0" applyNumberFormat="0" applyBorder="0" applyAlignment="0" applyProtection="0"/>
    <xf numFmtId="0" fontId="8" fillId="36" borderId="0" applyNumberFormat="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20" borderId="0" applyNumberFormat="0" applyBorder="0" applyAlignment="0" applyProtection="0"/>
    <xf numFmtId="0" fontId="2" fillId="0" borderId="0"/>
    <xf numFmtId="0" fontId="8" fillId="3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2" fillId="0" borderId="0"/>
    <xf numFmtId="0" fontId="8"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0" fontId="2" fillId="0" borderId="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0" fillId="0" borderId="0"/>
    <xf numFmtId="43"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43" fontId="2" fillId="0" borderId="0" applyFont="0" applyFill="0" applyBorder="0" applyAlignment="0" applyProtection="0"/>
    <xf numFmtId="0" fontId="8" fillId="0" borderId="0"/>
    <xf numFmtId="0" fontId="8" fillId="0" borderId="0"/>
    <xf numFmtId="0" fontId="8" fillId="0" borderId="0"/>
    <xf numFmtId="0" fontId="8" fillId="0" borderId="0"/>
    <xf numFmtId="37" fontId="40"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36" fillId="0" borderId="0"/>
    <xf numFmtId="0" fontId="8" fillId="0" borderId="0"/>
    <xf numFmtId="0" fontId="8" fillId="0" borderId="0"/>
    <xf numFmtId="0" fontId="8" fillId="0" borderId="0"/>
    <xf numFmtId="0" fontId="8" fillId="0" borderId="0"/>
    <xf numFmtId="168" fontId="8" fillId="0" borderId="0"/>
    <xf numFmtId="0" fontId="36"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9" fontId="8" fillId="0" borderId="0" applyFont="0" applyFill="0" applyBorder="0" applyAlignment="0" applyProtection="0"/>
    <xf numFmtId="43" fontId="8" fillId="0" borderId="0" applyFont="0" applyFill="0" applyBorder="0" applyAlignment="0" applyProtection="0"/>
    <xf numFmtId="0" fontId="2" fillId="0" borderId="0"/>
    <xf numFmtId="0" fontId="12" fillId="12" borderId="26" applyNumberFormat="0" applyAlignment="0" applyProtection="0"/>
    <xf numFmtId="0" fontId="29" fillId="0" borderId="0" applyNumberFormat="0" applyFill="0" applyBorder="0" applyAlignment="0" applyProtection="0"/>
    <xf numFmtId="0" fontId="8" fillId="13" borderId="27" applyNumberFormat="0" applyFont="0" applyAlignment="0" applyProtection="0"/>
    <xf numFmtId="0" fontId="30" fillId="0" borderId="0" applyNumberFormat="0" applyFill="0" applyBorder="0" applyAlignment="0" applyProtection="0"/>
    <xf numFmtId="0" fontId="31" fillId="30" borderId="0" applyNumberFormat="0" applyBorder="0" applyAlignment="0" applyProtection="0"/>
    <xf numFmtId="37" fontId="36" fillId="0" borderId="0"/>
    <xf numFmtId="0" fontId="36" fillId="0" borderId="0"/>
    <xf numFmtId="0" fontId="36" fillId="0" borderId="0"/>
    <xf numFmtId="0" fontId="36" fillId="0" borderId="0"/>
    <xf numFmtId="0" fontId="36" fillId="0" borderId="0"/>
    <xf numFmtId="0" fontId="65" fillId="0" borderId="0"/>
    <xf numFmtId="0" fontId="65" fillId="0" borderId="0"/>
    <xf numFmtId="0" fontId="66" fillId="0" borderId="20" applyNumberFormat="0" applyFill="0" applyAlignment="0" applyProtection="0"/>
    <xf numFmtId="0" fontId="67" fillId="0" borderId="21" applyNumberFormat="0" applyFill="0" applyAlignment="0" applyProtection="0"/>
    <xf numFmtId="0" fontId="68" fillId="0" borderId="22" applyNumberFormat="0" applyFill="0" applyAlignment="0" applyProtection="0"/>
    <xf numFmtId="0" fontId="68" fillId="0" borderId="0" applyNumberFormat="0" applyFill="0" applyBorder="0" applyAlignment="0" applyProtection="0"/>
    <xf numFmtId="0" fontId="69" fillId="7" borderId="0" applyNumberFormat="0" applyBorder="0" applyAlignment="0" applyProtection="0"/>
    <xf numFmtId="0" fontId="70" fillId="8" borderId="0" applyNumberFormat="0" applyBorder="0" applyAlignment="0" applyProtection="0"/>
    <xf numFmtId="0" fontId="71" fillId="9" borderId="0" applyNumberFormat="0" applyBorder="0" applyAlignment="0" applyProtection="0"/>
    <xf numFmtId="0" fontId="72" fillId="10" borderId="23" applyNumberFormat="0" applyAlignment="0" applyProtection="0"/>
    <xf numFmtId="0" fontId="73" fillId="11" borderId="24" applyNumberFormat="0" applyAlignment="0" applyProtection="0"/>
    <xf numFmtId="0" fontId="74" fillId="11" borderId="23" applyNumberFormat="0" applyAlignment="0" applyProtection="0"/>
    <xf numFmtId="0" fontId="75" fillId="0" borderId="25" applyNumberFormat="0" applyFill="0" applyAlignment="0" applyProtection="0"/>
    <xf numFmtId="0" fontId="76" fillId="12" borderId="26" applyNumberFormat="0" applyAlignment="0" applyProtection="0"/>
    <xf numFmtId="0" fontId="77" fillId="0" borderId="0" applyNumberFormat="0" applyFill="0" applyBorder="0" applyAlignment="0" applyProtection="0"/>
    <xf numFmtId="0" fontId="65" fillId="13" borderId="27" applyNumberFormat="0" applyFont="0" applyAlignment="0" applyProtection="0"/>
    <xf numFmtId="0" fontId="78" fillId="0" borderId="0" applyNumberFormat="0" applyFill="0" applyBorder="0" applyAlignment="0" applyProtection="0"/>
    <xf numFmtId="0" fontId="79" fillId="0" borderId="28" applyNumberFormat="0" applyFill="0" applyAlignment="0" applyProtection="0"/>
    <xf numFmtId="0" fontId="80"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80" fillId="37" borderId="0" applyNumberFormat="0" applyBorder="0" applyAlignment="0" applyProtection="0"/>
    <xf numFmtId="44" fontId="65" fillId="0" borderId="0" applyFont="0" applyFill="0" applyBorder="0" applyAlignment="0" applyProtection="0"/>
    <xf numFmtId="43" fontId="65" fillId="0" borderId="0" applyFont="0" applyFill="0" applyBorder="0" applyAlignment="0" applyProtection="0"/>
    <xf numFmtId="0" fontId="2" fillId="0" borderId="0">
      <alignment vertical="top"/>
    </xf>
    <xf numFmtId="4" fontId="2" fillId="0" borderId="0" applyFont="0" applyFill="0" applyBorder="0" applyAlignment="0" applyProtection="0"/>
    <xf numFmtId="7" fontId="2" fillId="0" borderId="0" applyFont="0" applyFill="0" applyBorder="0" applyAlignment="0" applyProtection="0"/>
    <xf numFmtId="0" fontId="81" fillId="0" borderId="0" applyNumberFormat="0" applyFont="0" applyFill="0" applyAlignment="0" applyProtection="0"/>
    <xf numFmtId="0" fontId="64" fillId="0" borderId="0" applyNumberFormat="0" applyFont="0" applyFill="0" applyAlignment="0" applyProtection="0"/>
    <xf numFmtId="0" fontId="2" fillId="0" borderId="38" applyNumberFormat="0" applyFont="0" applyBorder="0" applyAlignment="0" applyProtection="0"/>
    <xf numFmtId="0" fontId="2" fillId="0" borderId="0">
      <alignment vertical="top"/>
    </xf>
    <xf numFmtId="0" fontId="2" fillId="0" borderId="0">
      <alignment vertical="top"/>
    </xf>
    <xf numFmtId="44" fontId="65" fillId="0" borderId="0" applyFont="0" applyFill="0" applyBorder="0" applyAlignment="0" applyProtection="0"/>
    <xf numFmtId="9" fontId="65" fillId="0" borderId="0" applyFont="0" applyFill="0" applyBorder="0" applyAlignment="0" applyProtection="0"/>
    <xf numFmtId="0" fontId="35" fillId="0" borderId="0" applyNumberFormat="0" applyFill="0" applyBorder="0" applyAlignment="0" applyProtection="0">
      <alignment vertical="top"/>
      <protection locked="0"/>
    </xf>
    <xf numFmtId="43" fontId="2" fillId="0" borderId="0" applyFont="0" applyFill="0" applyBorder="0" applyAlignment="0" applyProtection="0"/>
    <xf numFmtId="0" fontId="82" fillId="0" borderId="0" applyNumberFormat="0" applyFill="0" applyBorder="0" applyAlignment="0" applyProtection="0"/>
    <xf numFmtId="43" fontId="8" fillId="0" borderId="0" applyFont="0" applyFill="0" applyBorder="0" applyAlignment="0" applyProtection="0"/>
    <xf numFmtId="0" fontId="18" fillId="0" borderId="0" applyNumberFormat="0" applyFill="0" applyBorder="0" applyAlignment="0" applyProtection="0"/>
    <xf numFmtId="0" fontId="83" fillId="0" borderId="0"/>
    <xf numFmtId="0" fontId="84" fillId="9"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44" fontId="8" fillId="0" borderId="0" applyFont="0" applyFill="0" applyBorder="0" applyAlignment="0" applyProtection="0"/>
    <xf numFmtId="0" fontId="119" fillId="0" borderId="0"/>
    <xf numFmtId="0" fontId="189" fillId="0" borderId="0"/>
    <xf numFmtId="0" fontId="199" fillId="0" borderId="0" applyNumberFormat="0" applyFill="0" applyBorder="0" applyAlignment="0" applyProtection="0"/>
  </cellStyleXfs>
  <cellXfs count="2257">
    <xf numFmtId="0" fontId="0" fillId="0" borderId="0" xfId="0"/>
    <xf numFmtId="0" fontId="11" fillId="0" borderId="0" xfId="0" applyFont="1"/>
    <xf numFmtId="0" fontId="0" fillId="0" borderId="0" xfId="0" applyAlignment="1">
      <alignment wrapText="1"/>
    </xf>
    <xf numFmtId="0" fontId="13" fillId="0" borderId="0" xfId="0" applyFont="1" applyAlignment="1">
      <alignment wrapText="1"/>
    </xf>
    <xf numFmtId="43" fontId="8" fillId="0" borderId="0" xfId="4" applyFont="1" applyProtection="1"/>
    <xf numFmtId="172" fontId="0" fillId="0" borderId="0" xfId="0" applyNumberFormat="1"/>
    <xf numFmtId="0" fontId="2" fillId="0" borderId="0" xfId="6628"/>
    <xf numFmtId="172" fontId="2" fillId="0" borderId="0" xfId="6628" applyNumberFormat="1"/>
    <xf numFmtId="0" fontId="85" fillId="0" borderId="0" xfId="6628" applyFont="1"/>
    <xf numFmtId="0" fontId="86" fillId="0" borderId="0" xfId="6628" applyFont="1"/>
    <xf numFmtId="0" fontId="87" fillId="0" borderId="0" xfId="6628" applyFont="1"/>
    <xf numFmtId="0" fontId="91" fillId="0" borderId="0" xfId="0" applyFont="1" applyAlignment="1">
      <alignment vertical="center"/>
    </xf>
    <xf numFmtId="0" fontId="95" fillId="0" borderId="0" xfId="8" applyFont="1"/>
    <xf numFmtId="0" fontId="94" fillId="0" borderId="0" xfId="8" applyFont="1"/>
    <xf numFmtId="9" fontId="94" fillId="0" borderId="0" xfId="10" applyFont="1" applyProtection="1"/>
    <xf numFmtId="172" fontId="93" fillId="0" borderId="0" xfId="6628" applyNumberFormat="1" applyFont="1"/>
    <xf numFmtId="174" fontId="2" fillId="0" borderId="0" xfId="6628" applyNumberFormat="1"/>
    <xf numFmtId="172" fontId="2" fillId="0" borderId="1" xfId="6628" applyNumberFormat="1" applyBorder="1"/>
    <xf numFmtId="172" fontId="95" fillId="0" borderId="0" xfId="6628" applyNumberFormat="1" applyFont="1"/>
    <xf numFmtId="0" fontId="87" fillId="0" borderId="0" xfId="0" applyFont="1"/>
    <xf numFmtId="0" fontId="86" fillId="0" borderId="0" xfId="0" applyFont="1"/>
    <xf numFmtId="0" fontId="88" fillId="65" borderId="0" xfId="0" applyFont="1" applyFill="1"/>
    <xf numFmtId="0" fontId="64" fillId="6" borderId="0" xfId="0" applyFont="1" applyFill="1"/>
    <xf numFmtId="0" fontId="99" fillId="65" borderId="0" xfId="0" quotePrefix="1" applyFont="1" applyFill="1"/>
    <xf numFmtId="0" fontId="15" fillId="0" borderId="0" xfId="6628" applyFont="1"/>
    <xf numFmtId="0" fontId="98" fillId="6" borderId="0" xfId="6628" applyFont="1" applyFill="1"/>
    <xf numFmtId="0" fontId="64" fillId="6" borderId="0" xfId="6628" applyFont="1" applyFill="1"/>
    <xf numFmtId="0" fontId="14" fillId="0" borderId="0" xfId="8" applyFont="1" applyAlignment="1">
      <alignment horizontal="center"/>
    </xf>
    <xf numFmtId="0" fontId="14" fillId="0" borderId="0" xfId="8" applyFont="1" applyAlignment="1">
      <alignment horizontal="left"/>
    </xf>
    <xf numFmtId="0" fontId="15" fillId="6" borderId="0" xfId="6628" applyFont="1" applyFill="1"/>
    <xf numFmtId="44" fontId="95" fillId="0" borderId="0" xfId="8" applyNumberFormat="1" applyFont="1"/>
    <xf numFmtId="173" fontId="95" fillId="0" borderId="0" xfId="8" applyNumberFormat="1" applyFont="1"/>
    <xf numFmtId="0" fontId="103" fillId="0" borderId="0" xfId="0" applyFont="1"/>
    <xf numFmtId="0" fontId="92" fillId="0" borderId="0" xfId="0" applyFont="1"/>
    <xf numFmtId="0" fontId="92" fillId="0" borderId="0" xfId="0" applyFont="1" applyAlignment="1">
      <alignment horizontal="center"/>
    </xf>
    <xf numFmtId="0" fontId="91" fillId="0" borderId="0" xfId="0" applyFont="1"/>
    <xf numFmtId="174" fontId="92" fillId="0" borderId="0" xfId="0" applyNumberFormat="1" applyFont="1" applyAlignment="1">
      <alignment horizontal="center"/>
    </xf>
    <xf numFmtId="0" fontId="104" fillId="65" borderId="0" xfId="0" applyFont="1" applyFill="1"/>
    <xf numFmtId="0" fontId="94" fillId="0" borderId="0" xfId="6628" applyFont="1"/>
    <xf numFmtId="0" fontId="104" fillId="6" borderId="0" xfId="0" applyFont="1" applyFill="1"/>
    <xf numFmtId="0" fontId="92" fillId="6" borderId="0" xfId="0" applyFont="1" applyFill="1"/>
    <xf numFmtId="0" fontId="94" fillId="0" borderId="0" xfId="0" applyFont="1"/>
    <xf numFmtId="0" fontId="100" fillId="0" borderId="0" xfId="0" applyFont="1"/>
    <xf numFmtId="0" fontId="91" fillId="3" borderId="0" xfId="0" applyFont="1" applyFill="1"/>
    <xf numFmtId="0" fontId="91" fillId="0" borderId="0" xfId="0" applyFont="1" applyAlignment="1">
      <alignment horizontal="center"/>
    </xf>
    <xf numFmtId="0" fontId="91" fillId="0" borderId="0" xfId="0" applyFont="1" applyAlignment="1">
      <alignment wrapText="1"/>
    </xf>
    <xf numFmtId="0" fontId="91" fillId="0" borderId="0" xfId="0" applyFont="1" applyAlignment="1">
      <alignment horizontal="left" wrapText="1"/>
    </xf>
    <xf numFmtId="8" fontId="91" fillId="3" borderId="0" xfId="0" applyNumberFormat="1" applyFont="1" applyFill="1"/>
    <xf numFmtId="0" fontId="92" fillId="3" borderId="0" xfId="0" applyFont="1" applyFill="1"/>
    <xf numFmtId="6" fontId="92" fillId="0" borderId="0" xfId="0" applyNumberFormat="1" applyFont="1" applyAlignment="1">
      <alignment horizontal="center" wrapText="1"/>
    </xf>
    <xf numFmtId="0" fontId="92" fillId="0" borderId="0" xfId="0" applyFont="1" applyAlignment="1">
      <alignment horizontal="center" wrapText="1"/>
    </xf>
    <xf numFmtId="8" fontId="91" fillId="0" borderId="0" xfId="0" applyNumberFormat="1" applyFont="1"/>
    <xf numFmtId="172" fontId="91" fillId="0" borderId="0" xfId="0" applyNumberFormat="1" applyFont="1"/>
    <xf numFmtId="172" fontId="91" fillId="0" borderId="0" xfId="0" applyNumberFormat="1" applyFont="1" applyAlignment="1">
      <alignment horizontal="center"/>
    </xf>
    <xf numFmtId="165" fontId="91" fillId="0" borderId="0" xfId="0" applyNumberFormat="1" applyFont="1" applyAlignment="1">
      <alignment horizontal="center"/>
    </xf>
    <xf numFmtId="164" fontId="91" fillId="3" borderId="0" xfId="0" applyNumberFormat="1" applyFont="1" applyFill="1"/>
    <xf numFmtId="172" fontId="91" fillId="0" borderId="0" xfId="0" applyNumberFormat="1" applyFont="1" applyAlignment="1">
      <alignment horizontal="center" vertical="top"/>
    </xf>
    <xf numFmtId="174" fontId="91" fillId="0" borderId="0" xfId="0" applyNumberFormat="1" applyFont="1"/>
    <xf numFmtId="0" fontId="92" fillId="60" borderId="0" xfId="0" applyFont="1" applyFill="1"/>
    <xf numFmtId="0" fontId="92" fillId="0" borderId="1" xfId="0" applyFont="1" applyBorder="1" applyAlignment="1">
      <alignment horizontal="center"/>
    </xf>
    <xf numFmtId="165" fontId="91" fillId="0" borderId="0" xfId="0" applyNumberFormat="1" applyFont="1"/>
    <xf numFmtId="165" fontId="91" fillId="0" borderId="0" xfId="0" applyNumberFormat="1" applyFont="1" applyAlignment="1">
      <alignment horizontal="center" vertical="top"/>
    </xf>
    <xf numFmtId="5" fontId="91" fillId="0" borderId="0" xfId="0" applyNumberFormat="1" applyFont="1"/>
    <xf numFmtId="7" fontId="91" fillId="0" borderId="0" xfId="0" applyNumberFormat="1" applyFont="1"/>
    <xf numFmtId="0" fontId="91" fillId="63" borderId="1" xfId="0" applyFont="1" applyFill="1" applyBorder="1"/>
    <xf numFmtId="0" fontId="91" fillId="0" borderId="1" xfId="0" applyFont="1" applyBorder="1"/>
    <xf numFmtId="0" fontId="91" fillId="0" borderId="0" xfId="0" applyFont="1" applyAlignment="1">
      <alignment horizontal="left" indent="1"/>
    </xf>
    <xf numFmtId="0" fontId="92" fillId="0" borderId="0" xfId="0" applyFont="1" applyAlignment="1">
      <alignment horizontal="right"/>
    </xf>
    <xf numFmtId="0" fontId="100" fillId="0" borderId="0" xfId="7" applyFont="1" applyFill="1" applyBorder="1" applyAlignment="1" applyProtection="1">
      <alignment horizontal="right" wrapText="1" indent="1"/>
    </xf>
    <xf numFmtId="0" fontId="100" fillId="0" borderId="0" xfId="7" applyFont="1" applyBorder="1" applyAlignment="1" applyProtection="1">
      <alignment horizontal="right" wrapText="1" indent="1"/>
    </xf>
    <xf numFmtId="164" fontId="91" fillId="3" borderId="0" xfId="0" applyNumberFormat="1" applyFont="1" applyFill="1" applyAlignment="1">
      <alignment horizontal="center" vertical="top"/>
    </xf>
    <xf numFmtId="0" fontId="91" fillId="3" borderId="1" xfId="0" applyFont="1" applyFill="1" applyBorder="1"/>
    <xf numFmtId="0" fontId="91" fillId="3" borderId="47" xfId="0" applyFont="1" applyFill="1" applyBorder="1"/>
    <xf numFmtId="164" fontId="91" fillId="3" borderId="47" xfId="0" applyNumberFormat="1" applyFont="1" applyFill="1" applyBorder="1" applyAlignment="1">
      <alignment horizontal="center" vertical="top"/>
    </xf>
    <xf numFmtId="0" fontId="91" fillId="0" borderId="47" xfId="0" applyFont="1" applyBorder="1"/>
    <xf numFmtId="0" fontId="92" fillId="3" borderId="0" xfId="0" applyFont="1" applyFill="1" applyAlignment="1">
      <alignment horizontal="right"/>
    </xf>
    <xf numFmtId="0" fontId="92" fillId="3" borderId="0" xfId="0" applyFont="1" applyFill="1" applyAlignment="1">
      <alignment horizontal="center"/>
    </xf>
    <xf numFmtId="0" fontId="92" fillId="0" borderId="1" xfId="0" applyFont="1" applyBorder="1" applyAlignment="1">
      <alignment horizontal="right"/>
    </xf>
    <xf numFmtId="9" fontId="91" fillId="3" borderId="0" xfId="9" applyFont="1" applyFill="1" applyBorder="1" applyAlignment="1">
      <alignment horizontal="center" vertical="top"/>
    </xf>
    <xf numFmtId="0" fontId="100" fillId="0" borderId="0" xfId="7" applyFont="1" applyFill="1" applyBorder="1" applyAlignment="1" applyProtection="1">
      <alignment horizontal="right" wrapText="1"/>
    </xf>
    <xf numFmtId="0" fontId="102" fillId="0" borderId="0" xfId="0" applyFont="1"/>
    <xf numFmtId="0" fontId="100" fillId="0" borderId="0" xfId="7" applyFont="1" applyBorder="1" applyAlignment="1" applyProtection="1">
      <alignment horizontal="right" wrapText="1"/>
    </xf>
    <xf numFmtId="0" fontId="105" fillId="0" borderId="0" xfId="0" applyFont="1"/>
    <xf numFmtId="44" fontId="92" fillId="0" borderId="0" xfId="6" applyFont="1" applyAlignment="1" applyProtection="1">
      <alignment horizontal="center"/>
    </xf>
    <xf numFmtId="44" fontId="94" fillId="0" borderId="0" xfId="6" applyFont="1" applyProtection="1"/>
    <xf numFmtId="0" fontId="94" fillId="63" borderId="0" xfId="8" applyFont="1" applyFill="1"/>
    <xf numFmtId="0" fontId="94" fillId="60" borderId="0" xfId="8" applyFont="1" applyFill="1"/>
    <xf numFmtId="0" fontId="92" fillId="0" borderId="0" xfId="8" applyFont="1" applyAlignment="1">
      <alignment horizontal="center"/>
    </xf>
    <xf numFmtId="44" fontId="95" fillId="0" borderId="1" xfId="8" applyNumberFormat="1" applyFont="1" applyBorder="1"/>
    <xf numFmtId="44" fontId="95" fillId="0" borderId="1" xfId="6" applyFont="1" applyBorder="1" applyProtection="1"/>
    <xf numFmtId="44" fontId="94" fillId="0" borderId="0" xfId="6" applyFont="1" applyBorder="1" applyProtection="1"/>
    <xf numFmtId="0" fontId="94" fillId="61" borderId="0" xfId="8" applyFont="1" applyFill="1"/>
    <xf numFmtId="44" fontId="94" fillId="61" borderId="0" xfId="6" applyFont="1" applyFill="1" applyBorder="1" applyProtection="1"/>
    <xf numFmtId="173" fontId="94" fillId="61" borderId="0" xfId="6" applyNumberFormat="1" applyFont="1" applyFill="1" applyBorder="1" applyProtection="1"/>
    <xf numFmtId="0" fontId="94" fillId="63" borderId="0" xfId="8" applyFont="1" applyFill="1" applyAlignment="1">
      <alignment horizontal="center" wrapText="1"/>
    </xf>
    <xf numFmtId="44" fontId="94" fillId="63" borderId="0" xfId="6" applyFont="1" applyFill="1" applyBorder="1" applyAlignment="1" applyProtection="1">
      <alignment horizontal="center"/>
    </xf>
    <xf numFmtId="9" fontId="95" fillId="0" borderId="0" xfId="10" applyFont="1" applyProtection="1"/>
    <xf numFmtId="0" fontId="91" fillId="0" borderId="0" xfId="0" quotePrefix="1" applyFont="1"/>
    <xf numFmtId="10" fontId="91" fillId="0" borderId="7" xfId="9" applyNumberFormat="1" applyFont="1" applyFill="1" applyBorder="1" applyAlignment="1">
      <alignment horizontal="left" vertical="top"/>
    </xf>
    <xf numFmtId="10" fontId="91" fillId="3" borderId="0" xfId="9" applyNumberFormat="1" applyFont="1" applyFill="1" applyBorder="1" applyAlignment="1">
      <alignment horizontal="left" vertical="top"/>
    </xf>
    <xf numFmtId="10" fontId="91" fillId="0" borderId="0" xfId="9" applyNumberFormat="1" applyFont="1" applyFill="1" applyBorder="1" applyAlignment="1">
      <alignment horizontal="left" vertical="top"/>
    </xf>
    <xf numFmtId="0" fontId="92" fillId="0" borderId="0" xfId="0" applyFont="1" applyAlignment="1">
      <alignment horizontal="left"/>
    </xf>
    <xf numFmtId="164" fontId="92" fillId="0" borderId="0" xfId="0" applyNumberFormat="1" applyFont="1" applyAlignment="1">
      <alignment horizontal="center"/>
    </xf>
    <xf numFmtId="0" fontId="91" fillId="3" borderId="0" xfId="0" applyFont="1" applyFill="1" applyAlignment="1">
      <alignment horizontal="center" vertical="top"/>
    </xf>
    <xf numFmtId="0" fontId="91" fillId="0" borderId="0" xfId="0" applyFont="1" applyAlignment="1">
      <alignment horizontal="left"/>
    </xf>
    <xf numFmtId="0" fontId="91" fillId="3" borderId="0" xfId="0" applyFont="1" applyFill="1" applyAlignment="1">
      <alignment horizontal="center"/>
    </xf>
    <xf numFmtId="164" fontId="91" fillId="0" borderId="0" xfId="0" applyNumberFormat="1" applyFont="1" applyAlignment="1">
      <alignment horizontal="center" vertical="top"/>
    </xf>
    <xf numFmtId="172" fontId="91" fillId="0" borderId="0" xfId="0" applyNumberFormat="1" applyFont="1" applyAlignment="1">
      <alignment horizontal="right" vertical="top"/>
    </xf>
    <xf numFmtId="0" fontId="91" fillId="3" borderId="7" xfId="0" applyFont="1" applyFill="1" applyBorder="1"/>
    <xf numFmtId="9" fontId="92" fillId="3" borderId="0" xfId="9" applyFont="1" applyFill="1" applyBorder="1" applyAlignment="1">
      <alignment horizontal="center" vertical="top"/>
    </xf>
    <xf numFmtId="164" fontId="91" fillId="0" borderId="0" xfId="0" applyNumberFormat="1" applyFont="1" applyAlignment="1">
      <alignment horizontal="center"/>
    </xf>
    <xf numFmtId="1" fontId="92" fillId="0" borderId="0" xfId="0" applyNumberFormat="1" applyFont="1" applyAlignment="1">
      <alignment horizontal="center"/>
    </xf>
    <xf numFmtId="0" fontId="104" fillId="62" borderId="0" xfId="0" applyFont="1" applyFill="1"/>
    <xf numFmtId="1" fontId="92" fillId="0" borderId="0" xfId="0" applyNumberFormat="1" applyFont="1" applyAlignment="1">
      <alignment horizontal="left"/>
    </xf>
    <xf numFmtId="174" fontId="91" fillId="0" borderId="0" xfId="0" applyNumberFormat="1" applyFont="1" applyAlignment="1">
      <alignment horizontal="center"/>
    </xf>
    <xf numFmtId="172" fontId="91" fillId="0" borderId="1" xfId="0" applyNumberFormat="1" applyFont="1" applyBorder="1" applyAlignment="1">
      <alignment horizontal="center"/>
    </xf>
    <xf numFmtId="0" fontId="91" fillId="0" borderId="0" xfId="0" applyFont="1" applyProtection="1">
      <protection hidden="1"/>
    </xf>
    <xf numFmtId="1" fontId="92" fillId="0" borderId="0" xfId="0" applyNumberFormat="1" applyFont="1" applyAlignment="1" applyProtection="1">
      <alignment horizontal="center"/>
      <protection hidden="1"/>
    </xf>
    <xf numFmtId="172" fontId="91" fillId="0" borderId="0" xfId="0" applyNumberFormat="1" applyFont="1" applyAlignment="1" applyProtection="1">
      <alignment horizontal="center"/>
      <protection hidden="1"/>
    </xf>
    <xf numFmtId="0" fontId="109" fillId="65" borderId="0" xfId="0" applyFont="1" applyFill="1"/>
    <xf numFmtId="0" fontId="61" fillId="65" borderId="0" xfId="0" applyFont="1" applyFill="1"/>
    <xf numFmtId="0" fontId="61" fillId="6" borderId="0" xfId="0" applyFont="1" applyFill="1"/>
    <xf numFmtId="0" fontId="110" fillId="6" borderId="0" xfId="0" applyFont="1" applyFill="1"/>
    <xf numFmtId="0" fontId="95" fillId="0" borderId="0" xfId="0" applyFont="1"/>
    <xf numFmtId="0" fontId="92" fillId="0" borderId="0" xfId="8" applyFont="1" applyAlignment="1">
      <alignment horizontal="left"/>
    </xf>
    <xf numFmtId="0" fontId="91" fillId="0" borderId="0" xfId="0" applyFont="1" applyAlignment="1">
      <alignment horizontal="center" wrapText="1"/>
    </xf>
    <xf numFmtId="0" fontId="112" fillId="0" borderId="0" xfId="0" applyFont="1"/>
    <xf numFmtId="0" fontId="85" fillId="0" borderId="0" xfId="0" applyFont="1"/>
    <xf numFmtId="0" fontId="16" fillId="6" borderId="0" xfId="0" applyFont="1" applyFill="1"/>
    <xf numFmtId="0" fontId="106" fillId="3" borderId="0" xfId="0" applyFont="1" applyFill="1"/>
    <xf numFmtId="0" fontId="113" fillId="65" borderId="0" xfId="0" quotePrefix="1" applyFont="1" applyFill="1"/>
    <xf numFmtId="172" fontId="91" fillId="3" borderId="0" xfId="13330" applyNumberFormat="1" applyFont="1" applyFill="1" applyBorder="1" applyAlignment="1">
      <alignment horizontal="center" vertical="top"/>
    </xf>
    <xf numFmtId="0" fontId="91" fillId="0" borderId="57" xfId="0" applyFont="1" applyBorder="1"/>
    <xf numFmtId="172" fontId="92" fillId="3" borderId="57" xfId="0" applyNumberFormat="1" applyFont="1" applyFill="1" applyBorder="1" applyAlignment="1">
      <alignment horizontal="center"/>
    </xf>
    <xf numFmtId="9" fontId="91" fillId="0" borderId="0" xfId="9" applyFont="1" applyFill="1" applyBorder="1" applyAlignment="1">
      <alignment horizontal="center" vertical="top"/>
    </xf>
    <xf numFmtId="0" fontId="92" fillId="0" borderId="57" xfId="0" applyFont="1" applyBorder="1"/>
    <xf numFmtId="1" fontId="92" fillId="0" borderId="57" xfId="0" applyNumberFormat="1" applyFont="1" applyBorder="1" applyAlignment="1">
      <alignment horizontal="center"/>
    </xf>
    <xf numFmtId="0" fontId="114" fillId="0" borderId="0" xfId="0" applyFont="1" applyAlignment="1">
      <alignment horizontal="center"/>
    </xf>
    <xf numFmtId="174" fontId="91" fillId="0" borderId="0" xfId="0" applyNumberFormat="1" applyFont="1" applyAlignment="1">
      <alignment horizontal="right"/>
    </xf>
    <xf numFmtId="174" fontId="91" fillId="0" borderId="0" xfId="0" applyNumberFormat="1" applyFont="1" applyAlignment="1" applyProtection="1">
      <alignment horizontal="right"/>
      <protection hidden="1"/>
    </xf>
    <xf numFmtId="174" fontId="92" fillId="0" borderId="0" xfId="0" applyNumberFormat="1" applyFont="1" applyAlignment="1" applyProtection="1">
      <alignment horizontal="right"/>
      <protection hidden="1"/>
    </xf>
    <xf numFmtId="174" fontId="92" fillId="0" borderId="0" xfId="0" applyNumberFormat="1" applyFont="1" applyAlignment="1">
      <alignment horizontal="right"/>
    </xf>
    <xf numFmtId="174" fontId="105" fillId="0" borderId="0" xfId="0" applyNumberFormat="1" applyFont="1" applyAlignment="1">
      <alignment horizontal="right"/>
    </xf>
    <xf numFmtId="174" fontId="101" fillId="4" borderId="3" xfId="11" applyNumberFormat="1" applyFont="1" applyAlignment="1" applyProtection="1">
      <alignment horizontal="right"/>
      <protection locked="0"/>
    </xf>
    <xf numFmtId="174" fontId="91" fillId="3" borderId="0" xfId="0" applyNumberFormat="1" applyFont="1" applyFill="1" applyAlignment="1">
      <alignment horizontal="right"/>
    </xf>
    <xf numFmtId="174" fontId="91" fillId="0" borderId="1" xfId="0" applyNumberFormat="1" applyFont="1" applyBorder="1" applyAlignment="1">
      <alignment horizontal="right"/>
    </xf>
    <xf numFmtId="172" fontId="91" fillId="0" borderId="0" xfId="0" applyNumberFormat="1" applyFont="1" applyAlignment="1">
      <alignment horizontal="right"/>
    </xf>
    <xf numFmtId="172" fontId="91" fillId="0" borderId="1" xfId="0" applyNumberFormat="1" applyFont="1" applyBorder="1" applyAlignment="1">
      <alignment horizontal="right"/>
    </xf>
    <xf numFmtId="172" fontId="91" fillId="0" borderId="0" xfId="0" applyNumberFormat="1" applyFont="1" applyAlignment="1" applyProtection="1">
      <alignment horizontal="center" vertical="top"/>
      <protection locked="0"/>
    </xf>
    <xf numFmtId="186" fontId="91" fillId="0" borderId="0" xfId="7" applyNumberFormat="1" applyFont="1" applyFill="1" applyBorder="1" applyAlignment="1" applyProtection="1">
      <alignment horizontal="center" wrapText="1"/>
    </xf>
    <xf numFmtId="0" fontId="91" fillId="0" borderId="0" xfId="7" applyFont="1" applyFill="1" applyBorder="1" applyAlignment="1" applyProtection="1">
      <alignment horizontal="left" wrapText="1"/>
    </xf>
    <xf numFmtId="0" fontId="91" fillId="3" borderId="57" xfId="0" applyFont="1" applyFill="1" applyBorder="1"/>
    <xf numFmtId="172" fontId="91" fillId="0" borderId="0" xfId="0" quotePrefix="1" applyNumberFormat="1" applyFont="1"/>
    <xf numFmtId="0" fontId="96" fillId="4" borderId="3" xfId="11" applyFont="1" applyAlignment="1" applyProtection="1">
      <protection locked="0"/>
    </xf>
    <xf numFmtId="1" fontId="96" fillId="2" borderId="3" xfId="0" applyNumberFormat="1" applyFont="1" applyFill="1" applyBorder="1" applyAlignment="1" applyProtection="1">
      <alignment horizontal="center"/>
      <protection locked="0"/>
    </xf>
    <xf numFmtId="172" fontId="96" fillId="4" borderId="55" xfId="11" applyNumberFormat="1" applyFont="1" applyBorder="1" applyAlignment="1" applyProtection="1">
      <alignment horizontal="center"/>
      <protection locked="0"/>
    </xf>
    <xf numFmtId="172" fontId="96" fillId="4" borderId="55" xfId="11" applyNumberFormat="1" applyFont="1" applyBorder="1" applyAlignment="1" applyProtection="1">
      <alignment horizontal="center" vertical="top"/>
      <protection locked="0"/>
    </xf>
    <xf numFmtId="182" fontId="96" fillId="4" borderId="55" xfId="11" applyNumberFormat="1" applyFont="1" applyBorder="1" applyAlignment="1" applyProtection="1">
      <alignment horizontal="center" vertical="top"/>
      <protection locked="0"/>
    </xf>
    <xf numFmtId="0" fontId="96" fillId="4" borderId="55" xfId="11" applyFont="1" applyBorder="1" applyAlignment="1" applyProtection="1">
      <protection locked="0"/>
    </xf>
    <xf numFmtId="1" fontId="96" fillId="4" borderId="55" xfId="11" applyNumberFormat="1" applyFont="1" applyBorder="1" applyAlignment="1" applyProtection="1">
      <alignment horizontal="center"/>
      <protection locked="0"/>
    </xf>
    <xf numFmtId="0" fontId="91" fillId="0" borderId="1" xfId="0" applyFont="1" applyBorder="1" applyAlignment="1">
      <alignment horizontal="center" wrapText="1"/>
    </xf>
    <xf numFmtId="172" fontId="96" fillId="4" borderId="55" xfId="11" applyNumberFormat="1" applyFont="1" applyBorder="1" applyAlignment="1" applyProtection="1">
      <alignment horizontal="right"/>
      <protection locked="0"/>
    </xf>
    <xf numFmtId="172" fontId="96" fillId="4" borderId="3" xfId="11" applyNumberFormat="1" applyFont="1" applyAlignment="1" applyProtection="1">
      <alignment horizontal="right"/>
      <protection locked="0"/>
    </xf>
    <xf numFmtId="172" fontId="92" fillId="6" borderId="0" xfId="0" applyNumberFormat="1" applyFont="1" applyFill="1" applyAlignment="1">
      <alignment horizontal="center"/>
    </xf>
    <xf numFmtId="172" fontId="91" fillId="3" borderId="0" xfId="0" applyNumberFormat="1" applyFont="1" applyFill="1"/>
    <xf numFmtId="172" fontId="89" fillId="0" borderId="52" xfId="0" applyNumberFormat="1" applyFont="1" applyBorder="1" applyAlignment="1">
      <alignment horizontal="center"/>
    </xf>
    <xf numFmtId="172" fontId="89" fillId="0" borderId="65" xfId="0" applyNumberFormat="1" applyFont="1" applyBorder="1" applyAlignment="1">
      <alignment horizontal="center"/>
    </xf>
    <xf numFmtId="0" fontId="92" fillId="0" borderId="57" xfId="0" applyFont="1" applyBorder="1" applyAlignment="1">
      <alignment horizontal="center"/>
    </xf>
    <xf numFmtId="0" fontId="105" fillId="3" borderId="0" xfId="0" applyFont="1" applyFill="1"/>
    <xf numFmtId="172" fontId="89" fillId="0" borderId="52" xfId="0" applyNumberFormat="1" applyFont="1" applyBorder="1" applyAlignment="1">
      <alignment horizontal="left"/>
    </xf>
    <xf numFmtId="172" fontId="89" fillId="0" borderId="65" xfId="0" applyNumberFormat="1" applyFont="1" applyBorder="1" applyAlignment="1">
      <alignment horizontal="left"/>
    </xf>
    <xf numFmtId="0" fontId="91" fillId="0" borderId="57" xfId="0" applyFont="1" applyBorder="1" applyProtection="1">
      <protection hidden="1"/>
    </xf>
    <xf numFmtId="172" fontId="91" fillId="0" borderId="0" xfId="0" applyNumberFormat="1" applyFont="1" applyAlignment="1">
      <alignment horizontal="left"/>
    </xf>
    <xf numFmtId="0" fontId="91" fillId="62" borderId="0" xfId="0" applyFont="1" applyFill="1"/>
    <xf numFmtId="172" fontId="91" fillId="62" borderId="0" xfId="0" applyNumberFormat="1" applyFont="1" applyFill="1" applyAlignment="1">
      <alignment horizontal="center" vertical="top"/>
    </xf>
    <xf numFmtId="0" fontId="92" fillId="62" borderId="0" xfId="0" applyFont="1" applyFill="1"/>
    <xf numFmtId="0" fontId="92" fillId="62" borderId="0" xfId="0" applyFont="1" applyFill="1" applyAlignment="1">
      <alignment horizontal="center"/>
    </xf>
    <xf numFmtId="0" fontId="91" fillId="62" borderId="0" xfId="0" applyFont="1" applyFill="1" applyAlignment="1">
      <alignment horizontal="center" wrapText="1"/>
    </xf>
    <xf numFmtId="0" fontId="92" fillId="3" borderId="57" xfId="0" applyFont="1" applyFill="1" applyBorder="1"/>
    <xf numFmtId="0" fontId="92" fillId="0" borderId="1" xfId="0" applyFont="1" applyBorder="1"/>
    <xf numFmtId="165" fontId="91" fillId="0" borderId="0" xfId="11" applyNumberFormat="1" applyFont="1" applyFill="1" applyBorder="1" applyAlignment="1" applyProtection="1">
      <alignment horizontal="center" vertical="top"/>
    </xf>
    <xf numFmtId="0" fontId="104" fillId="0" borderId="1" xfId="0" applyFont="1" applyBorder="1"/>
    <xf numFmtId="172" fontId="91" fillId="0" borderId="1" xfId="0" applyNumberFormat="1" applyFont="1" applyBorder="1" applyAlignment="1">
      <alignment horizontal="center" vertical="top"/>
    </xf>
    <xf numFmtId="0" fontId="104" fillId="0" borderId="57" xfId="0" applyFont="1" applyBorder="1"/>
    <xf numFmtId="174" fontId="92" fillId="0" borderId="57" xfId="0" applyNumberFormat="1" applyFont="1" applyBorder="1" applyAlignment="1">
      <alignment horizontal="right"/>
    </xf>
    <xf numFmtId="0" fontId="92" fillId="0" borderId="57" xfId="0" applyFont="1" applyBorder="1" applyProtection="1">
      <protection hidden="1"/>
    </xf>
    <xf numFmtId="174" fontId="92" fillId="0" borderId="57" xfId="0" applyNumberFormat="1" applyFont="1" applyBorder="1" applyAlignment="1" applyProtection="1">
      <alignment horizontal="right"/>
      <protection hidden="1"/>
    </xf>
    <xf numFmtId="172" fontId="91" fillId="0" borderId="0" xfId="0" applyNumberFormat="1" applyFont="1" applyAlignment="1" applyProtection="1">
      <alignment horizontal="left"/>
      <protection hidden="1"/>
    </xf>
    <xf numFmtId="177" fontId="91" fillId="0" borderId="0" xfId="0" applyNumberFormat="1" applyFont="1" applyAlignment="1">
      <alignment horizontal="center"/>
    </xf>
    <xf numFmtId="188" fontId="92" fillId="0" borderId="0" xfId="0" applyNumberFormat="1" applyFont="1" applyAlignment="1">
      <alignment horizontal="center"/>
    </xf>
    <xf numFmtId="172" fontId="92" fillId="3" borderId="0" xfId="0" applyNumberFormat="1" applyFont="1" applyFill="1" applyAlignment="1">
      <alignment horizontal="center"/>
    </xf>
    <xf numFmtId="9" fontId="91" fillId="3" borderId="0" xfId="13330" applyFont="1" applyFill="1" applyBorder="1" applyAlignment="1">
      <alignment horizontal="center" vertical="top"/>
    </xf>
    <xf numFmtId="0" fontId="106" fillId="0" borderId="0" xfId="0" applyFont="1"/>
    <xf numFmtId="0" fontId="96" fillId="4" borderId="66" xfId="11" applyFont="1" applyBorder="1" applyAlignment="1" applyProtection="1">
      <protection locked="0"/>
    </xf>
    <xf numFmtId="1" fontId="96" fillId="4" borderId="66" xfId="11" applyNumberFormat="1" applyFont="1" applyBorder="1" applyAlignment="1" applyProtection="1">
      <alignment horizontal="center"/>
      <protection locked="0"/>
    </xf>
    <xf numFmtId="182" fontId="96" fillId="2" borderId="66" xfId="0" applyNumberFormat="1" applyFont="1" applyFill="1" applyBorder="1" applyAlignment="1" applyProtection="1">
      <alignment horizontal="center"/>
      <protection locked="0"/>
    </xf>
    <xf numFmtId="182" fontId="96" fillId="4" borderId="66" xfId="11" applyNumberFormat="1" applyFont="1" applyBorder="1" applyAlignment="1" applyProtection="1">
      <alignment horizontal="center"/>
      <protection locked="0"/>
    </xf>
    <xf numFmtId="0" fontId="96" fillId="4" borderId="54" xfId="11" applyFont="1" applyBorder="1" applyAlignment="1" applyProtection="1">
      <protection locked="0"/>
    </xf>
    <xf numFmtId="1" fontId="96" fillId="2" borderId="54" xfId="0" applyNumberFormat="1" applyFont="1" applyFill="1" applyBorder="1" applyAlignment="1" applyProtection="1">
      <alignment horizontal="center"/>
      <protection locked="0"/>
    </xf>
    <xf numFmtId="182" fontId="96" fillId="4" borderId="54" xfId="11" applyNumberFormat="1" applyFont="1" applyBorder="1" applyAlignment="1" applyProtection="1">
      <alignment horizontal="center"/>
      <protection locked="0"/>
    </xf>
    <xf numFmtId="1" fontId="96" fillId="4" borderId="55" xfId="11" applyNumberFormat="1" applyFont="1" applyBorder="1" applyAlignment="1" applyProtection="1">
      <alignment horizontal="left"/>
      <protection locked="0"/>
    </xf>
    <xf numFmtId="174" fontId="96" fillId="4" borderId="55" xfId="11" applyNumberFormat="1" applyFont="1" applyBorder="1" applyAlignment="1" applyProtection="1">
      <alignment horizontal="center"/>
      <protection locked="0"/>
    </xf>
    <xf numFmtId="172" fontId="104" fillId="0" borderId="0" xfId="0" applyNumberFormat="1" applyFont="1" applyAlignment="1">
      <alignment horizontal="center"/>
    </xf>
    <xf numFmtId="3" fontId="96" fillId="2" borderId="19" xfId="11" applyNumberFormat="1" applyFont="1" applyFill="1" applyBorder="1" applyAlignment="1" applyProtection="1">
      <alignment horizontal="center"/>
      <protection locked="0"/>
    </xf>
    <xf numFmtId="172" fontId="89" fillId="0" borderId="0" xfId="0" applyNumberFormat="1" applyFont="1" applyAlignment="1">
      <alignment horizontal="center"/>
    </xf>
    <xf numFmtId="0" fontId="91" fillId="0" borderId="69" xfId="0" applyFont="1" applyBorder="1" applyAlignment="1">
      <alignment horizontal="left" indent="1"/>
    </xf>
    <xf numFmtId="0" fontId="104" fillId="0" borderId="0" xfId="0" applyFont="1" applyAlignment="1">
      <alignment horizontal="left" indent="1"/>
    </xf>
    <xf numFmtId="0" fontId="119" fillId="0" borderId="0" xfId="33111" applyAlignment="1">
      <alignment horizontal="left" vertical="top"/>
    </xf>
    <xf numFmtId="0" fontId="87" fillId="0" borderId="0" xfId="33111" applyFont="1" applyAlignment="1">
      <alignment horizontal="left" vertical="top"/>
    </xf>
    <xf numFmtId="0" fontId="86" fillId="0" borderId="0" xfId="33111" applyFont="1" applyAlignment="1">
      <alignment horizontal="left" vertical="top"/>
    </xf>
    <xf numFmtId="0" fontId="88" fillId="65" borderId="0" xfId="33111" applyFont="1" applyFill="1" applyAlignment="1">
      <alignment horizontal="left" vertical="top"/>
    </xf>
    <xf numFmtId="0" fontId="64" fillId="6" borderId="0" xfId="33111" applyFont="1" applyFill="1" applyAlignment="1">
      <alignment horizontal="left" vertical="top"/>
    </xf>
    <xf numFmtId="0" fontId="91" fillId="0" borderId="57" xfId="33111" applyFont="1" applyBorder="1" applyAlignment="1">
      <alignment horizontal="left" vertical="top" wrapText="1"/>
    </xf>
    <xf numFmtId="0" fontId="91" fillId="0" borderId="1" xfId="33111" applyFont="1" applyBorder="1" applyAlignment="1">
      <alignment horizontal="left" vertical="top" wrapText="1"/>
    </xf>
    <xf numFmtId="0" fontId="121" fillId="0" borderId="0" xfId="33111" applyFont="1" applyAlignment="1">
      <alignment vertical="top" wrapText="1"/>
    </xf>
    <xf numFmtId="172" fontId="91" fillId="0" borderId="57" xfId="33111" applyNumberFormat="1" applyFont="1" applyBorder="1" applyAlignment="1">
      <alignment vertical="top" wrapText="1"/>
    </xf>
    <xf numFmtId="0" fontId="91" fillId="68" borderId="76" xfId="33111" applyFont="1" applyFill="1" applyBorder="1" applyAlignment="1">
      <alignment vertical="center" wrapText="1"/>
    </xf>
    <xf numFmtId="172" fontId="91" fillId="68" borderId="76" xfId="33111" applyNumberFormat="1" applyFont="1" applyFill="1" applyBorder="1" applyAlignment="1">
      <alignment vertical="center" wrapText="1"/>
    </xf>
    <xf numFmtId="172" fontId="91" fillId="68" borderId="78" xfId="33111" applyNumberFormat="1" applyFont="1" applyFill="1" applyBorder="1" applyAlignment="1">
      <alignment vertical="center" wrapText="1"/>
    </xf>
    <xf numFmtId="0" fontId="91" fillId="0" borderId="83" xfId="33111" applyFont="1" applyBorder="1" applyAlignment="1">
      <alignment horizontal="left" vertical="top" wrapText="1"/>
    </xf>
    <xf numFmtId="0" fontId="91" fillId="0" borderId="84" xfId="33111" applyFont="1" applyBorder="1" applyAlignment="1">
      <alignment vertical="top" wrapText="1"/>
    </xf>
    <xf numFmtId="0" fontId="91" fillId="0" borderId="79" xfId="33111" applyFont="1" applyBorder="1" applyAlignment="1">
      <alignment horizontal="left" vertical="top" wrapText="1"/>
    </xf>
    <xf numFmtId="0" fontId="91" fillId="0" borderId="80" xfId="33111" applyFont="1" applyBorder="1" applyAlignment="1">
      <alignment vertical="top" wrapText="1"/>
    </xf>
    <xf numFmtId="0" fontId="64" fillId="62" borderId="77" xfId="33111" applyFont="1" applyFill="1" applyBorder="1" applyAlignment="1">
      <alignment horizontal="left" vertical="top" wrapText="1"/>
    </xf>
    <xf numFmtId="0" fontId="91" fillId="68" borderId="87" xfId="33111" applyFont="1" applyFill="1" applyBorder="1" applyAlignment="1">
      <alignment vertical="center" wrapText="1"/>
    </xf>
    <xf numFmtId="0" fontId="64" fillId="62" borderId="88" xfId="33111" applyFont="1" applyFill="1" applyBorder="1" applyAlignment="1">
      <alignment horizontal="center" vertical="top" wrapText="1"/>
    </xf>
    <xf numFmtId="0" fontId="64" fillId="62" borderId="89" xfId="33111" applyFont="1" applyFill="1" applyBorder="1" applyAlignment="1">
      <alignment horizontal="center" vertical="top" wrapText="1"/>
    </xf>
    <xf numFmtId="181" fontId="91" fillId="68" borderId="76" xfId="33111" applyNumberFormat="1" applyFont="1" applyFill="1" applyBorder="1" applyAlignment="1">
      <alignment vertical="center" wrapText="1"/>
    </xf>
    <xf numFmtId="0" fontId="120" fillId="0" borderId="0" xfId="33111" applyFont="1" applyAlignment="1">
      <alignment horizontal="left" vertical="top" wrapText="1"/>
    </xf>
    <xf numFmtId="0" fontId="123" fillId="0" borderId="0" xfId="33111" applyFont="1" applyAlignment="1">
      <alignment horizontal="left" vertical="top"/>
    </xf>
    <xf numFmtId="0" fontId="94" fillId="0" borderId="0" xfId="8" applyFont="1" applyAlignment="1">
      <alignment horizontal="center"/>
    </xf>
    <xf numFmtId="175" fontId="91" fillId="0" borderId="0" xfId="0" applyNumberFormat="1" applyFont="1"/>
    <xf numFmtId="0" fontId="91" fillId="62" borderId="57" xfId="0" applyFont="1" applyFill="1" applyBorder="1" applyAlignment="1">
      <alignment horizontal="center" wrapText="1"/>
    </xf>
    <xf numFmtId="0" fontId="91" fillId="62" borderId="57" xfId="0" applyFont="1" applyFill="1" applyBorder="1"/>
    <xf numFmtId="0" fontId="92" fillId="0" borderId="77" xfId="33111" applyFont="1" applyBorder="1" applyAlignment="1">
      <alignment horizontal="left" vertical="center" wrapText="1"/>
    </xf>
    <xf numFmtId="0" fontId="91" fillId="0" borderId="77" xfId="33111" applyFont="1" applyBorder="1" applyAlignment="1">
      <alignment horizontal="left" vertical="center" wrapText="1"/>
    </xf>
    <xf numFmtId="0" fontId="91" fillId="0" borderId="91" xfId="33111" applyFont="1" applyBorder="1" applyAlignment="1">
      <alignment horizontal="left" vertical="center" wrapText="1"/>
    </xf>
    <xf numFmtId="0" fontId="91" fillId="68" borderId="92" xfId="33111" applyFont="1" applyFill="1" applyBorder="1" applyAlignment="1">
      <alignment vertical="center" wrapText="1"/>
    </xf>
    <xf numFmtId="0" fontId="91" fillId="68" borderId="94" xfId="33111" applyFont="1" applyFill="1" applyBorder="1" applyAlignment="1">
      <alignment vertical="center" wrapText="1"/>
    </xf>
    <xf numFmtId="0" fontId="91" fillId="68" borderId="96" xfId="33111" applyFont="1" applyFill="1" applyBorder="1" applyAlignment="1">
      <alignment vertical="center" wrapText="1"/>
    </xf>
    <xf numFmtId="0" fontId="91" fillId="0" borderId="59" xfId="33111" applyFont="1" applyBorder="1" applyAlignment="1">
      <alignment vertical="top" wrapText="1"/>
    </xf>
    <xf numFmtId="0" fontId="119" fillId="0" borderId="1" xfId="33111" applyBorder="1" applyAlignment="1">
      <alignment horizontal="left" vertical="top"/>
    </xf>
    <xf numFmtId="0" fontId="91" fillId="0" borderId="15" xfId="33111" quotePrefix="1" applyFont="1" applyBorder="1" applyAlignment="1">
      <alignment vertical="top" wrapText="1"/>
    </xf>
    <xf numFmtId="172" fontId="91" fillId="0" borderId="1" xfId="33111" quotePrefix="1" applyNumberFormat="1" applyFont="1" applyBorder="1" applyAlignment="1">
      <alignment vertical="top" wrapText="1"/>
    </xf>
    <xf numFmtId="174" fontId="96" fillId="4" borderId="3" xfId="11" applyNumberFormat="1" applyFont="1" applyAlignment="1" applyProtection="1">
      <alignment horizontal="right"/>
      <protection locked="0"/>
    </xf>
    <xf numFmtId="0" fontId="92" fillId="62" borderId="1" xfId="0" applyFont="1" applyFill="1" applyBorder="1"/>
    <xf numFmtId="0" fontId="91" fillId="62" borderId="1" xfId="0" applyFont="1" applyFill="1" applyBorder="1"/>
    <xf numFmtId="3" fontId="92" fillId="62" borderId="1" xfId="11" applyNumberFormat="1" applyFont="1" applyFill="1" applyBorder="1" applyAlignment="1" applyProtection="1">
      <alignment horizontal="center"/>
    </xf>
    <xf numFmtId="174" fontId="104" fillId="64" borderId="57" xfId="0" applyNumberFormat="1" applyFont="1" applyFill="1" applyBorder="1"/>
    <xf numFmtId="0" fontId="0" fillId="68" borderId="0" xfId="0" applyFill="1"/>
    <xf numFmtId="172" fontId="96" fillId="0" borderId="0" xfId="0" applyNumberFormat="1" applyFont="1" applyAlignment="1">
      <alignment horizontal="right"/>
    </xf>
    <xf numFmtId="172" fontId="96" fillId="0" borderId="0" xfId="0" applyNumberFormat="1" applyFont="1"/>
    <xf numFmtId="10" fontId="125" fillId="0" borderId="0" xfId="8" applyNumberFormat="1" applyFont="1" applyAlignment="1">
      <alignment horizontal="center"/>
    </xf>
    <xf numFmtId="0" fontId="124" fillId="0" borderId="0" xfId="0" applyFont="1"/>
    <xf numFmtId="0" fontId="92" fillId="0" borderId="0" xfId="0" applyFont="1" applyAlignment="1">
      <alignment horizontal="center" vertical="top"/>
    </xf>
    <xf numFmtId="0" fontId="107" fillId="0" borderId="57" xfId="0" applyFont="1" applyBorder="1" applyAlignment="1">
      <alignment horizontal="center" vertical="top"/>
    </xf>
    <xf numFmtId="0" fontId="104" fillId="0" borderId="1" xfId="0" applyFont="1" applyBorder="1" applyAlignment="1">
      <alignment horizontal="center" vertical="top"/>
    </xf>
    <xf numFmtId="174" fontId="91" fillId="0" borderId="0" xfId="0" applyNumberFormat="1" applyFont="1" applyAlignment="1">
      <alignment horizontal="center" vertical="top"/>
    </xf>
    <xf numFmtId="0" fontId="96" fillId="0" borderId="0" xfId="0" applyFont="1"/>
    <xf numFmtId="175" fontId="96" fillId="0" borderId="0" xfId="0" applyNumberFormat="1" applyFont="1"/>
    <xf numFmtId="0" fontId="91" fillId="0" borderId="0" xfId="0" applyFont="1" applyAlignment="1">
      <alignment horizontal="center" vertical="top"/>
    </xf>
    <xf numFmtId="9" fontId="91" fillId="3" borderId="0" xfId="9" applyFont="1" applyFill="1" applyBorder="1" applyAlignment="1" applyProtection="1">
      <alignment horizontal="center" vertical="top"/>
    </xf>
    <xf numFmtId="0" fontId="96" fillId="2" borderId="51" xfId="0" applyFont="1" applyFill="1" applyBorder="1" applyProtection="1">
      <protection locked="0"/>
    </xf>
    <xf numFmtId="0" fontId="96" fillId="2" borderId="55" xfId="0" applyFont="1" applyFill="1" applyBorder="1" applyAlignment="1" applyProtection="1">
      <alignment horizontal="center"/>
      <protection locked="0"/>
    </xf>
    <xf numFmtId="0" fontId="96" fillId="2" borderId="55" xfId="0" applyFont="1" applyFill="1" applyBorder="1" applyAlignment="1" applyProtection="1">
      <alignment horizontal="center" vertical="center"/>
      <protection locked="0"/>
    </xf>
    <xf numFmtId="172" fontId="96" fillId="2" borderId="70" xfId="0" applyNumberFormat="1" applyFont="1" applyFill="1" applyBorder="1" applyAlignment="1" applyProtection="1">
      <alignment horizontal="center" vertical="center"/>
      <protection locked="0"/>
    </xf>
    <xf numFmtId="172" fontId="96" fillId="2" borderId="47" xfId="0" applyNumberFormat="1" applyFont="1" applyFill="1" applyBorder="1" applyProtection="1">
      <protection locked="0"/>
    </xf>
    <xf numFmtId="0" fontId="96" fillId="2" borderId="47" xfId="0" applyFont="1" applyFill="1" applyBorder="1" applyAlignment="1" applyProtection="1">
      <alignment vertical="center"/>
      <protection locked="0"/>
    </xf>
    <xf numFmtId="172" fontId="96" fillId="2" borderId="50" xfId="0" applyNumberFormat="1" applyFont="1" applyFill="1" applyBorder="1" applyProtection="1">
      <protection locked="0"/>
    </xf>
    <xf numFmtId="0" fontId="91" fillId="0" borderId="65" xfId="0" applyFont="1" applyBorder="1" applyAlignment="1">
      <alignment horizontal="center" vertical="top"/>
    </xf>
    <xf numFmtId="0" fontId="115" fillId="0" borderId="0" xfId="0" applyFont="1" applyAlignment="1">
      <alignment horizontal="center" vertical="top"/>
    </xf>
    <xf numFmtId="174" fontId="96" fillId="2" borderId="57" xfId="33110" applyNumberFormat="1" applyFont="1" applyFill="1" applyBorder="1" applyProtection="1">
      <protection locked="0"/>
    </xf>
    <xf numFmtId="172" fontId="96" fillId="2" borderId="47" xfId="33110" applyNumberFormat="1" applyFont="1" applyFill="1" applyBorder="1" applyProtection="1">
      <protection locked="0"/>
    </xf>
    <xf numFmtId="172" fontId="91" fillId="2" borderId="1" xfId="33110" applyNumberFormat="1" applyFont="1" applyFill="1" applyBorder="1" applyProtection="1">
      <protection locked="0"/>
    </xf>
    <xf numFmtId="0" fontId="96" fillId="2" borderId="94" xfId="33111" applyFont="1" applyFill="1" applyBorder="1" applyAlignment="1" applyProtection="1">
      <alignment horizontal="right" vertical="center" wrapText="1"/>
      <protection locked="0"/>
    </xf>
    <xf numFmtId="193" fontId="96" fillId="2" borderId="94" xfId="33111" applyNumberFormat="1" applyFont="1" applyFill="1" applyBorder="1" applyAlignment="1" applyProtection="1">
      <alignment horizontal="right" vertical="center" wrapText="1"/>
      <protection locked="0"/>
    </xf>
    <xf numFmtId="181" fontId="91" fillId="2" borderId="95" xfId="33111" applyNumberFormat="1" applyFont="1" applyFill="1" applyBorder="1" applyAlignment="1" applyProtection="1">
      <alignment vertical="center" wrapText="1"/>
      <protection locked="0"/>
    </xf>
    <xf numFmtId="172" fontId="90" fillId="2" borderId="95" xfId="33111" applyNumberFormat="1" applyFont="1" applyFill="1" applyBorder="1" applyAlignment="1" applyProtection="1">
      <alignment vertical="center" wrapText="1"/>
      <protection locked="0"/>
    </xf>
    <xf numFmtId="172" fontId="96" fillId="2" borderId="94" xfId="33111" applyNumberFormat="1" applyFont="1" applyFill="1" applyBorder="1" applyAlignment="1" applyProtection="1">
      <alignment horizontal="right" vertical="center" wrapText="1"/>
      <protection locked="0"/>
    </xf>
    <xf numFmtId="0" fontId="96" fillId="2" borderId="94" xfId="33111" applyFont="1" applyFill="1" applyBorder="1" applyAlignment="1" applyProtection="1">
      <alignment vertical="center" wrapText="1"/>
      <protection locked="0"/>
    </xf>
    <xf numFmtId="191" fontId="96" fillId="2" borderId="94" xfId="33111" applyNumberFormat="1" applyFont="1" applyFill="1" applyBorder="1" applyAlignment="1" applyProtection="1">
      <alignment vertical="center" wrapText="1"/>
      <protection locked="0"/>
    </xf>
    <xf numFmtId="0" fontId="96" fillId="2" borderId="100" xfId="33111" applyFont="1" applyFill="1" applyBorder="1" applyAlignment="1" applyProtection="1">
      <alignment vertical="center" wrapText="1"/>
      <protection locked="0"/>
    </xf>
    <xf numFmtId="172" fontId="90" fillId="2" borderId="97" xfId="33111" applyNumberFormat="1" applyFont="1" applyFill="1" applyBorder="1" applyAlignment="1" applyProtection="1">
      <alignment vertical="center" wrapText="1"/>
      <protection locked="0"/>
    </xf>
    <xf numFmtId="0" fontId="96" fillId="2" borderId="74" xfId="33111" applyFont="1" applyFill="1" applyBorder="1" applyAlignment="1" applyProtection="1">
      <alignment horizontal="right" vertical="center" wrapText="1"/>
      <protection locked="0"/>
    </xf>
    <xf numFmtId="193" fontId="96" fillId="2" borderId="74" xfId="33111" applyNumberFormat="1" applyFont="1" applyFill="1" applyBorder="1" applyAlignment="1" applyProtection="1">
      <alignment horizontal="right" vertical="center" wrapText="1"/>
      <protection locked="0"/>
    </xf>
    <xf numFmtId="0" fontId="96" fillId="2" borderId="100" xfId="33111" applyFont="1" applyFill="1" applyBorder="1" applyAlignment="1" applyProtection="1">
      <alignment horizontal="right" vertical="center" wrapText="1"/>
      <protection locked="0"/>
    </xf>
    <xf numFmtId="173" fontId="96" fillId="2" borderId="94" xfId="33111" applyNumberFormat="1" applyFont="1" applyFill="1" applyBorder="1" applyAlignment="1" applyProtection="1">
      <alignment horizontal="right" vertical="center" wrapText="1"/>
      <protection locked="0"/>
    </xf>
    <xf numFmtId="173" fontId="96" fillId="2" borderId="100" xfId="33111" applyNumberFormat="1" applyFont="1" applyFill="1" applyBorder="1" applyAlignment="1" applyProtection="1">
      <alignment horizontal="right" vertical="center" wrapText="1"/>
      <protection locked="0"/>
    </xf>
    <xf numFmtId="172" fontId="96" fillId="2" borderId="74" xfId="33111" applyNumberFormat="1" applyFont="1" applyFill="1" applyBorder="1" applyAlignment="1" applyProtection="1">
      <alignment horizontal="right" vertical="center" wrapText="1"/>
      <protection locked="0"/>
    </xf>
    <xf numFmtId="175" fontId="96" fillId="2" borderId="14" xfId="33111" quotePrefix="1" applyNumberFormat="1" applyFont="1" applyFill="1" applyBorder="1" applyAlignment="1" applyProtection="1">
      <alignment vertical="top" wrapText="1"/>
      <protection locked="0"/>
    </xf>
    <xf numFmtId="172" fontId="96" fillId="2" borderId="55" xfId="0" applyNumberFormat="1" applyFont="1" applyFill="1" applyBorder="1" applyAlignment="1" applyProtection="1">
      <alignment horizontal="right" wrapText="1"/>
      <protection locked="0"/>
    </xf>
    <xf numFmtId="172" fontId="96" fillId="2" borderId="0" xfId="0" applyNumberFormat="1" applyFont="1" applyFill="1" applyAlignment="1" applyProtection="1">
      <alignment horizontal="right" wrapText="1"/>
      <protection locked="0"/>
    </xf>
    <xf numFmtId="172" fontId="96" fillId="2" borderId="0" xfId="0" applyNumberFormat="1" applyFont="1" applyFill="1" applyAlignment="1" applyProtection="1">
      <alignment horizontal="right"/>
      <protection locked="0"/>
    </xf>
    <xf numFmtId="0" fontId="107" fillId="0" borderId="0" xfId="0" applyFont="1" applyAlignment="1">
      <alignment horizontal="center" vertical="top"/>
    </xf>
    <xf numFmtId="172" fontId="90" fillId="0" borderId="61" xfId="0" applyNumberFormat="1" applyFont="1" applyBorder="1" applyAlignment="1">
      <alignment horizontal="center" vertical="top"/>
    </xf>
    <xf numFmtId="172" fontId="90" fillId="0" borderId="62" xfId="0" applyNumberFormat="1" applyFont="1" applyBorder="1" applyAlignment="1">
      <alignment horizontal="center" vertical="top"/>
    </xf>
    <xf numFmtId="0" fontId="91" fillId="3" borderId="0" xfId="0" applyFont="1" applyFill="1" applyAlignment="1">
      <alignment horizontal="left"/>
    </xf>
    <xf numFmtId="172" fontId="91" fillId="0" borderId="0" xfId="11" applyNumberFormat="1" applyFont="1" applyFill="1" applyBorder="1" applyAlignment="1" applyProtection="1">
      <alignment horizontal="center"/>
    </xf>
    <xf numFmtId="172" fontId="91" fillId="0" borderId="0" xfId="11" applyNumberFormat="1" applyFont="1" applyFill="1" applyBorder="1" applyAlignment="1" applyProtection="1">
      <alignment horizontal="center" vertical="top"/>
    </xf>
    <xf numFmtId="182" fontId="91" fillId="0" borderId="0" xfId="11" applyNumberFormat="1" applyFont="1" applyFill="1" applyBorder="1" applyAlignment="1" applyProtection="1">
      <alignment horizontal="center" vertical="top"/>
    </xf>
    <xf numFmtId="172" fontId="90" fillId="0" borderId="60" xfId="0" applyNumberFormat="1" applyFont="1" applyBorder="1" applyAlignment="1">
      <alignment horizontal="center" vertical="top"/>
    </xf>
    <xf numFmtId="172" fontId="90" fillId="2" borderId="45" xfId="0" applyNumberFormat="1" applyFont="1" applyFill="1" applyBorder="1" applyAlignment="1">
      <alignment horizontal="center" vertical="top"/>
    </xf>
    <xf numFmtId="0" fontId="104" fillId="0" borderId="0" xfId="0" applyFont="1" applyAlignment="1">
      <alignment horizontal="center" vertical="top"/>
    </xf>
    <xf numFmtId="188" fontId="104" fillId="0" borderId="0" xfId="0" applyNumberFormat="1" applyFont="1" applyAlignment="1">
      <alignment horizontal="center" vertical="top"/>
    </xf>
    <xf numFmtId="0" fontId="90" fillId="0" borderId="0" xfId="0" applyFont="1" applyAlignment="1">
      <alignment horizontal="center" vertical="top"/>
    </xf>
    <xf numFmtId="172" fontId="90" fillId="0" borderId="45" xfId="0" applyNumberFormat="1" applyFont="1" applyBorder="1" applyAlignment="1">
      <alignment horizontal="center" vertical="top"/>
    </xf>
    <xf numFmtId="172" fontId="90" fillId="0" borderId="41" xfId="0" applyNumberFormat="1" applyFont="1" applyBorder="1" applyAlignment="1">
      <alignment horizontal="center" vertical="top"/>
    </xf>
    <xf numFmtId="172" fontId="90" fillId="0" borderId="46" xfId="0" applyNumberFormat="1" applyFont="1" applyBorder="1" applyAlignment="1">
      <alignment horizontal="center" vertical="top"/>
    </xf>
    <xf numFmtId="0" fontId="96" fillId="2" borderId="47" xfId="0" applyFont="1" applyFill="1" applyBorder="1" applyAlignment="1" applyProtection="1">
      <alignment horizontal="center"/>
      <protection locked="0"/>
    </xf>
    <xf numFmtId="49" fontId="96" fillId="2" borderId="47" xfId="0" applyNumberFormat="1" applyFont="1" applyFill="1" applyBorder="1" applyAlignment="1" applyProtection="1">
      <alignment horizontal="center"/>
      <protection locked="0"/>
    </xf>
    <xf numFmtId="0" fontId="101" fillId="2" borderId="55" xfId="0" applyFont="1" applyFill="1" applyBorder="1" applyAlignment="1" applyProtection="1">
      <alignment horizontal="center"/>
      <protection locked="0"/>
    </xf>
    <xf numFmtId="186" fontId="96" fillId="2" borderId="51" xfId="7" applyNumberFormat="1" applyFont="1" applyFill="1" applyBorder="1" applyAlignment="1" applyProtection="1">
      <alignment horizontal="center" wrapText="1"/>
      <protection locked="0"/>
    </xf>
    <xf numFmtId="0" fontId="96" fillId="2" borderId="0" xfId="0" applyFont="1" applyFill="1" applyAlignment="1">
      <alignment wrapText="1"/>
    </xf>
    <xf numFmtId="0" fontId="0" fillId="68" borderId="0" xfId="0" applyFill="1" applyAlignment="1">
      <alignment wrapText="1"/>
    </xf>
    <xf numFmtId="0" fontId="126" fillId="68" borderId="0" xfId="0" applyFont="1" applyFill="1"/>
    <xf numFmtId="0" fontId="88" fillId="65" borderId="0" xfId="6628" applyFont="1" applyFill="1"/>
    <xf numFmtId="0" fontId="91" fillId="3" borderId="65" xfId="0" applyFont="1" applyFill="1" applyBorder="1"/>
    <xf numFmtId="0" fontId="91" fillId="0" borderId="0" xfId="0" applyFont="1" applyProtection="1">
      <protection locked="0"/>
    </xf>
    <xf numFmtId="0" fontId="64" fillId="69" borderId="0" xfId="6628" applyFont="1" applyFill="1"/>
    <xf numFmtId="172" fontId="91" fillId="0" borderId="57" xfId="0" applyNumberFormat="1" applyFont="1" applyBorder="1" applyAlignment="1">
      <alignment horizontal="center"/>
    </xf>
    <xf numFmtId="165" fontId="91" fillId="0" borderId="1" xfId="0" applyNumberFormat="1" applyFont="1" applyBorder="1" applyAlignment="1">
      <alignment horizontal="center" vertical="top"/>
    </xf>
    <xf numFmtId="10" fontId="91" fillId="3" borderId="0" xfId="9" applyNumberFormat="1" applyFont="1" applyFill="1" applyBorder="1" applyAlignment="1" applyProtection="1">
      <alignment horizontal="center"/>
    </xf>
    <xf numFmtId="10" fontId="91" fillId="3" borderId="0" xfId="9" applyNumberFormat="1" applyFont="1" applyFill="1" applyBorder="1" applyAlignment="1" applyProtection="1">
      <alignment horizontal="center" vertical="top"/>
    </xf>
    <xf numFmtId="0" fontId="91" fillId="0" borderId="1" xfId="0" applyFont="1" applyBorder="1" applyAlignment="1">
      <alignment horizontal="center"/>
    </xf>
    <xf numFmtId="184" fontId="91" fillId="0" borderId="0" xfId="0" applyNumberFormat="1" applyFont="1" applyAlignment="1">
      <alignment horizontal="center"/>
    </xf>
    <xf numFmtId="164" fontId="104" fillId="62" borderId="0" xfId="0" applyNumberFormat="1" applyFont="1" applyFill="1" applyAlignment="1">
      <alignment horizontal="center"/>
    </xf>
    <xf numFmtId="172" fontId="104" fillId="62" borderId="0" xfId="0" applyNumberFormat="1" applyFont="1" applyFill="1" applyAlignment="1">
      <alignment horizontal="center"/>
    </xf>
    <xf numFmtId="172" fontId="92" fillId="0" borderId="0" xfId="0" applyNumberFormat="1" applyFont="1" applyAlignment="1">
      <alignment horizontal="center" wrapText="1"/>
    </xf>
    <xf numFmtId="194" fontId="91" fillId="3" borderId="0" xfId="0" quotePrefix="1" applyNumberFormat="1" applyFont="1" applyFill="1" applyAlignment="1">
      <alignment horizontal="center"/>
    </xf>
    <xf numFmtId="172" fontId="96" fillId="4" borderId="55" xfId="11" applyNumberFormat="1" applyFont="1" applyBorder="1" applyAlignment="1" applyProtection="1">
      <alignment horizontal="right" vertical="top"/>
      <protection locked="0"/>
    </xf>
    <xf numFmtId="172" fontId="96" fillId="2" borderId="55" xfId="11" applyNumberFormat="1" applyFont="1" applyFill="1" applyBorder="1" applyAlignment="1" applyProtection="1">
      <alignment horizontal="right" vertical="top"/>
      <protection locked="0"/>
    </xf>
    <xf numFmtId="0" fontId="61" fillId="65" borderId="0" xfId="0" applyFont="1" applyFill="1" applyProtection="1">
      <protection locked="0"/>
    </xf>
    <xf numFmtId="0" fontId="91" fillId="0" borderId="1" xfId="0" applyFont="1" applyBorder="1" applyAlignment="1">
      <alignment horizontal="center" vertical="top"/>
    </xf>
    <xf numFmtId="174" fontId="96" fillId="4" borderId="55" xfId="11" applyNumberFormat="1" applyFont="1" applyBorder="1" applyAlignment="1" applyProtection="1">
      <alignment horizontal="right"/>
      <protection locked="0"/>
    </xf>
    <xf numFmtId="0" fontId="97" fillId="0" borderId="0" xfId="8" applyFont="1" applyAlignment="1">
      <alignment horizontal="center"/>
    </xf>
    <xf numFmtId="0" fontId="90" fillId="0" borderId="0" xfId="0" quotePrefix="1" applyFont="1"/>
    <xf numFmtId="0" fontId="92" fillId="0" borderId="0" xfId="0" quotePrefix="1" applyFont="1" applyAlignment="1">
      <alignment horizontal="center"/>
    </xf>
    <xf numFmtId="0" fontId="115" fillId="0" borderId="1" xfId="0" applyFont="1" applyBorder="1"/>
    <xf numFmtId="0" fontId="91" fillId="3" borderId="0" xfId="0" applyFont="1" applyFill="1" applyAlignment="1">
      <alignment wrapText="1"/>
    </xf>
    <xf numFmtId="0" fontId="91" fillId="3" borderId="67" xfId="0" applyFont="1" applyFill="1" applyBorder="1"/>
    <xf numFmtId="0" fontId="96" fillId="2" borderId="47" xfId="0" quotePrefix="1" applyFont="1" applyFill="1" applyBorder="1" applyAlignment="1" applyProtection="1">
      <alignment vertical="center"/>
      <protection locked="0"/>
    </xf>
    <xf numFmtId="0" fontId="128" fillId="0" borderId="0" xfId="33111" applyFont="1" applyAlignment="1">
      <alignment horizontal="left" vertical="top"/>
    </xf>
    <xf numFmtId="172" fontId="2" fillId="0" borderId="57" xfId="6628" applyNumberFormat="1" applyBorder="1"/>
    <xf numFmtId="0" fontId="2" fillId="0" borderId="1" xfId="6628" applyBorder="1"/>
    <xf numFmtId="172" fontId="15" fillId="0" borderId="1" xfId="6628" applyNumberFormat="1" applyFont="1" applyBorder="1" applyAlignment="1">
      <alignment horizontal="center"/>
    </xf>
    <xf numFmtId="172" fontId="15" fillId="0" borderId="1" xfId="6628" applyNumberFormat="1" applyFont="1" applyBorder="1"/>
    <xf numFmtId="172" fontId="2" fillId="0" borderId="51" xfId="6628" applyNumberFormat="1" applyBorder="1"/>
    <xf numFmtId="172" fontId="2" fillId="0" borderId="66" xfId="6628" applyNumberFormat="1" applyBorder="1"/>
    <xf numFmtId="172" fontId="2" fillId="0" borderId="47" xfId="6628" applyNumberFormat="1" applyBorder="1"/>
    <xf numFmtId="172" fontId="2" fillId="0" borderId="55" xfId="6628" applyNumberFormat="1" applyBorder="1"/>
    <xf numFmtId="172" fontId="2" fillId="0" borderId="47" xfId="6628" quotePrefix="1" applyNumberFormat="1" applyBorder="1"/>
    <xf numFmtId="172" fontId="2" fillId="0" borderId="0" xfId="6628" quotePrefix="1" applyNumberFormat="1"/>
    <xf numFmtId="172" fontId="2" fillId="0" borderId="0" xfId="6628" applyNumberFormat="1" applyAlignment="1">
      <alignment horizontal="left"/>
    </xf>
    <xf numFmtId="0" fontId="91" fillId="2" borderId="47" xfId="0" applyFont="1" applyFill="1" applyBorder="1" applyProtection="1">
      <protection locked="0"/>
    </xf>
    <xf numFmtId="172" fontId="92" fillId="0" borderId="57" xfId="0" applyNumberFormat="1" applyFont="1" applyBorder="1" applyAlignment="1">
      <alignment horizontal="center" vertical="top"/>
    </xf>
    <xf numFmtId="172" fontId="91" fillId="2" borderId="47" xfId="0" applyNumberFormat="1" applyFont="1" applyFill="1" applyBorder="1" applyProtection="1">
      <protection locked="0"/>
    </xf>
    <xf numFmtId="0" fontId="129" fillId="0" borderId="0" xfId="0" applyFont="1" applyAlignment="1">
      <alignment horizontal="center"/>
    </xf>
    <xf numFmtId="14" fontId="91" fillId="0" borderId="0" xfId="0" applyNumberFormat="1" applyFont="1"/>
    <xf numFmtId="187" fontId="96" fillId="4" borderId="55" xfId="11" applyNumberFormat="1" applyFont="1" applyBorder="1" applyAlignment="1" applyProtection="1">
      <alignment horizontal="center"/>
      <protection locked="0"/>
    </xf>
    <xf numFmtId="174" fontId="91" fillId="0" borderId="57" xfId="0" applyNumberFormat="1" applyFont="1" applyBorder="1" applyAlignment="1">
      <alignment horizontal="right" wrapText="1"/>
    </xf>
    <xf numFmtId="174" fontId="91" fillId="0" borderId="57" xfId="0" applyNumberFormat="1" applyFont="1" applyBorder="1" applyAlignment="1">
      <alignment horizontal="right"/>
    </xf>
    <xf numFmtId="172" fontId="91" fillId="0" borderId="57" xfId="0" applyNumberFormat="1" applyFont="1" applyBorder="1" applyAlignment="1">
      <alignment horizontal="right"/>
    </xf>
    <xf numFmtId="174" fontId="91" fillId="0" borderId="0" xfId="0" quotePrefix="1" applyNumberFormat="1" applyFont="1"/>
    <xf numFmtId="172" fontId="96" fillId="0" borderId="0" xfId="0" applyNumberFormat="1" applyFont="1" applyProtection="1">
      <protection locked="0"/>
    </xf>
    <xf numFmtId="0" fontId="90" fillId="0" borderId="0" xfId="0" applyFont="1" applyProtection="1">
      <protection locked="0"/>
    </xf>
    <xf numFmtId="172" fontId="90" fillId="0" borderId="0" xfId="0" quotePrefix="1" applyNumberFormat="1" applyFont="1"/>
    <xf numFmtId="172" fontId="90" fillId="0" borderId="0" xfId="0" applyNumberFormat="1" applyFont="1"/>
    <xf numFmtId="0" fontId="90" fillId="0" borderId="57" xfId="0" applyFont="1" applyBorder="1" applyProtection="1">
      <protection locked="0"/>
    </xf>
    <xf numFmtId="172" fontId="96" fillId="0" borderId="57" xfId="0" applyNumberFormat="1" applyFont="1" applyBorder="1" applyProtection="1">
      <protection locked="0"/>
    </xf>
    <xf numFmtId="172" fontId="91" fillId="0" borderId="57" xfId="0" applyNumberFormat="1" applyFont="1" applyBorder="1"/>
    <xf numFmtId="172" fontId="90" fillId="0" borderId="103" xfId="0" applyNumberFormat="1" applyFont="1" applyBorder="1"/>
    <xf numFmtId="0" fontId="105" fillId="0" borderId="0" xfId="0" quotePrefix="1" applyFont="1"/>
    <xf numFmtId="9" fontId="95" fillId="0" borderId="0" xfId="10" applyFont="1" applyFill="1" applyProtection="1"/>
    <xf numFmtId="174" fontId="104" fillId="63" borderId="57" xfId="0" applyNumberFormat="1" applyFont="1" applyFill="1" applyBorder="1"/>
    <xf numFmtId="174" fontId="107" fillId="63" borderId="57" xfId="0" applyNumberFormat="1" applyFont="1" applyFill="1" applyBorder="1"/>
    <xf numFmtId="182" fontId="92" fillId="63" borderId="57" xfId="0" applyNumberFormat="1" applyFont="1" applyFill="1" applyBorder="1" applyAlignment="1">
      <alignment horizontal="center" vertical="top"/>
    </xf>
    <xf numFmtId="0" fontId="91" fillId="70" borderId="0" xfId="0" applyFont="1" applyFill="1"/>
    <xf numFmtId="0" fontId="91" fillId="70" borderId="47" xfId="0" applyFont="1" applyFill="1" applyBorder="1"/>
    <xf numFmtId="0" fontId="2" fillId="0" borderId="0" xfId="6628" quotePrefix="1"/>
    <xf numFmtId="0" fontId="0" fillId="0" borderId="0" xfId="0" applyAlignment="1">
      <alignment horizontal="left" wrapText="1"/>
    </xf>
    <xf numFmtId="175" fontId="91" fillId="3" borderId="0" xfId="13330" applyNumberFormat="1" applyFont="1" applyFill="1" applyBorder="1" applyAlignment="1">
      <alignment horizontal="center" vertical="top"/>
    </xf>
    <xf numFmtId="175" fontId="91" fillId="3" borderId="0" xfId="13330" applyNumberFormat="1" applyFont="1" applyFill="1" applyAlignment="1">
      <alignment horizontal="center" vertical="top"/>
    </xf>
    <xf numFmtId="0" fontId="104" fillId="0" borderId="0" xfId="0" applyFont="1" applyAlignment="1">
      <alignment horizontal="left"/>
    </xf>
    <xf numFmtId="0" fontId="104" fillId="0" borderId="0" xfId="0" applyFont="1"/>
    <xf numFmtId="0" fontId="107" fillId="0" borderId="0" xfId="0" applyFont="1"/>
    <xf numFmtId="0" fontId="131" fillId="0" borderId="47" xfId="7" applyFont="1" applyBorder="1" applyAlignment="1" applyProtection="1">
      <alignment horizontal="left"/>
    </xf>
    <xf numFmtId="0" fontId="107" fillId="0" borderId="47" xfId="0" applyFont="1" applyBorder="1"/>
    <xf numFmtId="0" fontId="0" fillId="0" borderId="47" xfId="0" applyBorder="1"/>
    <xf numFmtId="0" fontId="132" fillId="0" borderId="0" xfId="0" applyFont="1"/>
    <xf numFmtId="0" fontId="133" fillId="0" borderId="0" xfId="0" applyFont="1"/>
    <xf numFmtId="0" fontId="15" fillId="0" borderId="0" xfId="8" applyFont="1" applyAlignment="1">
      <alignment horizontal="center"/>
    </xf>
    <xf numFmtId="0" fontId="83" fillId="0" borderId="0" xfId="0" applyFont="1"/>
    <xf numFmtId="0" fontId="120" fillId="0" borderId="0" xfId="8" applyFont="1" applyAlignment="1">
      <alignment horizontal="left"/>
    </xf>
    <xf numFmtId="0" fontId="120" fillId="0" borderId="0" xfId="8" applyFont="1" applyAlignment="1">
      <alignment horizontal="center"/>
    </xf>
    <xf numFmtId="172" fontId="83" fillId="0" borderId="0" xfId="0" applyNumberFormat="1" applyFont="1"/>
    <xf numFmtId="175" fontId="120" fillId="2" borderId="0" xfId="8" applyNumberFormat="1" applyFont="1" applyFill="1" applyAlignment="1">
      <alignment horizontal="center"/>
    </xf>
    <xf numFmtId="0" fontId="64" fillId="0" borderId="0" xfId="8" applyFont="1" applyAlignment="1">
      <alignment horizontal="center"/>
    </xf>
    <xf numFmtId="0" fontId="107" fillId="0" borderId="0" xfId="0" applyFont="1" applyAlignment="1">
      <alignment horizontal="center"/>
    </xf>
    <xf numFmtId="174" fontId="83" fillId="0" borderId="0" xfId="0" applyNumberFormat="1" applyFont="1"/>
    <xf numFmtId="43" fontId="107" fillId="0" borderId="57" xfId="4" applyFont="1" applyBorder="1" applyProtection="1"/>
    <xf numFmtId="0" fontId="107" fillId="0" borderId="0" xfId="8" applyFont="1" applyAlignment="1">
      <alignment horizontal="right"/>
    </xf>
    <xf numFmtId="166" fontId="107" fillId="0" borderId="0" xfId="6" applyNumberFormat="1" applyFont="1" applyFill="1" applyBorder="1" applyAlignment="1" applyProtection="1">
      <alignment horizontal="center"/>
    </xf>
    <xf numFmtId="43" fontId="107" fillId="0" borderId="0" xfId="4" applyFont="1" applyBorder="1" applyProtection="1"/>
    <xf numFmtId="172" fontId="107" fillId="0" borderId="0" xfId="5" applyNumberFormat="1" applyFont="1" applyBorder="1" applyAlignment="1" applyProtection="1">
      <alignment horizontal="center"/>
    </xf>
    <xf numFmtId="0" fontId="104" fillId="0" borderId="0" xfId="8" quotePrefix="1" applyFont="1" applyAlignment="1">
      <alignment horizontal="right"/>
    </xf>
    <xf numFmtId="174" fontId="107" fillId="0" borderId="0" xfId="5" applyNumberFormat="1" applyFont="1" applyBorder="1" applyAlignment="1" applyProtection="1">
      <alignment horizontal="right"/>
    </xf>
    <xf numFmtId="43" fontId="83" fillId="0" borderId="0" xfId="4" applyFont="1" applyProtection="1"/>
    <xf numFmtId="0" fontId="136" fillId="0" borderId="0" xfId="0" applyFont="1"/>
    <xf numFmtId="0" fontId="135" fillId="0" borderId="0" xfId="0" applyFont="1"/>
    <xf numFmtId="0" fontId="135" fillId="0" borderId="69" xfId="0" applyFont="1" applyBorder="1" applyAlignment="1">
      <alignment horizontal="center"/>
    </xf>
    <xf numFmtId="0" fontId="135" fillId="0" borderId="65" xfId="0" applyFont="1" applyBorder="1" applyAlignment="1">
      <alignment horizontal="center"/>
    </xf>
    <xf numFmtId="0" fontId="135" fillId="0" borderId="65" xfId="0" applyFont="1" applyBorder="1" applyAlignment="1">
      <alignment horizontal="center" wrapText="1"/>
    </xf>
    <xf numFmtId="0" fontId="107" fillId="0" borderId="51" xfId="0" applyFont="1" applyBorder="1"/>
    <xf numFmtId="166" fontId="107" fillId="0" borderId="51" xfId="0" applyNumberFormat="1" applyFont="1" applyBorder="1"/>
    <xf numFmtId="172" fontId="107" fillId="0" borderId="51" xfId="0" applyNumberFormat="1" applyFont="1" applyBorder="1"/>
    <xf numFmtId="172" fontId="107" fillId="0" borderId="47" xfId="0" applyNumberFormat="1" applyFont="1" applyBorder="1"/>
    <xf numFmtId="174" fontId="107" fillId="0" borderId="47" xfId="0" applyNumberFormat="1" applyFont="1" applyBorder="1"/>
    <xf numFmtId="0" fontId="137" fillId="0" borderId="0" xfId="0" applyFont="1"/>
    <xf numFmtId="174" fontId="120" fillId="2" borderId="0" xfId="8" applyNumberFormat="1" applyFont="1" applyFill="1" applyAlignment="1">
      <alignment horizontal="center"/>
    </xf>
    <xf numFmtId="174" fontId="120" fillId="0" borderId="0" xfId="8" applyNumberFormat="1" applyFont="1" applyAlignment="1">
      <alignment horizontal="center"/>
    </xf>
    <xf numFmtId="0" fontId="107" fillId="0" borderId="57" xfId="8" applyFont="1" applyBorder="1" applyAlignment="1">
      <alignment horizontal="left"/>
    </xf>
    <xf numFmtId="172" fontId="96" fillId="2" borderId="51" xfId="0" applyNumberFormat="1" applyFont="1" applyFill="1" applyBorder="1" applyProtection="1">
      <protection locked="0"/>
    </xf>
    <xf numFmtId="172" fontId="96" fillId="0" borderId="75" xfId="0" applyNumberFormat="1" applyFont="1" applyBorder="1" applyProtection="1">
      <protection locked="0"/>
    </xf>
    <xf numFmtId="0" fontId="96" fillId="0" borderId="51" xfId="0" applyFont="1" applyBorder="1" applyProtection="1">
      <protection locked="0"/>
    </xf>
    <xf numFmtId="174" fontId="96" fillId="0" borderId="51" xfId="0" applyNumberFormat="1" applyFont="1" applyBorder="1" applyProtection="1">
      <protection locked="0"/>
    </xf>
    <xf numFmtId="172" fontId="96" fillId="0" borderId="47" xfId="0" applyNumberFormat="1" applyFont="1" applyBorder="1" applyProtection="1">
      <protection locked="0"/>
    </xf>
    <xf numFmtId="0" fontId="89" fillId="0" borderId="75" xfId="0" applyFont="1" applyBorder="1" applyAlignment="1" applyProtection="1">
      <alignment vertical="center"/>
      <protection locked="0"/>
    </xf>
    <xf numFmtId="174" fontId="90" fillId="0" borderId="55" xfId="0" applyNumberFormat="1" applyFont="1" applyBorder="1"/>
    <xf numFmtId="183" fontId="91" fillId="0" borderId="0" xfId="4" applyNumberFormat="1" applyFont="1" applyFill="1" applyProtection="1"/>
    <xf numFmtId="183" fontId="91" fillId="0" borderId="0" xfId="4" applyNumberFormat="1" applyFont="1" applyProtection="1"/>
    <xf numFmtId="0" fontId="96" fillId="0" borderId="47" xfId="0" applyFont="1" applyBorder="1" applyAlignment="1" applyProtection="1">
      <alignment vertical="center"/>
      <protection locked="0"/>
    </xf>
    <xf numFmtId="0" fontId="91" fillId="0" borderId="51" xfId="0" applyFont="1" applyBorder="1"/>
    <xf numFmtId="0" fontId="0" fillId="0" borderId="51" xfId="0" applyBorder="1"/>
    <xf numFmtId="0" fontId="112" fillId="0" borderId="1" xfId="0" applyFont="1" applyBorder="1"/>
    <xf numFmtId="0" fontId="0" fillId="0" borderId="1" xfId="0" applyBorder="1"/>
    <xf numFmtId="0" fontId="12" fillId="71" borderId="0" xfId="0" applyFont="1" applyFill="1"/>
    <xf numFmtId="0" fontId="139" fillId="71" borderId="0" xfId="0" applyFont="1" applyFill="1"/>
    <xf numFmtId="0" fontId="131" fillId="0" borderId="0" xfId="7" applyFont="1" applyBorder="1" applyAlignment="1" applyProtection="1">
      <alignment horizontal="left"/>
    </xf>
    <xf numFmtId="0" fontId="131" fillId="0" borderId="0" xfId="7" applyFont="1" applyBorder="1" applyAlignment="1" applyProtection="1">
      <alignment horizontal="center"/>
    </xf>
    <xf numFmtId="1" fontId="91" fillId="0" borderId="57" xfId="0" applyNumberFormat="1" applyFont="1" applyBorder="1" applyAlignment="1">
      <alignment horizontal="left"/>
    </xf>
    <xf numFmtId="1" fontId="91" fillId="0" borderId="0" xfId="0" applyNumberFormat="1" applyFont="1" applyAlignment="1">
      <alignment horizontal="left"/>
    </xf>
    <xf numFmtId="5" fontId="91" fillId="0" borderId="0" xfId="0" applyNumberFormat="1" applyFont="1" applyAlignment="1">
      <alignment horizontal="center" vertical="top"/>
    </xf>
    <xf numFmtId="175" fontId="91" fillId="0" borderId="0" xfId="0" applyNumberFormat="1" applyFont="1" applyAlignment="1">
      <alignment horizontal="center" vertical="top"/>
    </xf>
    <xf numFmtId="175" fontId="92" fillId="0" borderId="0" xfId="0" applyNumberFormat="1" applyFont="1" applyAlignment="1">
      <alignment horizontal="center" vertical="top"/>
    </xf>
    <xf numFmtId="165" fontId="92" fillId="0" borderId="0" xfId="0" applyNumberFormat="1" applyFont="1" applyAlignment="1">
      <alignment horizontal="center" vertical="top"/>
    </xf>
    <xf numFmtId="0" fontId="92" fillId="0" borderId="5" xfId="0" applyFont="1" applyBorder="1" applyAlignment="1">
      <alignment horizontal="left"/>
    </xf>
    <xf numFmtId="175" fontId="92" fillId="0" borderId="6" xfId="0" applyNumberFormat="1" applyFont="1" applyBorder="1" applyAlignment="1">
      <alignment horizontal="center"/>
    </xf>
    <xf numFmtId="165" fontId="105" fillId="0" borderId="0" xfId="0" applyNumberFormat="1" applyFont="1" applyAlignment="1">
      <alignment horizontal="center"/>
    </xf>
    <xf numFmtId="165" fontId="106" fillId="0" borderId="0" xfId="0" applyNumberFormat="1" applyFont="1" applyAlignment="1">
      <alignment horizontal="center"/>
    </xf>
    <xf numFmtId="0" fontId="106" fillId="0" borderId="5" xfId="0" applyFont="1" applyBorder="1" applyAlignment="1">
      <alignment horizontal="left"/>
    </xf>
    <xf numFmtId="6" fontId="92" fillId="0" borderId="6" xfId="0" applyNumberFormat="1" applyFont="1" applyBorder="1" applyAlignment="1">
      <alignment horizontal="center"/>
    </xf>
    <xf numFmtId="172" fontId="92" fillId="0" borderId="0" xfId="0" applyNumberFormat="1" applyFont="1" applyAlignment="1">
      <alignment horizontal="center"/>
    </xf>
    <xf numFmtId="180" fontId="92" fillId="0" borderId="0" xfId="0" applyNumberFormat="1" applyFont="1" applyAlignment="1">
      <alignment horizontal="center"/>
    </xf>
    <xf numFmtId="6" fontId="91" fillId="0" borderId="57" xfId="0" applyNumberFormat="1" applyFont="1" applyBorder="1" applyAlignment="1">
      <alignment horizontal="center"/>
    </xf>
    <xf numFmtId="6" fontId="91" fillId="0" borderId="0" xfId="0" applyNumberFormat="1" applyFont="1" applyAlignment="1">
      <alignment horizontal="center"/>
    </xf>
    <xf numFmtId="1" fontId="92" fillId="0" borderId="57" xfId="0" applyNumberFormat="1" applyFont="1" applyBorder="1" applyAlignment="1">
      <alignment horizontal="left"/>
    </xf>
    <xf numFmtId="1" fontId="105" fillId="0" borderId="0" xfId="0" applyNumberFormat="1" applyFont="1" applyAlignment="1">
      <alignment horizontal="left"/>
    </xf>
    <xf numFmtId="1" fontId="91" fillId="0" borderId="0" xfId="0" applyNumberFormat="1" applyFont="1" applyAlignment="1">
      <alignment horizontal="center" vertical="top"/>
    </xf>
    <xf numFmtId="3" fontId="91" fillId="0" borderId="0" xfId="0" applyNumberFormat="1" applyFont="1" applyAlignment="1">
      <alignment horizontal="center" vertical="top"/>
    </xf>
    <xf numFmtId="3" fontId="91" fillId="0" borderId="57" xfId="0" applyNumberFormat="1" applyFont="1" applyBorder="1" applyAlignment="1">
      <alignment horizontal="center" vertical="top"/>
    </xf>
    <xf numFmtId="179" fontId="92" fillId="0" borderId="6" xfId="0" applyNumberFormat="1" applyFont="1" applyBorder="1" applyAlignment="1">
      <alignment horizontal="center"/>
    </xf>
    <xf numFmtId="0" fontId="106" fillId="0" borderId="0" xfId="0" quotePrefix="1" applyFont="1"/>
    <xf numFmtId="6" fontId="105" fillId="0" borderId="0" xfId="0" applyNumberFormat="1" applyFont="1" applyAlignment="1">
      <alignment horizontal="center"/>
    </xf>
    <xf numFmtId="0" fontId="92" fillId="63" borderId="1" xfId="0" applyFont="1" applyFill="1" applyBorder="1"/>
    <xf numFmtId="0" fontId="130" fillId="0" borderId="0" xfId="0" applyFont="1"/>
    <xf numFmtId="183" fontId="92" fillId="0" borderId="1" xfId="4" applyNumberFormat="1" applyFont="1" applyFill="1" applyBorder="1"/>
    <xf numFmtId="172" fontId="91" fillId="0" borderId="0" xfId="33110" applyNumberFormat="1" applyFont="1" applyFill="1" applyBorder="1" applyAlignment="1">
      <alignment horizontal="right"/>
    </xf>
    <xf numFmtId="172" fontId="91" fillId="0" borderId="47" xfId="33110" applyNumberFormat="1" applyFont="1" applyFill="1" applyBorder="1" applyAlignment="1">
      <alignment horizontal="right"/>
    </xf>
    <xf numFmtId="0" fontId="102" fillId="65" borderId="0" xfId="0" applyFont="1" applyFill="1"/>
    <xf numFmtId="0" fontId="105" fillId="0" borderId="47" xfId="0" applyFont="1" applyBorder="1"/>
    <xf numFmtId="174" fontId="92" fillId="60" borderId="0" xfId="0" applyNumberFormat="1" applyFont="1" applyFill="1" applyAlignment="1">
      <alignment horizontal="right"/>
    </xf>
    <xf numFmtId="0" fontId="92" fillId="60" borderId="0" xfId="0" applyFont="1" applyFill="1" applyAlignment="1">
      <alignment horizontal="center"/>
    </xf>
    <xf numFmtId="0" fontId="92" fillId="60" borderId="5" xfId="0" applyFont="1" applyFill="1" applyBorder="1"/>
    <xf numFmtId="174" fontId="92" fillId="60" borderId="6" xfId="0" applyNumberFormat="1" applyFont="1" applyFill="1" applyBorder="1" applyAlignment="1">
      <alignment horizontal="right"/>
    </xf>
    <xf numFmtId="0" fontId="92" fillId="60" borderId="6" xfId="0" applyFont="1" applyFill="1" applyBorder="1"/>
    <xf numFmtId="172" fontId="91" fillId="0" borderId="47" xfId="0" applyNumberFormat="1" applyFont="1" applyBorder="1" applyAlignment="1">
      <alignment horizontal="right" vertical="top"/>
    </xf>
    <xf numFmtId="174" fontId="91" fillId="0" borderId="47" xfId="0" applyNumberFormat="1" applyFont="1" applyBorder="1" applyAlignment="1">
      <alignment horizontal="right" vertical="top"/>
    </xf>
    <xf numFmtId="174" fontId="90" fillId="0" borderId="47" xfId="13330" applyNumberFormat="1" applyFont="1" applyFill="1" applyBorder="1" applyAlignment="1">
      <alignment horizontal="right" vertical="top"/>
    </xf>
    <xf numFmtId="174" fontId="90" fillId="0" borderId="47" xfId="0" applyNumberFormat="1" applyFont="1" applyBorder="1" applyAlignment="1">
      <alignment horizontal="right"/>
    </xf>
    <xf numFmtId="174" fontId="91" fillId="0" borderId="47" xfId="9" applyNumberFormat="1" applyFont="1" applyFill="1" applyBorder="1" applyAlignment="1" applyProtection="1">
      <alignment horizontal="right" vertical="top"/>
    </xf>
    <xf numFmtId="172" fontId="96" fillId="2" borderId="48" xfId="13118" applyNumberFormat="1" applyFont="1" applyFill="1" applyBorder="1" applyProtection="1">
      <protection locked="0"/>
    </xf>
    <xf numFmtId="172" fontId="2" fillId="0" borderId="0" xfId="8" applyNumberFormat="1"/>
    <xf numFmtId="174" fontId="92" fillId="0" borderId="1" xfId="33110" applyNumberFormat="1" applyFont="1" applyFill="1" applyBorder="1"/>
    <xf numFmtId="174" fontId="92" fillId="0" borderId="1" xfId="0" applyNumberFormat="1" applyFont="1" applyBorder="1"/>
    <xf numFmtId="174" fontId="91" fillId="0" borderId="1" xfId="33110" applyNumberFormat="1" applyFont="1" applyFill="1" applyBorder="1" applyAlignment="1">
      <alignment horizontal="right"/>
    </xf>
    <xf numFmtId="174" fontId="91" fillId="0" borderId="1" xfId="33110" applyNumberFormat="1" applyFont="1" applyFill="1" applyBorder="1"/>
    <xf numFmtId="174" fontId="91" fillId="0" borderId="1" xfId="0" applyNumberFormat="1" applyFont="1" applyBorder="1"/>
    <xf numFmtId="175" fontId="91" fillId="2" borderId="0" xfId="0" applyNumberFormat="1" applyFont="1" applyFill="1" applyAlignment="1" applyProtection="1">
      <alignment horizontal="right"/>
      <protection locked="0"/>
    </xf>
    <xf numFmtId="0" fontId="92" fillId="0" borderId="0" xfId="0" applyFont="1" applyAlignment="1">
      <alignment horizontal="left" wrapText="1"/>
    </xf>
    <xf numFmtId="172" fontId="96" fillId="2" borderId="55" xfId="0" applyNumberFormat="1" applyFont="1" applyFill="1" applyBorder="1" applyProtection="1">
      <protection locked="0"/>
    </xf>
    <xf numFmtId="172" fontId="96" fillId="2" borderId="102" xfId="0" applyNumberFormat="1" applyFont="1" applyFill="1" applyBorder="1" applyProtection="1">
      <protection locked="0"/>
    </xf>
    <xf numFmtId="0" fontId="91" fillId="2" borderId="51" xfId="0" applyFont="1" applyFill="1" applyBorder="1" applyProtection="1">
      <protection locked="0"/>
    </xf>
    <xf numFmtId="174" fontId="107" fillId="0" borderId="52" xfId="0" applyNumberFormat="1" applyFont="1" applyBorder="1"/>
    <xf numFmtId="0" fontId="92" fillId="3" borderId="1" xfId="0" applyFont="1" applyFill="1" applyBorder="1"/>
    <xf numFmtId="172" fontId="107" fillId="0" borderId="0" xfId="33110" applyNumberFormat="1" applyFont="1" applyAlignment="1">
      <alignment horizontal="right" vertical="top"/>
    </xf>
    <xf numFmtId="172" fontId="91" fillId="0" borderId="0" xfId="33110" applyNumberFormat="1" applyFont="1" applyAlignment="1">
      <alignment horizontal="right"/>
    </xf>
    <xf numFmtId="0" fontId="89" fillId="0" borderId="75" xfId="0" applyFont="1" applyBorder="1"/>
    <xf numFmtId="172" fontId="96" fillId="0" borderId="75" xfId="0" applyNumberFormat="1" applyFont="1" applyBorder="1"/>
    <xf numFmtId="0" fontId="90" fillId="0" borderId="51" xfId="0" applyFont="1" applyBorder="1" applyAlignment="1">
      <alignment vertical="center"/>
    </xf>
    <xf numFmtId="0" fontId="90" fillId="0" borderId="47" xfId="0" applyFont="1" applyBorder="1" applyAlignment="1">
      <alignment wrapText="1"/>
    </xf>
    <xf numFmtId="174" fontId="90" fillId="0" borderId="47" xfId="0" applyNumberFormat="1" applyFont="1" applyBorder="1"/>
    <xf numFmtId="0" fontId="90" fillId="0" borderId="47" xfId="0" applyFont="1" applyBorder="1"/>
    <xf numFmtId="172" fontId="90" fillId="0" borderId="47" xfId="0" applyNumberFormat="1" applyFont="1" applyBorder="1"/>
    <xf numFmtId="0" fontId="90" fillId="0" borderId="47" xfId="0" applyFont="1" applyBorder="1" applyAlignment="1">
      <alignment vertical="center"/>
    </xf>
    <xf numFmtId="198" fontId="91" fillId="0" borderId="57" xfId="0" applyNumberFormat="1" applyFont="1" applyBorder="1" applyAlignment="1">
      <alignment horizontal="center"/>
    </xf>
    <xf numFmtId="198" fontId="91" fillId="0" borderId="0" xfId="0" applyNumberFormat="1" applyFont="1" applyAlignment="1">
      <alignment horizontal="center"/>
    </xf>
    <xf numFmtId="199" fontId="91" fillId="0" borderId="0" xfId="0" applyNumberFormat="1" applyFont="1" applyAlignment="1">
      <alignment horizontal="center" vertical="top"/>
    </xf>
    <xf numFmtId="199" fontId="91" fillId="0" borderId="57" xfId="0" applyNumberFormat="1" applyFont="1" applyBorder="1" applyAlignment="1">
      <alignment horizontal="center" vertical="top"/>
    </xf>
    <xf numFmtId="200" fontId="91" fillId="0" borderId="0" xfId="0" applyNumberFormat="1" applyFont="1" applyAlignment="1">
      <alignment horizontal="center" vertical="top"/>
    </xf>
    <xf numFmtId="0" fontId="129" fillId="0" borderId="0" xfId="0" applyFont="1" applyAlignment="1">
      <alignment horizontal="left" indent="1"/>
    </xf>
    <xf numFmtId="0" fontId="141" fillId="0" borderId="0" xfId="0" applyFont="1" applyAlignment="1">
      <alignment horizontal="center"/>
    </xf>
    <xf numFmtId="0" fontId="104" fillId="0" borderId="0" xfId="0" applyFont="1" applyAlignment="1">
      <alignment horizontal="left" vertical="top"/>
    </xf>
    <xf numFmtId="0" fontId="107" fillId="0" borderId="0" xfId="0" applyFont="1" applyAlignment="1">
      <alignment horizontal="left" vertical="top"/>
    </xf>
    <xf numFmtId="174" fontId="91" fillId="0" borderId="0" xfId="33110" applyNumberFormat="1" applyFont="1" applyFill="1" applyProtection="1"/>
    <xf numFmtId="174" fontId="91" fillId="0" borderId="0" xfId="33110" applyNumberFormat="1" applyFont="1" applyProtection="1"/>
    <xf numFmtId="172" fontId="91" fillId="0" borderId="0" xfId="33110" applyNumberFormat="1" applyFont="1" applyFill="1" applyProtection="1"/>
    <xf numFmtId="172" fontId="91" fillId="0" borderId="0" xfId="33110" applyNumberFormat="1" applyFont="1" applyProtection="1"/>
    <xf numFmtId="172" fontId="142" fillId="0" borderId="0" xfId="6628" applyNumberFormat="1" applyFont="1" applyAlignment="1">
      <alignment horizontal="center"/>
    </xf>
    <xf numFmtId="187" fontId="91" fillId="0" borderId="3" xfId="11" applyNumberFormat="1" applyFont="1" applyFill="1" applyAlignment="1" applyProtection="1">
      <alignment horizontal="right"/>
      <protection locked="0"/>
    </xf>
    <xf numFmtId="164" fontId="96" fillId="0" borderId="0" xfId="11" applyNumberFormat="1" applyFont="1" applyFill="1" applyBorder="1" applyAlignment="1" applyProtection="1">
      <alignment horizontal="center"/>
      <protection locked="0"/>
    </xf>
    <xf numFmtId="0" fontId="96" fillId="2" borderId="55" xfId="0" applyFont="1" applyFill="1" applyBorder="1" applyAlignment="1" applyProtection="1">
      <alignment horizontal="center" vertical="top"/>
      <protection locked="0"/>
    </xf>
    <xf numFmtId="1" fontId="96" fillId="2" borderId="55" xfId="0" applyNumberFormat="1" applyFont="1" applyFill="1" applyBorder="1" applyAlignment="1" applyProtection="1">
      <alignment horizontal="center" vertical="top"/>
      <protection locked="0"/>
    </xf>
    <xf numFmtId="0" fontId="90" fillId="0" borderId="55" xfId="0" applyFont="1" applyBorder="1" applyAlignment="1">
      <alignment horizontal="center" vertical="top"/>
    </xf>
    <xf numFmtId="172" fontId="90" fillId="0" borderId="55" xfId="0" applyNumberFormat="1" applyFont="1" applyBorder="1" applyAlignment="1">
      <alignment horizontal="center" vertical="top"/>
    </xf>
    <xf numFmtId="9" fontId="92" fillId="0" borderId="55" xfId="9" applyFont="1" applyFill="1" applyBorder="1" applyAlignment="1" applyProtection="1">
      <alignment horizontal="center" vertical="top"/>
      <protection locked="0"/>
    </xf>
    <xf numFmtId="174" fontId="0" fillId="0" borderId="0" xfId="33110" applyNumberFormat="1" applyFont="1"/>
    <xf numFmtId="174" fontId="0" fillId="0" borderId="0" xfId="0" applyNumberFormat="1"/>
    <xf numFmtId="0" fontId="143" fillId="0" borderId="0" xfId="0" applyFont="1" applyAlignment="1">
      <alignment horizontal="center"/>
    </xf>
    <xf numFmtId="0" fontId="144" fillId="0" borderId="0" xfId="0" applyFont="1"/>
    <xf numFmtId="0" fontId="92" fillId="60" borderId="0" xfId="0" applyFont="1" applyFill="1" applyAlignment="1">
      <alignment horizontal="right"/>
    </xf>
    <xf numFmtId="195" fontId="92" fillId="60" borderId="0" xfId="0" applyNumberFormat="1" applyFont="1" applyFill="1" applyAlignment="1">
      <alignment horizontal="right"/>
    </xf>
    <xf numFmtId="0" fontId="92" fillId="68" borderId="8" xfId="0" applyFont="1" applyFill="1" applyBorder="1" applyAlignment="1">
      <alignment horizontal="right"/>
    </xf>
    <xf numFmtId="174" fontId="92" fillId="0" borderId="1" xfId="33110" applyNumberFormat="1" applyFont="1" applyFill="1" applyBorder="1" applyAlignment="1">
      <alignment horizontal="right"/>
    </xf>
    <xf numFmtId="0" fontId="91" fillId="0" borderId="0" xfId="0" applyFont="1" applyAlignment="1">
      <alignment horizontal="right"/>
    </xf>
    <xf numFmtId="0" fontId="115" fillId="0" borderId="0" xfId="0" applyFont="1" applyAlignment="1">
      <alignment horizontal="right" vertical="top"/>
    </xf>
    <xf numFmtId="195" fontId="92" fillId="0" borderId="0" xfId="0" applyNumberFormat="1" applyFont="1" applyAlignment="1">
      <alignment horizontal="right"/>
    </xf>
    <xf numFmtId="172" fontId="96" fillId="0" borderId="0" xfId="11" applyNumberFormat="1" applyFont="1" applyFill="1" applyBorder="1" applyAlignment="1" applyProtection="1">
      <alignment horizontal="center"/>
      <protection locked="0"/>
    </xf>
    <xf numFmtId="172" fontId="92" fillId="0" borderId="0" xfId="0" applyNumberFormat="1" applyFont="1" applyAlignment="1">
      <alignment horizontal="right"/>
    </xf>
    <xf numFmtId="165" fontId="91" fillId="0" borderId="0" xfId="0" applyNumberFormat="1" applyFont="1" applyAlignment="1">
      <alignment horizontal="right"/>
    </xf>
    <xf numFmtId="177" fontId="91" fillId="0" borderId="0" xfId="0" applyNumberFormat="1" applyFont="1" applyAlignment="1">
      <alignment horizontal="right"/>
    </xf>
    <xf numFmtId="176" fontId="92" fillId="0" borderId="0" xfId="0" applyNumberFormat="1" applyFont="1" applyAlignment="1">
      <alignment horizontal="right"/>
    </xf>
    <xf numFmtId="181" fontId="101" fillId="4" borderId="55" xfId="11" applyNumberFormat="1" applyFont="1" applyBorder="1" applyAlignment="1" applyProtection="1">
      <alignment horizontal="right"/>
      <protection locked="0"/>
    </xf>
    <xf numFmtId="187" fontId="90" fillId="0" borderId="55" xfId="11" applyNumberFormat="1" applyFont="1" applyFill="1" applyBorder="1" applyAlignment="1" applyProtection="1">
      <alignment horizontal="right"/>
    </xf>
    <xf numFmtId="175" fontId="96" fillId="4" borderId="55" xfId="11" applyNumberFormat="1" applyFont="1" applyBorder="1" applyAlignment="1" applyProtection="1">
      <alignment horizontal="right"/>
      <protection locked="0"/>
    </xf>
    <xf numFmtId="178" fontId="90" fillId="0" borderId="55" xfId="0" applyNumberFormat="1" applyFont="1" applyBorder="1" applyAlignment="1">
      <alignment horizontal="right"/>
    </xf>
    <xf numFmtId="0" fontId="104" fillId="0" borderId="40" xfId="0" applyFont="1" applyBorder="1" applyAlignment="1">
      <alignment horizontal="right" vertical="top"/>
    </xf>
    <xf numFmtId="195" fontId="92" fillId="0" borderId="1" xfId="0" applyNumberFormat="1" applyFont="1" applyBorder="1" applyAlignment="1">
      <alignment horizontal="right"/>
    </xf>
    <xf numFmtId="0" fontId="91" fillId="0" borderId="1" xfId="0" applyFont="1" applyBorder="1" applyAlignment="1">
      <alignment horizontal="right"/>
    </xf>
    <xf numFmtId="0" fontId="92" fillId="0" borderId="50" xfId="0" applyFont="1" applyBorder="1"/>
    <xf numFmtId="0" fontId="91" fillId="0" borderId="50" xfId="0" applyFont="1" applyBorder="1"/>
    <xf numFmtId="174" fontId="91" fillId="0" borderId="50" xfId="0" applyNumberFormat="1" applyFont="1" applyBorder="1" applyAlignment="1">
      <alignment horizontal="right"/>
    </xf>
    <xf numFmtId="177" fontId="92" fillId="0" borderId="50" xfId="0" applyNumberFormat="1" applyFont="1" applyBorder="1" applyAlignment="1">
      <alignment horizontal="right"/>
    </xf>
    <xf numFmtId="177" fontId="92" fillId="0" borderId="50" xfId="0" quotePrefix="1" applyNumberFormat="1" applyFont="1" applyBorder="1" applyAlignment="1">
      <alignment horizontal="right"/>
    </xf>
    <xf numFmtId="0" fontId="92" fillId="0" borderId="52" xfId="0" applyFont="1" applyBorder="1"/>
    <xf numFmtId="0" fontId="91" fillId="0" borderId="52" xfId="0" applyFont="1" applyBorder="1"/>
    <xf numFmtId="174" fontId="91" fillId="0" borderId="52" xfId="0" applyNumberFormat="1" applyFont="1" applyBorder="1" applyAlignment="1">
      <alignment horizontal="right"/>
    </xf>
    <xf numFmtId="177" fontId="92" fillId="0" borderId="52" xfId="0" applyNumberFormat="1" applyFont="1" applyBorder="1" applyAlignment="1">
      <alignment horizontal="right"/>
    </xf>
    <xf numFmtId="174" fontId="90" fillId="0" borderId="51" xfId="0" applyNumberFormat="1" applyFont="1" applyBorder="1"/>
    <xf numFmtId="174" fontId="96" fillId="2" borderId="51" xfId="0" applyNumberFormat="1" applyFont="1" applyFill="1" applyBorder="1" applyProtection="1">
      <protection locked="0"/>
    </xf>
    <xf numFmtId="174" fontId="96" fillId="2" borderId="55" xfId="0" applyNumberFormat="1" applyFont="1" applyFill="1" applyBorder="1" applyProtection="1">
      <protection locked="0"/>
    </xf>
    <xf numFmtId="172" fontId="96" fillId="0" borderId="55" xfId="0" applyNumberFormat="1" applyFont="1" applyBorder="1" applyProtection="1">
      <protection locked="0"/>
    </xf>
    <xf numFmtId="172" fontId="95" fillId="0" borderId="55" xfId="8" applyNumberFormat="1" applyFont="1" applyBorder="1"/>
    <xf numFmtId="172" fontId="116" fillId="2" borderId="55" xfId="6" applyNumberFormat="1" applyFont="1" applyFill="1" applyBorder="1" applyProtection="1">
      <protection locked="0"/>
    </xf>
    <xf numFmtId="172" fontId="116" fillId="2" borderId="55" xfId="6" applyNumberFormat="1" applyFont="1" applyFill="1" applyBorder="1" applyAlignment="1" applyProtection="1">
      <protection locked="0"/>
    </xf>
    <xf numFmtId="172" fontId="95" fillId="0" borderId="102" xfId="8" applyNumberFormat="1" applyFont="1" applyBorder="1"/>
    <xf numFmtId="172" fontId="116" fillId="2" borderId="102" xfId="6" applyNumberFormat="1" applyFont="1" applyFill="1" applyBorder="1" applyProtection="1">
      <protection locked="0"/>
    </xf>
    <xf numFmtId="0" fontId="94" fillId="0" borderId="109" xfId="8" applyFont="1" applyBorder="1" applyAlignment="1">
      <alignment horizontal="center" wrapText="1"/>
    </xf>
    <xf numFmtId="0" fontId="94" fillId="0" borderId="110" xfId="8" applyFont="1" applyBorder="1" applyAlignment="1">
      <alignment horizontal="center" wrapText="1"/>
    </xf>
    <xf numFmtId="44" fontId="95" fillId="66" borderId="110" xfId="6" applyFont="1" applyFill="1" applyBorder="1" applyAlignment="1" applyProtection="1">
      <alignment horizontal="center"/>
    </xf>
    <xf numFmtId="44" fontId="95" fillId="66" borderId="111" xfId="6" applyFont="1" applyFill="1" applyBorder="1" applyAlignment="1" applyProtection="1">
      <alignment horizontal="center"/>
    </xf>
    <xf numFmtId="172" fontId="117" fillId="0" borderId="0" xfId="8" quotePrefix="1" applyNumberFormat="1" applyFont="1" applyAlignment="1">
      <alignment horizontal="center"/>
    </xf>
    <xf numFmtId="38" fontId="95" fillId="0" borderId="0" xfId="6" applyNumberFormat="1" applyFont="1" applyBorder="1" applyProtection="1"/>
    <xf numFmtId="172" fontId="95" fillId="0" borderId="0" xfId="6" applyNumberFormat="1" applyFont="1" applyBorder="1" applyProtection="1"/>
    <xf numFmtId="172" fontId="94" fillId="0" borderId="0" xfId="10" quotePrefix="1" applyNumberFormat="1" applyFont="1" applyBorder="1" applyAlignment="1" applyProtection="1">
      <alignment horizontal="center"/>
    </xf>
    <xf numFmtId="175" fontId="94" fillId="0" borderId="0" xfId="10" applyNumberFormat="1" applyFont="1" applyBorder="1" applyProtection="1"/>
    <xf numFmtId="44" fontId="95" fillId="0" borderId="0" xfId="6" applyFont="1" applyBorder="1" applyAlignment="1" applyProtection="1"/>
    <xf numFmtId="44" fontId="95" fillId="0" borderId="0" xfId="6" applyFont="1" applyBorder="1" applyAlignment="1" applyProtection="1">
      <alignment horizontal="right"/>
    </xf>
    <xf numFmtId="44" fontId="95" fillId="60" borderId="0" xfId="6" applyFont="1" applyFill="1" applyBorder="1" applyProtection="1"/>
    <xf numFmtId="174" fontId="94" fillId="0" borderId="65" xfId="6" applyNumberFormat="1" applyFont="1" applyBorder="1" applyAlignment="1" applyProtection="1">
      <alignment horizontal="right"/>
    </xf>
    <xf numFmtId="172" fontId="94" fillId="0" borderId="65" xfId="8" applyNumberFormat="1" applyFont="1" applyBorder="1"/>
    <xf numFmtId="174" fontId="94" fillId="0" borderId="63" xfId="6" applyNumberFormat="1" applyFont="1" applyBorder="1" applyAlignment="1" applyProtection="1">
      <alignment horizontal="right"/>
    </xf>
    <xf numFmtId="172" fontId="95" fillId="0" borderId="112" xfId="8" applyNumberFormat="1" applyFont="1" applyBorder="1"/>
    <xf numFmtId="172" fontId="116" fillId="2" borderId="112" xfId="6" applyNumberFormat="1" applyFont="1" applyFill="1" applyBorder="1" applyProtection="1">
      <protection locked="0"/>
    </xf>
    <xf numFmtId="174" fontId="95" fillId="0" borderId="55" xfId="8" applyNumberFormat="1" applyFont="1" applyBorder="1"/>
    <xf numFmtId="9" fontId="95" fillId="0" borderId="0" xfId="10" applyFont="1" applyBorder="1" applyProtection="1"/>
    <xf numFmtId="175" fontId="95" fillId="0" borderId="102" xfId="6" applyNumberFormat="1" applyFont="1" applyFill="1" applyBorder="1" applyProtection="1"/>
    <xf numFmtId="175" fontId="95" fillId="0" borderId="102" xfId="6" applyNumberFormat="1" applyFont="1" applyFill="1" applyBorder="1" applyAlignment="1" applyProtection="1"/>
    <xf numFmtId="175" fontId="95" fillId="0" borderId="55" xfId="6" applyNumberFormat="1" applyFont="1" applyFill="1" applyBorder="1" applyProtection="1"/>
    <xf numFmtId="175" fontId="95" fillId="0" borderId="55" xfId="6" applyNumberFormat="1" applyFont="1" applyFill="1" applyBorder="1" applyAlignment="1" applyProtection="1"/>
    <xf numFmtId="175" fontId="95" fillId="0" borderId="112" xfId="6" applyNumberFormat="1" applyFont="1" applyFill="1" applyBorder="1" applyProtection="1"/>
    <xf numFmtId="38" fontId="95" fillId="0" borderId="0" xfId="6" applyNumberFormat="1" applyFont="1" applyFill="1" applyBorder="1" applyProtection="1"/>
    <xf numFmtId="9" fontId="95" fillId="0" borderId="0" xfId="9" applyFont="1" applyFill="1" applyBorder="1" applyProtection="1"/>
    <xf numFmtId="44" fontId="95" fillId="0" borderId="0" xfId="6" applyFont="1" applyFill="1" applyBorder="1" applyAlignment="1" applyProtection="1">
      <alignment horizontal="right"/>
    </xf>
    <xf numFmtId="44" fontId="95" fillId="0" borderId="0" xfId="6" applyFont="1" applyFill="1" applyBorder="1" applyAlignment="1" applyProtection="1"/>
    <xf numFmtId="175" fontId="95" fillId="0" borderId="55" xfId="9" applyNumberFormat="1" applyFont="1" applyFill="1" applyBorder="1" applyProtection="1"/>
    <xf numFmtId="9" fontId="95" fillId="0" borderId="55" xfId="10" applyFont="1" applyFill="1" applyBorder="1" applyProtection="1"/>
    <xf numFmtId="175" fontId="95" fillId="0" borderId="55" xfId="10" applyNumberFormat="1" applyFont="1" applyFill="1" applyBorder="1" applyProtection="1"/>
    <xf numFmtId="44" fontId="95" fillId="0" borderId="55" xfId="8" applyNumberFormat="1" applyFont="1" applyBorder="1"/>
    <xf numFmtId="38" fontId="95" fillId="0" borderId="66" xfId="8" applyNumberFormat="1" applyFont="1" applyBorder="1"/>
    <xf numFmtId="175" fontId="95" fillId="0" borderId="66" xfId="9" applyNumberFormat="1" applyFont="1" applyFill="1" applyBorder="1" applyProtection="1"/>
    <xf numFmtId="175" fontId="95" fillId="0" borderId="65" xfId="6" applyNumberFormat="1" applyFont="1" applyFill="1" applyBorder="1" applyProtection="1"/>
    <xf numFmtId="172" fontId="116" fillId="2" borderId="55" xfId="8" applyNumberFormat="1" applyFont="1" applyFill="1" applyBorder="1" applyProtection="1">
      <protection locked="0"/>
    </xf>
    <xf numFmtId="38" fontId="95" fillId="0" borderId="102" xfId="6" applyNumberFormat="1" applyFont="1" applyBorder="1" applyProtection="1"/>
    <xf numFmtId="38" fontId="95" fillId="0" borderId="102" xfId="8" applyNumberFormat="1" applyFont="1" applyBorder="1"/>
    <xf numFmtId="38" fontId="95" fillId="0" borderId="112" xfId="6" applyNumberFormat="1" applyFont="1" applyBorder="1" applyProtection="1"/>
    <xf numFmtId="38" fontId="95" fillId="0" borderId="55" xfId="6" applyNumberFormat="1" applyFont="1" applyBorder="1" applyProtection="1"/>
    <xf numFmtId="38" fontId="95" fillId="0" borderId="55" xfId="8" applyNumberFormat="1" applyFont="1" applyBorder="1"/>
    <xf numFmtId="175" fontId="95" fillId="0" borderId="103" xfId="6" applyNumberFormat="1" applyFont="1" applyFill="1" applyBorder="1" applyAlignment="1" applyProtection="1">
      <alignment horizontal="right"/>
    </xf>
    <xf numFmtId="44" fontId="95" fillId="0" borderId="0" xfId="6" applyFont="1" applyBorder="1" applyProtection="1"/>
    <xf numFmtId="172" fontId="95" fillId="0" borderId="102" xfId="6" applyNumberFormat="1" applyFont="1" applyBorder="1" applyProtection="1"/>
    <xf numFmtId="38" fontId="95" fillId="0" borderId="55" xfId="6" applyNumberFormat="1" applyFont="1" applyFill="1" applyBorder="1" applyProtection="1"/>
    <xf numFmtId="172" fontId="95" fillId="0" borderId="55" xfId="6" applyNumberFormat="1" applyFont="1" applyBorder="1" applyProtection="1"/>
    <xf numFmtId="38" fontId="94" fillId="0" borderId="103" xfId="6" applyNumberFormat="1" applyFont="1" applyBorder="1" applyProtection="1"/>
    <xf numFmtId="172" fontId="94" fillId="0" borderId="103" xfId="6" applyNumberFormat="1" applyFont="1" applyBorder="1" applyProtection="1"/>
    <xf numFmtId="38" fontId="95" fillId="0" borderId="66" xfId="6" applyNumberFormat="1" applyFont="1" applyBorder="1" applyProtection="1"/>
    <xf numFmtId="174" fontId="91" fillId="0" borderId="0" xfId="0" applyNumberFormat="1" applyFont="1" applyAlignment="1">
      <alignment horizontal="right" vertical="top"/>
    </xf>
    <xf numFmtId="0" fontId="107" fillId="63" borderId="1" xfId="0" applyFont="1" applyFill="1" applyBorder="1" applyAlignment="1">
      <alignment horizontal="right" vertical="top"/>
    </xf>
    <xf numFmtId="0" fontId="104" fillId="63" borderId="1" xfId="0" applyFont="1" applyFill="1" applyBorder="1" applyAlignment="1">
      <alignment horizontal="right" vertical="top"/>
    </xf>
    <xf numFmtId="0" fontId="107" fillId="0" borderId="0" xfId="0" applyFont="1" applyAlignment="1">
      <alignment horizontal="right" vertical="top"/>
    </xf>
    <xf numFmtId="172" fontId="96" fillId="70" borderId="42" xfId="0" applyNumberFormat="1" applyFont="1" applyFill="1" applyBorder="1" applyAlignment="1" applyProtection="1">
      <alignment horizontal="right" vertical="top"/>
      <protection locked="0"/>
    </xf>
    <xf numFmtId="172" fontId="96" fillId="70" borderId="43" xfId="0" applyNumberFormat="1" applyFont="1" applyFill="1" applyBorder="1" applyAlignment="1" applyProtection="1">
      <alignment horizontal="right" vertical="top"/>
      <protection locked="0"/>
    </xf>
    <xf numFmtId="172" fontId="96" fillId="70" borderId="73" xfId="0" applyNumberFormat="1" applyFont="1" applyFill="1" applyBorder="1" applyAlignment="1" applyProtection="1">
      <alignment horizontal="right" vertical="top"/>
      <protection locked="0"/>
    </xf>
    <xf numFmtId="172" fontId="90" fillId="70" borderId="43" xfId="0" applyNumberFormat="1" applyFont="1" applyFill="1" applyBorder="1" applyAlignment="1" applyProtection="1">
      <alignment horizontal="right" vertical="top"/>
      <protection locked="0"/>
    </xf>
    <xf numFmtId="172" fontId="90" fillId="70" borderId="73" xfId="0" applyNumberFormat="1" applyFont="1" applyFill="1" applyBorder="1" applyAlignment="1" applyProtection="1">
      <alignment horizontal="right" vertical="top"/>
      <protection locked="0"/>
    </xf>
    <xf numFmtId="172" fontId="90" fillId="70" borderId="3" xfId="0" applyNumberFormat="1" applyFont="1" applyFill="1" applyBorder="1" applyAlignment="1" applyProtection="1">
      <alignment horizontal="right" vertical="top"/>
      <protection locked="0"/>
    </xf>
    <xf numFmtId="172" fontId="90" fillId="70" borderId="44" xfId="0" applyNumberFormat="1" applyFont="1" applyFill="1" applyBorder="1" applyAlignment="1" applyProtection="1">
      <alignment horizontal="right" vertical="top"/>
      <protection locked="0"/>
    </xf>
    <xf numFmtId="172" fontId="90" fillId="70" borderId="39" xfId="0" applyNumberFormat="1" applyFont="1" applyFill="1" applyBorder="1" applyAlignment="1" applyProtection="1">
      <alignment horizontal="right" vertical="top"/>
      <protection locked="0"/>
    </xf>
    <xf numFmtId="0" fontId="90" fillId="0" borderId="47" xfId="0" applyFont="1" applyBorder="1" applyAlignment="1">
      <alignment horizontal="right"/>
    </xf>
    <xf numFmtId="172" fontId="90" fillId="0" borderId="47" xfId="9" applyNumberFormat="1" applyFont="1" applyFill="1" applyBorder="1" applyAlignment="1" applyProtection="1">
      <alignment horizontal="right" vertical="top"/>
    </xf>
    <xf numFmtId="172" fontId="91" fillId="0" borderId="1" xfId="0" applyNumberFormat="1" applyFont="1" applyBorder="1" applyAlignment="1">
      <alignment horizontal="right" vertical="top"/>
    </xf>
    <xf numFmtId="172" fontId="91" fillId="3" borderId="1" xfId="0" applyNumberFormat="1" applyFont="1" applyFill="1" applyBorder="1" applyAlignment="1">
      <alignment horizontal="right" vertical="top"/>
    </xf>
    <xf numFmtId="172" fontId="91" fillId="3" borderId="0" xfId="0" applyNumberFormat="1" applyFont="1" applyFill="1" applyAlignment="1">
      <alignment horizontal="right" vertical="top"/>
    </xf>
    <xf numFmtId="165" fontId="91" fillId="0" borderId="0" xfId="0" applyNumberFormat="1" applyFont="1" applyAlignment="1">
      <alignment horizontal="right" vertical="top"/>
    </xf>
    <xf numFmtId="174" fontId="105" fillId="0" borderId="0" xfId="0" applyNumberFormat="1" applyFont="1" applyAlignment="1">
      <alignment horizontal="right" vertical="top"/>
    </xf>
    <xf numFmtId="0" fontId="104" fillId="0" borderId="69" xfId="0" applyFont="1" applyBorder="1" applyAlignment="1">
      <alignment horizontal="center" vertical="top"/>
    </xf>
    <xf numFmtId="0" fontId="107" fillId="0" borderId="65" xfId="0" applyFont="1" applyBorder="1" applyAlignment="1">
      <alignment horizontal="center" vertical="top"/>
    </xf>
    <xf numFmtId="187" fontId="91" fillId="0" borderId="0" xfId="11" applyNumberFormat="1" applyFont="1" applyFill="1" applyBorder="1" applyAlignment="1" applyProtection="1">
      <alignment horizontal="center"/>
      <protection locked="0"/>
    </xf>
    <xf numFmtId="187" fontId="91" fillId="0" borderId="0" xfId="11" applyNumberFormat="1" applyFont="1" applyFill="1" applyBorder="1" applyAlignment="1" applyProtection="1">
      <alignment horizontal="center" wrapText="1"/>
      <protection locked="0"/>
    </xf>
    <xf numFmtId="187" fontId="96" fillId="4" borderId="55" xfId="11" applyNumberFormat="1" applyFont="1" applyBorder="1" applyAlignment="1" applyProtection="1">
      <alignment horizontal="center" wrapText="1"/>
      <protection locked="0"/>
    </xf>
    <xf numFmtId="0" fontId="91" fillId="0" borderId="57" xfId="0" applyFont="1" applyBorder="1" applyAlignment="1">
      <alignment horizontal="center" vertical="top"/>
    </xf>
    <xf numFmtId="172" fontId="91" fillId="0" borderId="55" xfId="0" applyNumberFormat="1" applyFont="1" applyBorder="1" applyAlignment="1">
      <alignment horizontal="center" vertical="top"/>
    </xf>
    <xf numFmtId="172" fontId="91" fillId="0" borderId="103" xfId="0" applyNumberFormat="1" applyFont="1" applyBorder="1" applyAlignment="1">
      <alignment horizontal="center" vertical="top"/>
    </xf>
    <xf numFmtId="172" fontId="91" fillId="0" borderId="112" xfId="0" applyNumberFormat="1" applyFont="1" applyBorder="1" applyAlignment="1">
      <alignment horizontal="center" vertical="top"/>
    </xf>
    <xf numFmtId="0" fontId="129" fillId="0" borderId="56" xfId="0" applyFont="1" applyBorder="1" applyAlignment="1">
      <alignment horizontal="left" indent="1"/>
    </xf>
    <xf numFmtId="0" fontId="129" fillId="0" borderId="18" xfId="0" applyFont="1" applyBorder="1" applyAlignment="1">
      <alignment horizontal="left" indent="1"/>
    </xf>
    <xf numFmtId="44" fontId="91" fillId="0" borderId="0" xfId="33110" applyFont="1" applyFill="1" applyBorder="1"/>
    <xf numFmtId="174" fontId="92" fillId="0" borderId="0" xfId="0" applyNumberFormat="1" applyFont="1"/>
    <xf numFmtId="174" fontId="92" fillId="0" borderId="0" xfId="33110" applyNumberFormat="1" applyFont="1" applyFill="1" applyBorder="1"/>
    <xf numFmtId="0" fontId="96" fillId="2" borderId="1" xfId="0" applyFont="1" applyFill="1" applyBorder="1" applyProtection="1">
      <protection locked="0"/>
    </xf>
    <xf numFmtId="0" fontId="104" fillId="0" borderId="0" xfId="0" applyFont="1" applyAlignment="1">
      <alignment horizontal="right" vertical="top"/>
    </xf>
    <xf numFmtId="172" fontId="90" fillId="0" borderId="52" xfId="0" applyNumberFormat="1" applyFont="1" applyBorder="1" applyAlignment="1">
      <alignment horizontal="right" vertical="top"/>
    </xf>
    <xf numFmtId="0" fontId="92" fillId="0" borderId="47" xfId="0" applyFont="1" applyBorder="1"/>
    <xf numFmtId="0" fontId="91" fillId="0" borderId="50" xfId="0" applyFont="1" applyBorder="1" applyAlignment="1">
      <alignment horizontal="right"/>
    </xf>
    <xf numFmtId="9" fontId="91" fillId="0" borderId="50" xfId="9" applyFont="1" applyFill="1" applyBorder="1" applyAlignment="1">
      <alignment horizontal="right" vertical="top"/>
    </xf>
    <xf numFmtId="174" fontId="91" fillId="0" borderId="52" xfId="0" applyNumberFormat="1" applyFont="1" applyBorder="1" applyAlignment="1">
      <alignment horizontal="right" vertical="top"/>
    </xf>
    <xf numFmtId="172" fontId="91" fillId="0" borderId="52" xfId="0" applyNumberFormat="1" applyFont="1" applyBorder="1" applyAlignment="1">
      <alignment horizontal="right" vertical="top"/>
    </xf>
    <xf numFmtId="0" fontId="91" fillId="3" borderId="1" xfId="0" applyFont="1" applyFill="1" applyBorder="1" applyAlignment="1">
      <alignment wrapText="1"/>
    </xf>
    <xf numFmtId="0" fontId="100" fillId="0" borderId="47" xfId="7" applyFont="1" applyBorder="1" applyAlignment="1" applyProtection="1">
      <alignment horizontal="right" wrapText="1" indent="1"/>
    </xf>
    <xf numFmtId="0" fontId="91" fillId="0" borderId="47" xfId="0" applyFont="1" applyBorder="1" applyAlignment="1">
      <alignment horizontal="right" vertical="top"/>
    </xf>
    <xf numFmtId="172" fontId="92" fillId="0" borderId="47" xfId="0" applyNumberFormat="1" applyFont="1" applyBorder="1" applyAlignment="1">
      <alignment horizontal="right" vertical="top"/>
    </xf>
    <xf numFmtId="0" fontId="91" fillId="0" borderId="1" xfId="0" applyFont="1" applyBorder="1" applyAlignment="1">
      <alignment horizontal="right" vertical="top"/>
    </xf>
    <xf numFmtId="172" fontId="96" fillId="2" borderId="66" xfId="0" applyNumberFormat="1" applyFont="1" applyFill="1" applyBorder="1" applyAlignment="1" applyProtection="1">
      <alignment horizontal="right" vertical="top"/>
      <protection locked="0"/>
    </xf>
    <xf numFmtId="172" fontId="96" fillId="2" borderId="55" xfId="0" applyNumberFormat="1" applyFont="1" applyFill="1" applyBorder="1" applyAlignment="1" applyProtection="1">
      <alignment horizontal="right" vertical="top"/>
      <protection locked="0"/>
    </xf>
    <xf numFmtId="172" fontId="96" fillId="2" borderId="112" xfId="0" applyNumberFormat="1" applyFont="1" applyFill="1" applyBorder="1" applyAlignment="1" applyProtection="1">
      <alignment horizontal="right" vertical="top"/>
      <protection locked="0"/>
    </xf>
    <xf numFmtId="174" fontId="92" fillId="3" borderId="0" xfId="0" applyNumberFormat="1" applyFont="1" applyFill="1" applyAlignment="1">
      <alignment horizontal="right"/>
    </xf>
    <xf numFmtId="0" fontId="100" fillId="0" borderId="52" xfId="7" applyFont="1" applyBorder="1" applyAlignment="1" applyProtection="1">
      <alignment horizontal="right" wrapText="1" indent="1"/>
    </xf>
    <xf numFmtId="0" fontId="107" fillId="0" borderId="52" xfId="0" applyFont="1" applyBorder="1" applyAlignment="1">
      <alignment horizontal="right" vertical="top"/>
    </xf>
    <xf numFmtId="0" fontId="107" fillId="0" borderId="0" xfId="0" applyFont="1" applyAlignment="1" applyProtection="1">
      <alignment horizontal="center" vertical="top"/>
      <protection locked="0"/>
    </xf>
    <xf numFmtId="0" fontId="92" fillId="0" borderId="14" xfId="0" applyFont="1" applyBorder="1" applyAlignment="1">
      <alignment horizontal="center"/>
    </xf>
    <xf numFmtId="173" fontId="91" fillId="0" borderId="0" xfId="0" applyNumberFormat="1" applyFont="1" applyAlignment="1">
      <alignment horizontal="right"/>
    </xf>
    <xf numFmtId="165" fontId="92" fillId="0" borderId="0" xfId="0" applyNumberFormat="1" applyFont="1" applyAlignment="1">
      <alignment horizontal="right" vertical="top"/>
    </xf>
    <xf numFmtId="174" fontId="106" fillId="0" borderId="0" xfId="0" applyNumberFormat="1" applyFont="1" applyAlignment="1">
      <alignment horizontal="right"/>
    </xf>
    <xf numFmtId="174" fontId="91" fillId="0" borderId="6" xfId="0" applyNumberFormat="1" applyFont="1" applyBorder="1" applyAlignment="1">
      <alignment horizontal="right"/>
    </xf>
    <xf numFmtId="165" fontId="106" fillId="0" borderId="0" xfId="0" applyNumberFormat="1" applyFont="1" applyAlignment="1">
      <alignment horizontal="right"/>
    </xf>
    <xf numFmtId="172" fontId="92" fillId="0" borderId="57" xfId="0" applyNumberFormat="1" applyFont="1" applyBorder="1" applyAlignment="1">
      <alignment horizontal="right"/>
    </xf>
    <xf numFmtId="197" fontId="92" fillId="0" borderId="57" xfId="0" applyNumberFormat="1" applyFont="1" applyBorder="1" applyAlignment="1">
      <alignment horizontal="right"/>
    </xf>
    <xf numFmtId="180" fontId="92" fillId="0" borderId="0" xfId="0" applyNumberFormat="1" applyFont="1" applyAlignment="1">
      <alignment horizontal="right"/>
    </xf>
    <xf numFmtId="6" fontId="91" fillId="0" borderId="0" xfId="0" applyNumberFormat="1" applyFont="1" applyAlignment="1">
      <alignment horizontal="right"/>
    </xf>
    <xf numFmtId="175" fontId="91" fillId="0" borderId="0" xfId="0" applyNumberFormat="1" applyFont="1" applyAlignment="1">
      <alignment horizontal="right"/>
    </xf>
    <xf numFmtId="172" fontId="92" fillId="0" borderId="0" xfId="0" applyNumberFormat="1" applyFont="1" applyAlignment="1">
      <alignment horizontal="right" vertical="top"/>
    </xf>
    <xf numFmtId="177" fontId="91" fillId="0" borderId="0" xfId="0" applyNumberFormat="1" applyFont="1" applyAlignment="1">
      <alignment horizontal="right" vertical="top"/>
    </xf>
    <xf numFmtId="175" fontId="91" fillId="0" borderId="0" xfId="0" applyNumberFormat="1" applyFont="1" applyAlignment="1">
      <alignment horizontal="right" vertical="top"/>
    </xf>
    <xf numFmtId="175" fontId="92" fillId="0" borderId="6" xfId="0" applyNumberFormat="1" applyFont="1" applyBorder="1" applyAlignment="1">
      <alignment horizontal="right"/>
    </xf>
    <xf numFmtId="165" fontId="105" fillId="0" borderId="0" xfId="0" applyNumberFormat="1" applyFont="1" applyAlignment="1">
      <alignment horizontal="right"/>
    </xf>
    <xf numFmtId="179" fontId="92" fillId="0" borderId="6" xfId="0" applyNumberFormat="1" applyFont="1" applyBorder="1" applyAlignment="1">
      <alignment horizontal="right"/>
    </xf>
    <xf numFmtId="180" fontId="106" fillId="0" borderId="0" xfId="0" applyNumberFormat="1" applyFont="1" applyAlignment="1">
      <alignment horizontal="right"/>
    </xf>
    <xf numFmtId="201" fontId="91" fillId="0" borderId="65" xfId="0" applyNumberFormat="1" applyFont="1" applyBorder="1" applyAlignment="1">
      <alignment horizontal="right"/>
    </xf>
    <xf numFmtId="172" fontId="91" fillId="2" borderId="113" xfId="0" applyNumberFormat="1" applyFont="1" applyFill="1" applyBorder="1" applyAlignment="1" applyProtection="1">
      <alignment horizontal="right"/>
      <protection locked="0"/>
    </xf>
    <xf numFmtId="174" fontId="91" fillId="0" borderId="0" xfId="0" applyNumberFormat="1" applyFont="1" applyAlignment="1">
      <alignment horizontal="right" wrapText="1"/>
    </xf>
    <xf numFmtId="172" fontId="96" fillId="2" borderId="102" xfId="0" applyNumberFormat="1" applyFont="1" applyFill="1" applyBorder="1" applyAlignment="1" applyProtection="1">
      <alignment horizontal="right" wrapText="1"/>
      <protection locked="0"/>
    </xf>
    <xf numFmtId="190" fontId="96" fillId="4" borderId="114" xfId="11" applyNumberFormat="1" applyFont="1" applyBorder="1" applyAlignment="1" applyProtection="1">
      <alignment horizontal="center"/>
      <protection locked="0"/>
    </xf>
    <xf numFmtId="172" fontId="96" fillId="2" borderId="103" xfId="0" applyNumberFormat="1" applyFont="1" applyFill="1" applyBorder="1" applyAlignment="1" applyProtection="1">
      <alignment horizontal="right" wrapText="1"/>
      <protection locked="0"/>
    </xf>
    <xf numFmtId="174" fontId="92" fillId="0" borderId="57" xfId="0" applyNumberFormat="1" applyFont="1" applyBorder="1"/>
    <xf numFmtId="174" fontId="96" fillId="2" borderId="55" xfId="0" applyNumberFormat="1" applyFont="1" applyFill="1" applyBorder="1" applyAlignment="1" applyProtection="1">
      <alignment horizontal="right"/>
      <protection locked="0"/>
    </xf>
    <xf numFmtId="172" fontId="96" fillId="2" borderId="55" xfId="0" applyNumberFormat="1" applyFont="1" applyFill="1" applyBorder="1" applyAlignment="1" applyProtection="1">
      <alignment horizontal="right"/>
      <protection locked="0"/>
    </xf>
    <xf numFmtId="172" fontId="96" fillId="2" borderId="112" xfId="0" applyNumberFormat="1" applyFont="1" applyFill="1" applyBorder="1" applyAlignment="1" applyProtection="1">
      <alignment horizontal="right"/>
      <protection locked="0"/>
    </xf>
    <xf numFmtId="0" fontId="91" fillId="3" borderId="75" xfId="0" applyFont="1" applyFill="1" applyBorder="1"/>
    <xf numFmtId="0" fontId="91" fillId="3" borderId="52" xfId="0" applyFont="1" applyFill="1" applyBorder="1"/>
    <xf numFmtId="0" fontId="90" fillId="0" borderId="103" xfId="0" applyFont="1" applyBorder="1" applyAlignment="1">
      <alignment horizontal="center" vertical="top"/>
    </xf>
    <xf numFmtId="175" fontId="92" fillId="0" borderId="0" xfId="0" applyNumberFormat="1" applyFont="1" applyAlignment="1">
      <alignment horizontal="right" vertical="top"/>
    </xf>
    <xf numFmtId="202" fontId="91" fillId="0" borderId="0" xfId="0" applyNumberFormat="1" applyFont="1" applyAlignment="1">
      <alignment horizontal="center"/>
    </xf>
    <xf numFmtId="172" fontId="96" fillId="0" borderId="75" xfId="0" applyNumberFormat="1" applyFont="1" applyBorder="1" applyAlignment="1">
      <alignment horizontal="right" vertical="top"/>
    </xf>
    <xf numFmtId="172" fontId="90" fillId="0" borderId="75" xfId="0" applyNumberFormat="1" applyFont="1" applyBorder="1" applyAlignment="1">
      <alignment horizontal="right" vertical="top"/>
    </xf>
    <xf numFmtId="201" fontId="107" fillId="0" borderId="0" xfId="0" applyNumberFormat="1" applyFont="1" applyAlignment="1">
      <alignment horizontal="right" vertical="top"/>
    </xf>
    <xf numFmtId="174" fontId="107" fillId="0" borderId="52" xfId="0" applyNumberFormat="1" applyFont="1" applyBorder="1" applyAlignment="1">
      <alignment horizontal="center" vertical="top"/>
    </xf>
    <xf numFmtId="174" fontId="107" fillId="0" borderId="47" xfId="0" applyNumberFormat="1" applyFont="1" applyBorder="1" applyAlignment="1">
      <alignment horizontal="center" vertical="top"/>
    </xf>
    <xf numFmtId="172" fontId="107" fillId="0" borderId="52" xfId="0" applyNumberFormat="1" applyFont="1" applyBorder="1" applyAlignment="1">
      <alignment horizontal="right" vertical="top"/>
    </xf>
    <xf numFmtId="174" fontId="107" fillId="0" borderId="47" xfId="0" applyNumberFormat="1" applyFont="1" applyBorder="1" applyAlignment="1">
      <alignment horizontal="right" vertical="top"/>
    </xf>
    <xf numFmtId="172" fontId="107" fillId="0" borderId="47" xfId="0" applyNumberFormat="1" applyFont="1" applyBorder="1" applyAlignment="1">
      <alignment horizontal="right" vertical="top"/>
    </xf>
    <xf numFmtId="0" fontId="107" fillId="3" borderId="47" xfId="0" applyFont="1" applyFill="1" applyBorder="1"/>
    <xf numFmtId="0" fontId="104" fillId="0" borderId="0" xfId="6628" applyFont="1"/>
    <xf numFmtId="0" fontId="96" fillId="2" borderId="103" xfId="0" applyFont="1" applyFill="1" applyBorder="1" applyAlignment="1" applyProtection="1">
      <alignment horizontal="center" vertical="top"/>
      <protection locked="0"/>
    </xf>
    <xf numFmtId="0" fontId="91" fillId="0" borderId="75" xfId="0" applyFont="1" applyBorder="1"/>
    <xf numFmtId="172" fontId="91" fillId="3" borderId="112" xfId="13330" applyNumberFormat="1" applyFont="1" applyFill="1" applyBorder="1" applyAlignment="1">
      <alignment horizontal="center" vertical="top"/>
    </xf>
    <xf numFmtId="0" fontId="92" fillId="62" borderId="0" xfId="0" applyFont="1" applyFill="1" applyAlignment="1">
      <alignment horizontal="left"/>
    </xf>
    <xf numFmtId="175" fontId="92" fillId="0" borderId="0" xfId="0" applyNumberFormat="1" applyFont="1" applyAlignment="1">
      <alignment horizontal="center"/>
    </xf>
    <xf numFmtId="174" fontId="96" fillId="2" borderId="0" xfId="0" applyNumberFormat="1" applyFont="1" applyFill="1" applyAlignment="1" applyProtection="1">
      <alignment horizontal="right"/>
      <protection locked="0"/>
    </xf>
    <xf numFmtId="0" fontId="145" fillId="0" borderId="0" xfId="0" applyFont="1" applyAlignment="1">
      <alignment wrapText="1"/>
    </xf>
    <xf numFmtId="175" fontId="92" fillId="0" borderId="65" xfId="0" applyNumberFormat="1" applyFont="1" applyBorder="1" applyAlignment="1">
      <alignment horizontal="center" vertical="top"/>
    </xf>
    <xf numFmtId="43" fontId="101" fillId="4" borderId="3" xfId="4" applyFont="1" applyFill="1" applyBorder="1" applyAlignment="1" applyProtection="1">
      <alignment horizontal="center"/>
      <protection locked="0"/>
    </xf>
    <xf numFmtId="43" fontId="101" fillId="4" borderId="3" xfId="4" applyFont="1" applyFill="1" applyBorder="1" applyAlignment="1" applyProtection="1">
      <alignment horizontal="right"/>
      <protection locked="0"/>
    </xf>
    <xf numFmtId="172" fontId="91" fillId="0" borderId="0" xfId="0" quotePrefix="1" applyNumberFormat="1" applyFont="1" applyAlignment="1">
      <alignment horizontal="right"/>
    </xf>
    <xf numFmtId="164" fontId="91" fillId="0" borderId="0" xfId="0" applyNumberFormat="1" applyFont="1" applyAlignment="1">
      <alignment horizontal="right"/>
    </xf>
    <xf numFmtId="43" fontId="91" fillId="0" borderId="0" xfId="0" applyNumberFormat="1" applyFont="1" applyAlignment="1">
      <alignment horizontal="right"/>
    </xf>
    <xf numFmtId="175" fontId="105" fillId="0" borderId="0" xfId="9" applyNumberFormat="1" applyFont="1" applyAlignment="1" applyProtection="1">
      <alignment horizontal="right"/>
    </xf>
    <xf numFmtId="0" fontId="91" fillId="64" borderId="0" xfId="0" applyFont="1" applyFill="1" applyAlignment="1">
      <alignment wrapText="1"/>
    </xf>
    <xf numFmtId="0" fontId="106" fillId="0" borderId="65" xfId="0" applyFont="1" applyBorder="1" applyAlignment="1">
      <alignment horizontal="left"/>
    </xf>
    <xf numFmtId="174" fontId="92" fillId="0" borderId="65" xfId="0" applyNumberFormat="1" applyFont="1" applyBorder="1" applyAlignment="1">
      <alignment horizontal="center"/>
    </xf>
    <xf numFmtId="175" fontId="92" fillId="0" borderId="65" xfId="0" applyNumberFormat="1" applyFont="1" applyBorder="1" applyAlignment="1">
      <alignment horizontal="center"/>
    </xf>
    <xf numFmtId="203" fontId="92" fillId="0" borderId="57" xfId="0" applyNumberFormat="1" applyFont="1" applyBorder="1" applyAlignment="1">
      <alignment horizontal="right"/>
    </xf>
    <xf numFmtId="165" fontId="91" fillId="0" borderId="0" xfId="0" quotePrefix="1" applyNumberFormat="1" applyFont="1" applyAlignment="1">
      <alignment horizontal="right" vertical="top"/>
    </xf>
    <xf numFmtId="0" fontId="0" fillId="2" borderId="47" xfId="0" applyFill="1" applyBorder="1" applyProtection="1">
      <protection locked="0"/>
    </xf>
    <xf numFmtId="0" fontId="104" fillId="0" borderId="1" xfId="0" applyFont="1" applyBorder="1" applyAlignment="1">
      <alignment horizontal="left"/>
    </xf>
    <xf numFmtId="174" fontId="96" fillId="2" borderId="0" xfId="0" applyNumberFormat="1" applyFont="1" applyFill="1" applyAlignment="1" applyProtection="1">
      <alignment horizontal="right" vertical="top"/>
      <protection locked="0"/>
    </xf>
    <xf numFmtId="172" fontId="96" fillId="2" borderId="47" xfId="0" applyNumberFormat="1" applyFont="1" applyFill="1" applyBorder="1" applyAlignment="1" applyProtection="1">
      <alignment horizontal="right" vertical="top"/>
      <protection locked="0"/>
    </xf>
    <xf numFmtId="174" fontId="96" fillId="4" borderId="47" xfId="11" applyNumberFormat="1" applyFont="1" applyBorder="1" applyAlignment="1" applyProtection="1">
      <alignment horizontal="right" vertical="top"/>
      <protection locked="0"/>
    </xf>
    <xf numFmtId="172" fontId="91" fillId="2" borderId="47" xfId="0" applyNumberFormat="1" applyFont="1" applyFill="1" applyBorder="1" applyAlignment="1" applyProtection="1">
      <alignment horizontal="right" vertical="top"/>
      <protection locked="0"/>
    </xf>
    <xf numFmtId="172" fontId="91" fillId="2" borderId="103" xfId="0" applyNumberFormat="1" applyFont="1" applyFill="1" applyBorder="1" applyAlignment="1" applyProtection="1">
      <alignment horizontal="right"/>
      <protection locked="0"/>
    </xf>
    <xf numFmtId="10" fontId="96" fillId="4" borderId="55" xfId="11" applyNumberFormat="1" applyFont="1" applyBorder="1" applyAlignment="1" applyProtection="1">
      <alignment horizontal="center" vertical="top"/>
      <protection locked="0"/>
    </xf>
    <xf numFmtId="173" fontId="91" fillId="2" borderId="55" xfId="0" applyNumberFormat="1" applyFont="1" applyFill="1" applyBorder="1" applyAlignment="1" applyProtection="1">
      <alignment horizontal="center" vertical="top"/>
      <protection locked="0"/>
    </xf>
    <xf numFmtId="173" fontId="91" fillId="2" borderId="103" xfId="0" applyNumberFormat="1" applyFont="1" applyFill="1" applyBorder="1" applyAlignment="1" applyProtection="1">
      <alignment horizontal="center" vertical="top"/>
      <protection locked="0"/>
    </xf>
    <xf numFmtId="173" fontId="91" fillId="2" borderId="112" xfId="0" applyNumberFormat="1" applyFont="1" applyFill="1" applyBorder="1" applyAlignment="1" applyProtection="1">
      <alignment horizontal="center" vertical="top"/>
      <protection locked="0"/>
    </xf>
    <xf numFmtId="172" fontId="96" fillId="2" borderId="103" xfId="0" applyNumberFormat="1" applyFont="1" applyFill="1" applyBorder="1" applyAlignment="1" applyProtection="1">
      <alignment horizontal="right"/>
      <protection locked="0"/>
    </xf>
    <xf numFmtId="0" fontId="92" fillId="3" borderId="1" xfId="0" applyFont="1" applyFill="1" applyBorder="1" applyAlignment="1">
      <alignment horizontal="right"/>
    </xf>
    <xf numFmtId="0" fontId="92" fillId="3" borderId="1" xfId="0" applyFont="1" applyFill="1" applyBorder="1" applyAlignment="1">
      <alignment horizontal="center"/>
    </xf>
    <xf numFmtId="174" fontId="92" fillId="0" borderId="65" xfId="0" applyNumberFormat="1" applyFont="1" applyBorder="1" applyAlignment="1">
      <alignment horizontal="center" vertical="top"/>
    </xf>
    <xf numFmtId="174" fontId="105" fillId="0" borderId="0" xfId="0" applyNumberFormat="1" applyFont="1" applyAlignment="1">
      <alignment horizontal="center"/>
    </xf>
    <xf numFmtId="175" fontId="106" fillId="0" borderId="0" xfId="0" applyNumberFormat="1" applyFont="1" applyAlignment="1">
      <alignment horizontal="right"/>
    </xf>
    <xf numFmtId="204" fontId="92" fillId="0" borderId="6" xfId="0" applyNumberFormat="1" applyFont="1" applyBorder="1" applyAlignment="1">
      <alignment horizontal="center"/>
    </xf>
    <xf numFmtId="205" fontId="91" fillId="0" borderId="0" xfId="0" applyNumberFormat="1" applyFont="1" applyAlignment="1">
      <alignment horizontal="center"/>
    </xf>
    <xf numFmtId="205" fontId="91" fillId="0" borderId="57" xfId="0" applyNumberFormat="1" applyFont="1" applyBorder="1" applyAlignment="1">
      <alignment horizontal="center"/>
    </xf>
    <xf numFmtId="205" fontId="91" fillId="0" borderId="1" xfId="0" applyNumberFormat="1" applyFont="1" applyBorder="1" applyAlignment="1">
      <alignment horizontal="center"/>
    </xf>
    <xf numFmtId="205" fontId="91" fillId="0" borderId="65" xfId="0" applyNumberFormat="1" applyFont="1" applyBorder="1" applyAlignment="1">
      <alignment horizontal="center"/>
    </xf>
    <xf numFmtId="206" fontId="91" fillId="0" borderId="0" xfId="0" applyNumberFormat="1" applyFont="1" applyAlignment="1">
      <alignment horizontal="center"/>
    </xf>
    <xf numFmtId="0" fontId="92" fillId="63" borderId="65" xfId="0" applyFont="1" applyFill="1" applyBorder="1" applyAlignment="1">
      <alignment horizontal="right"/>
    </xf>
    <xf numFmtId="0" fontId="92" fillId="63" borderId="65" xfId="0" applyFont="1" applyFill="1" applyBorder="1" applyAlignment="1">
      <alignment horizontal="right" wrapText="1"/>
    </xf>
    <xf numFmtId="0" fontId="92" fillId="63" borderId="58" xfId="0" applyFont="1" applyFill="1" applyBorder="1" applyAlignment="1">
      <alignment horizontal="center" wrapText="1"/>
    </xf>
    <xf numFmtId="0" fontId="92" fillId="63" borderId="0" xfId="0" applyFont="1" applyFill="1"/>
    <xf numFmtId="0" fontId="91" fillId="63" borderId="0" xfId="0" applyFont="1" applyFill="1"/>
    <xf numFmtId="0" fontId="92" fillId="64" borderId="69" xfId="0" applyFont="1" applyFill="1" applyBorder="1" applyAlignment="1">
      <alignment horizontal="right"/>
    </xf>
    <xf numFmtId="195" fontId="92" fillId="64" borderId="65" xfId="0" applyNumberFormat="1" applyFont="1" applyFill="1" applyBorder="1" applyAlignment="1">
      <alignment horizontal="right"/>
    </xf>
    <xf numFmtId="0" fontId="92" fillId="64" borderId="104" xfId="0" applyFont="1" applyFill="1" applyBorder="1" applyAlignment="1">
      <alignment horizontal="right"/>
    </xf>
    <xf numFmtId="0" fontId="92" fillId="64" borderId="105" xfId="0" applyFont="1" applyFill="1" applyBorder="1" applyAlignment="1">
      <alignment horizontal="right"/>
    </xf>
    <xf numFmtId="0" fontId="92" fillId="64" borderId="106" xfId="0" applyFont="1" applyFill="1" applyBorder="1" applyAlignment="1">
      <alignment horizontal="right"/>
    </xf>
    <xf numFmtId="0" fontId="92" fillId="64" borderId="15" xfId="0" applyFont="1" applyFill="1" applyBorder="1" applyAlignment="1">
      <alignment horizontal="right"/>
    </xf>
    <xf numFmtId="0" fontId="92" fillId="64" borderId="1" xfId="0" applyFont="1" applyFill="1" applyBorder="1" applyAlignment="1">
      <alignment horizontal="right"/>
    </xf>
    <xf numFmtId="0" fontId="92" fillId="64" borderId="14" xfId="0" applyFont="1" applyFill="1" applyBorder="1" applyAlignment="1">
      <alignment horizontal="right"/>
    </xf>
    <xf numFmtId="0" fontId="102" fillId="63" borderId="65" xfId="7" applyFont="1" applyFill="1" applyBorder="1" applyAlignment="1" applyProtection="1">
      <alignment horizontal="left" wrapText="1" indent="1"/>
    </xf>
    <xf numFmtId="0" fontId="104" fillId="63" borderId="65" xfId="0" applyFont="1" applyFill="1" applyBorder="1" applyAlignment="1">
      <alignment horizontal="center" vertical="top"/>
    </xf>
    <xf numFmtId="0" fontId="107" fillId="63" borderId="65" xfId="0" applyFont="1" applyFill="1" applyBorder="1" applyAlignment="1">
      <alignment horizontal="center" vertical="top"/>
    </xf>
    <xf numFmtId="0" fontId="92" fillId="64" borderId="69" xfId="0" applyFont="1" applyFill="1" applyBorder="1" applyAlignment="1">
      <alignment horizontal="center"/>
    </xf>
    <xf numFmtId="174" fontId="92" fillId="0" borderId="52" xfId="0" applyNumberFormat="1" applyFont="1" applyBorder="1" applyAlignment="1">
      <alignment horizontal="right"/>
    </xf>
    <xf numFmtId="0" fontId="107" fillId="64" borderId="17" xfId="0" applyFont="1" applyFill="1" applyBorder="1" applyAlignment="1">
      <alignment horizontal="right" vertical="top"/>
    </xf>
    <xf numFmtId="0" fontId="107" fillId="64" borderId="60" xfId="0" applyFont="1" applyFill="1" applyBorder="1" applyAlignment="1">
      <alignment horizontal="right" vertical="top"/>
    </xf>
    <xf numFmtId="0" fontId="107" fillId="64" borderId="61" xfId="0" applyFont="1" applyFill="1" applyBorder="1" applyAlignment="1">
      <alignment horizontal="right" vertical="top"/>
    </xf>
    <xf numFmtId="0" fontId="107" fillId="64" borderId="62" xfId="0" applyFont="1" applyFill="1" applyBorder="1" applyAlignment="1">
      <alignment horizontal="right" vertical="top"/>
    </xf>
    <xf numFmtId="0" fontId="104" fillId="64" borderId="40" xfId="0" applyFont="1" applyFill="1" applyBorder="1" applyAlignment="1">
      <alignment horizontal="right" vertical="top"/>
    </xf>
    <xf numFmtId="0" fontId="104" fillId="64" borderId="45" xfId="0" applyFont="1" applyFill="1" applyBorder="1" applyAlignment="1">
      <alignment horizontal="right" vertical="top"/>
    </xf>
    <xf numFmtId="0" fontId="104" fillId="64" borderId="41" xfId="0" applyFont="1" applyFill="1" applyBorder="1" applyAlignment="1">
      <alignment horizontal="right" vertical="top"/>
    </xf>
    <xf numFmtId="0" fontId="104" fillId="64" borderId="46" xfId="0" applyFont="1" applyFill="1" applyBorder="1" applyAlignment="1">
      <alignment horizontal="right" vertical="top"/>
    </xf>
    <xf numFmtId="207" fontId="104" fillId="0" borderId="0" xfId="33110" applyNumberFormat="1" applyFont="1" applyAlignment="1">
      <alignment horizontal="right" vertical="top"/>
    </xf>
    <xf numFmtId="207" fontId="104" fillId="0" borderId="0" xfId="33110" applyNumberFormat="1" applyFont="1" applyAlignment="1">
      <alignment horizontal="center" vertical="top"/>
    </xf>
    <xf numFmtId="174" fontId="92" fillId="0" borderId="0" xfId="0" applyNumberFormat="1" applyFont="1" applyAlignment="1">
      <alignment horizontal="right" wrapText="1"/>
    </xf>
    <xf numFmtId="0" fontId="92" fillId="64" borderId="0" xfId="0" applyFont="1" applyFill="1" applyAlignment="1">
      <alignment horizontal="center"/>
    </xf>
    <xf numFmtId="0" fontId="92" fillId="64" borderId="15" xfId="0" applyFont="1" applyFill="1" applyBorder="1" applyAlignment="1">
      <alignment horizontal="center"/>
    </xf>
    <xf numFmtId="0" fontId="92" fillId="64" borderId="1" xfId="0" applyFont="1" applyFill="1" applyBorder="1" applyAlignment="1">
      <alignment horizontal="center"/>
    </xf>
    <xf numFmtId="0" fontId="92" fillId="64" borderId="14" xfId="0" applyFont="1" applyFill="1" applyBorder="1" applyAlignment="1">
      <alignment horizontal="center"/>
    </xf>
    <xf numFmtId="0" fontId="92" fillId="64" borderId="59" xfId="0" applyFont="1" applyFill="1" applyBorder="1" applyAlignment="1">
      <alignment horizontal="center"/>
    </xf>
    <xf numFmtId="195" fontId="92" fillId="64" borderId="57" xfId="0" applyNumberFormat="1" applyFont="1" applyFill="1" applyBorder="1" applyAlignment="1">
      <alignment horizontal="center"/>
    </xf>
    <xf numFmtId="195" fontId="92" fillId="64" borderId="58" xfId="0" applyNumberFormat="1" applyFont="1" applyFill="1" applyBorder="1" applyAlignment="1">
      <alignment horizontal="center"/>
    </xf>
    <xf numFmtId="0" fontId="92" fillId="64" borderId="104" xfId="0" applyFont="1" applyFill="1" applyBorder="1" applyAlignment="1">
      <alignment horizontal="center"/>
    </xf>
    <xf numFmtId="0" fontId="92" fillId="64" borderId="105" xfId="0" applyFont="1" applyFill="1" applyBorder="1" applyAlignment="1">
      <alignment horizontal="center"/>
    </xf>
    <xf numFmtId="0" fontId="92" fillId="64" borderId="106" xfId="0" applyFont="1" applyFill="1" applyBorder="1" applyAlignment="1">
      <alignment horizontal="center"/>
    </xf>
    <xf numFmtId="0" fontId="92" fillId="0" borderId="5" xfId="0" applyFont="1" applyBorder="1" applyAlignment="1">
      <alignment wrapText="1"/>
    </xf>
    <xf numFmtId="177" fontId="92" fillId="0" borderId="6" xfId="0" applyNumberFormat="1" applyFont="1" applyBorder="1"/>
    <xf numFmtId="0" fontId="92" fillId="0" borderId="6" xfId="0" applyFont="1" applyBorder="1"/>
    <xf numFmtId="177" fontId="92" fillId="0" borderId="6" xfId="0" applyNumberFormat="1" applyFont="1" applyBorder="1" applyAlignment="1">
      <alignment horizontal="center"/>
    </xf>
    <xf numFmtId="0" fontId="104" fillId="64" borderId="45" xfId="0" applyFont="1" applyFill="1" applyBorder="1" applyAlignment="1">
      <alignment horizontal="center" vertical="top"/>
    </xf>
    <xf numFmtId="0" fontId="104" fillId="64" borderId="41" xfId="0" applyFont="1" applyFill="1" applyBorder="1" applyAlignment="1">
      <alignment horizontal="center" vertical="top"/>
    </xf>
    <xf numFmtId="0" fontId="104" fillId="64" borderId="46" xfId="0" applyFont="1" applyFill="1" applyBorder="1" applyAlignment="1">
      <alignment horizontal="center" vertical="top"/>
    </xf>
    <xf numFmtId="0" fontId="102" fillId="63" borderId="0" xfId="0" applyFont="1" applyFill="1"/>
    <xf numFmtId="0" fontId="108" fillId="63" borderId="0" xfId="7" applyFont="1" applyFill="1" applyBorder="1" applyAlignment="1" applyProtection="1">
      <alignment wrapText="1"/>
    </xf>
    <xf numFmtId="0" fontId="100" fillId="63" borderId="0" xfId="7" applyFont="1" applyFill="1" applyBorder="1" applyAlignment="1" applyProtection="1">
      <alignment horizontal="right" wrapText="1" indent="1"/>
    </xf>
    <xf numFmtId="164" fontId="91" fillId="63" borderId="0" xfId="0" applyNumberFormat="1" applyFont="1" applyFill="1" applyAlignment="1">
      <alignment horizontal="center" vertical="top"/>
    </xf>
    <xf numFmtId="164" fontId="91" fillId="63" borderId="1" xfId="0" applyNumberFormat="1" applyFont="1" applyFill="1" applyBorder="1" applyAlignment="1">
      <alignment horizontal="center" vertical="top"/>
    </xf>
    <xf numFmtId="188" fontId="92" fillId="64" borderId="0" xfId="0" applyNumberFormat="1" applyFont="1" applyFill="1" applyAlignment="1">
      <alignment horizontal="center" wrapText="1"/>
    </xf>
    <xf numFmtId="0" fontId="92" fillId="64" borderId="65" xfId="0" applyFont="1" applyFill="1" applyBorder="1" applyAlignment="1">
      <alignment horizontal="right"/>
    </xf>
    <xf numFmtId="0" fontId="104" fillId="64" borderId="18" xfId="0" applyFont="1" applyFill="1" applyBorder="1" applyAlignment="1">
      <alignment horizontal="right" vertical="top"/>
    </xf>
    <xf numFmtId="0" fontId="104" fillId="64" borderId="0" xfId="0" quotePrefix="1" applyFont="1" applyFill="1" applyAlignment="1">
      <alignment horizontal="right" vertical="top"/>
    </xf>
    <xf numFmtId="0" fontId="104" fillId="64" borderId="0" xfId="0" applyFont="1" applyFill="1" applyAlignment="1">
      <alignment horizontal="right" vertical="top"/>
    </xf>
    <xf numFmtId="0" fontId="104" fillId="64" borderId="16" xfId="0" applyFont="1" applyFill="1" applyBorder="1" applyAlignment="1">
      <alignment horizontal="right" vertical="top"/>
    </xf>
    <xf numFmtId="0" fontId="104" fillId="64" borderId="15" xfId="0" applyFont="1" applyFill="1" applyBorder="1" applyAlignment="1">
      <alignment horizontal="right" vertical="top"/>
    </xf>
    <xf numFmtId="0" fontId="104" fillId="64" borderId="1" xfId="0" applyFont="1" applyFill="1" applyBorder="1" applyAlignment="1">
      <alignment horizontal="right" vertical="top"/>
    </xf>
    <xf numFmtId="0" fontId="104" fillId="64" borderId="14" xfId="0" applyFont="1" applyFill="1" applyBorder="1" applyAlignment="1">
      <alignment horizontal="right" vertical="top"/>
    </xf>
    <xf numFmtId="0" fontId="94" fillId="64" borderId="110" xfId="8" applyFont="1" applyFill="1" applyBorder="1" applyAlignment="1">
      <alignment horizontal="center" wrapText="1"/>
    </xf>
    <xf numFmtId="44" fontId="95" fillId="64" borderId="110" xfId="6" applyFont="1" applyFill="1" applyBorder="1" applyAlignment="1" applyProtection="1">
      <alignment horizontal="center"/>
    </xf>
    <xf numFmtId="44" fontId="95" fillId="63" borderId="0" xfId="8" applyNumberFormat="1" applyFont="1" applyFill="1"/>
    <xf numFmtId="173" fontId="95" fillId="63" borderId="0" xfId="8" applyNumberFormat="1" applyFont="1" applyFill="1"/>
    <xf numFmtId="0" fontId="107" fillId="64" borderId="60" xfId="0" applyFont="1" applyFill="1" applyBorder="1" applyAlignment="1">
      <alignment horizontal="center" vertical="top"/>
    </xf>
    <xf numFmtId="0" fontId="107" fillId="64" borderId="61" xfId="0" applyFont="1" applyFill="1" applyBorder="1" applyAlignment="1">
      <alignment horizontal="center" vertical="top"/>
    </xf>
    <xf numFmtId="0" fontId="107" fillId="64" borderId="62" xfId="0" applyFont="1" applyFill="1" applyBorder="1" applyAlignment="1">
      <alignment horizontal="center" vertical="top"/>
    </xf>
    <xf numFmtId="0" fontId="102" fillId="72" borderId="0" xfId="33111" applyFont="1" applyFill="1" applyAlignment="1">
      <alignment horizontal="left" vertical="top"/>
    </xf>
    <xf numFmtId="0" fontId="120" fillId="72" borderId="0" xfId="33111" applyFont="1" applyFill="1" applyAlignment="1">
      <alignment horizontal="left" vertical="top" wrapText="1"/>
    </xf>
    <xf numFmtId="166" fontId="120" fillId="0" borderId="0" xfId="8" applyNumberFormat="1" applyFont="1" applyAlignment="1">
      <alignment horizontal="center"/>
    </xf>
    <xf numFmtId="43" fontId="91" fillId="0" borderId="0" xfId="4" applyFont="1" applyFill="1" applyProtection="1"/>
    <xf numFmtId="0" fontId="104" fillId="0" borderId="57" xfId="8" applyFont="1" applyBorder="1" applyAlignment="1">
      <alignment horizontal="left"/>
    </xf>
    <xf numFmtId="175" fontId="92" fillId="0" borderId="0" xfId="0" applyNumberFormat="1" applyFont="1" applyAlignment="1">
      <alignment horizontal="right"/>
    </xf>
    <xf numFmtId="195" fontId="92" fillId="64" borderId="65" xfId="0" applyNumberFormat="1" applyFont="1" applyFill="1" applyBorder="1" applyAlignment="1">
      <alignment horizontal="center"/>
    </xf>
    <xf numFmtId="195" fontId="92" fillId="64" borderId="63" xfId="0" applyNumberFormat="1" applyFont="1" applyFill="1" applyBorder="1" applyAlignment="1">
      <alignment horizontal="center"/>
    </xf>
    <xf numFmtId="0" fontId="107" fillId="64" borderId="40" xfId="0" applyFont="1" applyFill="1" applyBorder="1" applyAlignment="1">
      <alignment horizontal="center" vertical="top"/>
    </xf>
    <xf numFmtId="0" fontId="104" fillId="64" borderId="40" xfId="0" applyFont="1" applyFill="1" applyBorder="1" applyAlignment="1">
      <alignment horizontal="center" vertical="top"/>
    </xf>
    <xf numFmtId="0" fontId="102" fillId="60" borderId="1" xfId="0" applyFont="1" applyFill="1" applyBorder="1"/>
    <xf numFmtId="0" fontId="92" fillId="60" borderId="1" xfId="0" applyFont="1" applyFill="1" applyBorder="1"/>
    <xf numFmtId="0" fontId="92" fillId="60" borderId="1" xfId="0" applyFont="1" applyFill="1" applyBorder="1" applyAlignment="1">
      <alignment horizontal="right"/>
    </xf>
    <xf numFmtId="174" fontId="95" fillId="2" borderId="55" xfId="6" applyNumberFormat="1" applyFont="1" applyFill="1" applyBorder="1" applyProtection="1">
      <protection locked="0"/>
    </xf>
    <xf numFmtId="174" fontId="95" fillId="0" borderId="103" xfId="6" applyNumberFormat="1" applyFont="1" applyBorder="1" applyProtection="1"/>
    <xf numFmtId="174" fontId="95" fillId="0" borderId="102" xfId="8" applyNumberFormat="1" applyFont="1" applyBorder="1"/>
    <xf numFmtId="174" fontId="95" fillId="0" borderId="57" xfId="8" applyNumberFormat="1" applyFont="1" applyBorder="1"/>
    <xf numFmtId="0" fontId="92" fillId="62" borderId="57" xfId="0" applyFont="1" applyFill="1" applyBorder="1"/>
    <xf numFmtId="0" fontId="104" fillId="63" borderId="50" xfId="0" applyFont="1" applyFill="1" applyBorder="1"/>
    <xf numFmtId="0" fontId="100" fillId="63" borderId="50" xfId="7" applyFont="1" applyFill="1" applyBorder="1" applyAlignment="1" applyProtection="1">
      <alignment horizontal="right" wrapText="1" indent="1"/>
    </xf>
    <xf numFmtId="0" fontId="107" fillId="63" borderId="50" xfId="0" applyFont="1" applyFill="1" applyBorder="1" applyAlignment="1">
      <alignment horizontal="center" vertical="top"/>
    </xf>
    <xf numFmtId="172" fontId="91" fillId="0" borderId="55" xfId="0" applyNumberFormat="1" applyFont="1" applyBorder="1" applyAlignment="1">
      <alignment horizontal="right" vertical="top"/>
    </xf>
    <xf numFmtId="190" fontId="148" fillId="0" borderId="55" xfId="11" applyNumberFormat="1" applyFont="1" applyFill="1" applyBorder="1" applyAlignment="1" applyProtection="1">
      <alignment horizontal="center" vertical="top"/>
      <protection locked="0"/>
    </xf>
    <xf numFmtId="164" fontId="96" fillId="4" borderId="55" xfId="11" applyNumberFormat="1" applyFont="1" applyBorder="1" applyAlignment="1" applyProtection="1">
      <alignment horizontal="center" vertical="top"/>
      <protection locked="0"/>
    </xf>
    <xf numFmtId="174" fontId="91" fillId="0" borderId="1" xfId="0" applyNumberFormat="1" applyFont="1" applyBorder="1" applyAlignment="1">
      <alignment horizontal="right" vertical="top"/>
    </xf>
    <xf numFmtId="174" fontId="91" fillId="0" borderId="0" xfId="0" applyNumberFormat="1" applyFont="1" applyAlignment="1">
      <alignment horizontal="right" vertical="top" wrapText="1"/>
    </xf>
    <xf numFmtId="174" fontId="91" fillId="0" borderId="0" xfId="0" quotePrefix="1" applyNumberFormat="1" applyFont="1" applyAlignment="1">
      <alignment horizontal="right" vertical="top"/>
    </xf>
    <xf numFmtId="0" fontId="102" fillId="62" borderId="0" xfId="0" applyFont="1" applyFill="1"/>
    <xf numFmtId="0" fontId="92" fillId="68" borderId="116" xfId="0" applyFont="1" applyFill="1" applyBorder="1" applyAlignment="1">
      <alignment horizontal="right"/>
    </xf>
    <xf numFmtId="174" fontId="91" fillId="2" borderId="47" xfId="0" applyNumberFormat="1" applyFont="1" applyFill="1" applyBorder="1" applyAlignment="1" applyProtection="1">
      <alignment horizontal="right" vertical="top"/>
      <protection locked="0"/>
    </xf>
    <xf numFmtId="211" fontId="91" fillId="0" borderId="1" xfId="33110" applyNumberFormat="1" applyFont="1" applyFill="1" applyBorder="1"/>
    <xf numFmtId="211" fontId="91" fillId="0" borderId="47" xfId="33110" applyNumberFormat="1" applyFont="1" applyFill="1" applyBorder="1"/>
    <xf numFmtId="211" fontId="91" fillId="0" borderId="52" xfId="33110" applyNumberFormat="1" applyFont="1" applyFill="1" applyBorder="1"/>
    <xf numFmtId="174" fontId="96" fillId="4" borderId="55" xfId="11" applyNumberFormat="1" applyFont="1" applyBorder="1" applyAlignment="1" applyProtection="1">
      <alignment horizontal="center" vertical="top"/>
      <protection locked="0"/>
    </xf>
    <xf numFmtId="175" fontId="96" fillId="4" borderId="55" xfId="11" applyNumberFormat="1" applyFont="1" applyBorder="1" applyAlignment="1" applyProtection="1">
      <alignment horizontal="center" vertical="top"/>
      <protection locked="0"/>
    </xf>
    <xf numFmtId="174" fontId="96" fillId="2" borderId="55" xfId="11" applyNumberFormat="1" applyFont="1" applyFill="1" applyBorder="1" applyAlignment="1" applyProtection="1">
      <alignment horizontal="center" vertical="top"/>
      <protection locked="0"/>
    </xf>
    <xf numFmtId="187" fontId="96" fillId="4" borderId="3" xfId="11" applyNumberFormat="1" applyFont="1" applyAlignment="1" applyProtection="1">
      <alignment horizontal="right"/>
      <protection locked="0"/>
    </xf>
    <xf numFmtId="212" fontId="96" fillId="4" borderId="55" xfId="11" applyNumberFormat="1" applyFont="1" applyBorder="1" applyAlignment="1" applyProtection="1">
      <alignment horizontal="center"/>
      <protection locked="0"/>
    </xf>
    <xf numFmtId="212" fontId="96" fillId="4" borderId="66" xfId="11" applyNumberFormat="1" applyFont="1" applyBorder="1" applyAlignment="1" applyProtection="1">
      <alignment horizontal="center"/>
      <protection locked="0"/>
    </xf>
    <xf numFmtId="190" fontId="96" fillId="4" borderId="3" xfId="11" applyNumberFormat="1" applyFont="1" applyAlignment="1" applyProtection="1">
      <alignment horizontal="center"/>
      <protection locked="0"/>
    </xf>
    <xf numFmtId="213" fontId="96" fillId="4" borderId="3" xfId="11" applyNumberFormat="1" applyFont="1" applyAlignment="1" applyProtection="1">
      <alignment horizontal="center"/>
      <protection locked="0"/>
    </xf>
    <xf numFmtId="214" fontId="96" fillId="4" borderId="3" xfId="11" applyNumberFormat="1" applyFont="1" applyAlignment="1" applyProtection="1">
      <alignment horizontal="center"/>
      <protection locked="0"/>
    </xf>
    <xf numFmtId="215" fontId="96" fillId="4" borderId="3" xfId="11" applyNumberFormat="1" applyFont="1" applyAlignment="1" applyProtection="1">
      <alignment horizontal="center"/>
      <protection locked="0"/>
    </xf>
    <xf numFmtId="174" fontId="92" fillId="0" borderId="65" xfId="0" applyNumberFormat="1" applyFont="1" applyBorder="1" applyAlignment="1">
      <alignment horizontal="right"/>
    </xf>
    <xf numFmtId="172" fontId="90" fillId="0" borderId="103" xfId="0" applyNumberFormat="1" applyFont="1" applyBorder="1" applyAlignment="1">
      <alignment horizontal="right" vertical="top"/>
    </xf>
    <xf numFmtId="172" fontId="90" fillId="0" borderId="55" xfId="0" applyNumberFormat="1" applyFont="1" applyBorder="1" applyAlignment="1">
      <alignment horizontal="right" vertical="top"/>
    </xf>
    <xf numFmtId="172" fontId="96" fillId="2" borderId="0" xfId="0" applyNumberFormat="1" applyFont="1" applyFill="1" applyAlignment="1" applyProtection="1">
      <alignment horizontal="right" vertical="top"/>
      <protection locked="0"/>
    </xf>
    <xf numFmtId="172" fontId="101" fillId="2" borderId="0" xfId="0" applyNumberFormat="1" applyFont="1" applyFill="1" applyAlignment="1" applyProtection="1">
      <alignment horizontal="right" vertical="top"/>
      <protection locked="0"/>
    </xf>
    <xf numFmtId="172" fontId="92" fillId="3" borderId="112" xfId="13330" applyNumberFormat="1" applyFont="1" applyFill="1" applyBorder="1" applyAlignment="1">
      <alignment horizontal="right" vertical="top"/>
    </xf>
    <xf numFmtId="172" fontId="96" fillId="2" borderId="103" xfId="0" applyNumberFormat="1" applyFont="1" applyFill="1" applyBorder="1" applyAlignment="1" applyProtection="1">
      <alignment horizontal="right" vertical="top"/>
      <protection locked="0"/>
    </xf>
    <xf numFmtId="9" fontId="101" fillId="2" borderId="55" xfId="9" applyFont="1" applyFill="1" applyBorder="1" applyAlignment="1" applyProtection="1">
      <alignment horizontal="right" vertical="top"/>
      <protection locked="0"/>
    </xf>
    <xf numFmtId="0" fontId="91" fillId="3" borderId="0" xfId="0" applyFont="1" applyFill="1" applyAlignment="1">
      <alignment horizontal="right"/>
    </xf>
    <xf numFmtId="1" fontId="96" fillId="2" borderId="112" xfId="0" applyNumberFormat="1" applyFont="1" applyFill="1" applyBorder="1" applyAlignment="1" applyProtection="1">
      <alignment horizontal="center" vertical="top"/>
      <protection locked="0"/>
    </xf>
    <xf numFmtId="0" fontId="95" fillId="0" borderId="102" xfId="0" applyFont="1" applyBorder="1"/>
    <xf numFmtId="0" fontId="95" fillId="0" borderId="55" xfId="8" applyFont="1" applyBorder="1"/>
    <xf numFmtId="0" fontId="95" fillId="0" borderId="55" xfId="0" applyFont="1" applyBorder="1"/>
    <xf numFmtId="0" fontId="91" fillId="0" borderId="55" xfId="0" applyFont="1" applyBorder="1"/>
    <xf numFmtId="0" fontId="95" fillId="0" borderId="103" xfId="8" applyFont="1" applyBorder="1"/>
    <xf numFmtId="174" fontId="95" fillId="0" borderId="103" xfId="8" applyNumberFormat="1" applyFont="1" applyBorder="1"/>
    <xf numFmtId="172" fontId="116" fillId="2" borderId="103" xfId="6" applyNumberFormat="1" applyFont="1" applyFill="1" applyBorder="1" applyProtection="1">
      <protection locked="0"/>
    </xf>
    <xf numFmtId="172" fontId="116" fillId="2" borderId="112" xfId="6" applyNumberFormat="1" applyFont="1" applyFill="1" applyBorder="1" applyAlignment="1" applyProtection="1">
      <protection locked="0"/>
    </xf>
    <xf numFmtId="0" fontId="94" fillId="0" borderId="118" xfId="8" applyFont="1" applyBorder="1" applyAlignment="1">
      <alignment horizontal="center" wrapText="1"/>
    </xf>
    <xf numFmtId="0" fontId="94" fillId="0" borderId="119" xfId="8" quotePrefix="1" applyFont="1" applyBorder="1" applyAlignment="1">
      <alignment horizontal="center" wrapText="1"/>
    </xf>
    <xf numFmtId="0" fontId="94" fillId="64" borderId="119" xfId="8" applyFont="1" applyFill="1" applyBorder="1" applyAlignment="1">
      <alignment horizontal="center" wrapText="1"/>
    </xf>
    <xf numFmtId="44" fontId="94" fillId="64" borderId="119" xfId="6" applyFont="1" applyFill="1" applyBorder="1" applyAlignment="1" applyProtection="1">
      <alignment horizontal="center"/>
    </xf>
    <xf numFmtId="44" fontId="94" fillId="66" borderId="119" xfId="6" applyFont="1" applyFill="1" applyBorder="1" applyAlignment="1" applyProtection="1">
      <alignment horizontal="center"/>
    </xf>
    <xf numFmtId="44" fontId="94" fillId="66" borderId="120" xfId="6" applyFont="1" applyFill="1" applyBorder="1" applyAlignment="1" applyProtection="1">
      <alignment horizontal="center"/>
    </xf>
    <xf numFmtId="174" fontId="95" fillId="0" borderId="66" xfId="8" applyNumberFormat="1" applyFont="1" applyBorder="1"/>
    <xf numFmtId="174" fontId="116" fillId="2" borderId="66" xfId="6" quotePrefix="1" applyNumberFormat="1" applyFont="1" applyFill="1" applyBorder="1" applyProtection="1">
      <protection locked="0"/>
    </xf>
    <xf numFmtId="174" fontId="116" fillId="2" borderId="66" xfId="6" applyNumberFormat="1" applyFont="1" applyFill="1" applyBorder="1" applyProtection="1">
      <protection locked="0"/>
    </xf>
    <xf numFmtId="0" fontId="94" fillId="63" borderId="65" xfId="8" applyFont="1" applyFill="1" applyBorder="1"/>
    <xf numFmtId="0" fontId="94" fillId="63" borderId="117" xfId="8" applyFont="1" applyFill="1" applyBorder="1" applyAlignment="1">
      <alignment horizontal="center" wrapText="1"/>
    </xf>
    <xf numFmtId="44" fontId="94" fillId="63" borderId="117" xfId="6" applyFont="1" applyFill="1" applyBorder="1" applyAlignment="1" applyProtection="1">
      <alignment horizontal="center"/>
    </xf>
    <xf numFmtId="0" fontId="94" fillId="60" borderId="65" xfId="8" applyFont="1" applyFill="1" applyBorder="1"/>
    <xf numFmtId="0" fontId="95" fillId="60" borderId="65" xfId="8" applyFont="1" applyFill="1" applyBorder="1"/>
    <xf numFmtId="44" fontId="95" fillId="60" borderId="65" xfId="6" applyFont="1" applyFill="1" applyBorder="1" applyProtection="1"/>
    <xf numFmtId="0" fontId="91" fillId="2" borderId="103" xfId="0" applyFont="1" applyFill="1" applyBorder="1" applyAlignment="1">
      <alignment horizontal="center" vertical="top"/>
    </xf>
    <xf numFmtId="0" fontId="91" fillId="2" borderId="55" xfId="0" applyFont="1" applyFill="1" applyBorder="1" applyAlignment="1">
      <alignment horizontal="center" vertical="top"/>
    </xf>
    <xf numFmtId="0" fontId="91" fillId="2" borderId="112" xfId="0" applyFont="1" applyFill="1" applyBorder="1" applyAlignment="1">
      <alignment horizontal="center" vertical="top"/>
    </xf>
    <xf numFmtId="172" fontId="91" fillId="2" borderId="55" xfId="0" applyNumberFormat="1" applyFont="1" applyFill="1" applyBorder="1" applyAlignment="1">
      <alignment horizontal="center" vertical="top"/>
    </xf>
    <xf numFmtId="0" fontId="96" fillId="2" borderId="55" xfId="0" applyFont="1" applyFill="1" applyBorder="1" applyProtection="1">
      <protection locked="0"/>
    </xf>
    <xf numFmtId="175" fontId="96" fillId="2" borderId="55" xfId="0" applyNumberFormat="1" applyFont="1" applyFill="1" applyBorder="1" applyProtection="1">
      <protection locked="0"/>
    </xf>
    <xf numFmtId="0" fontId="96" fillId="2" borderId="112" xfId="0" applyFont="1" applyFill="1" applyBorder="1" applyProtection="1">
      <protection locked="0"/>
    </xf>
    <xf numFmtId="175" fontId="96" fillId="2" borderId="112" xfId="0" applyNumberFormat="1" applyFont="1" applyFill="1" applyBorder="1" applyProtection="1">
      <protection locked="0"/>
    </xf>
    <xf numFmtId="174" fontId="96" fillId="2" borderId="103" xfId="0" applyNumberFormat="1" applyFont="1" applyFill="1" applyBorder="1" applyProtection="1">
      <protection locked="0"/>
    </xf>
    <xf numFmtId="0" fontId="92" fillId="0" borderId="65" xfId="0" applyFont="1" applyBorder="1"/>
    <xf numFmtId="0" fontId="91" fillId="3" borderId="121" xfId="0" applyFont="1" applyFill="1" applyBorder="1"/>
    <xf numFmtId="0" fontId="91" fillId="3" borderId="122" xfId="0" applyFont="1" applyFill="1" applyBorder="1"/>
    <xf numFmtId="0" fontId="91" fillId="0" borderId="59" xfId="0" applyFont="1" applyBorder="1" applyAlignment="1">
      <alignment horizontal="left" indent="1"/>
    </xf>
    <xf numFmtId="0" fontId="92" fillId="63" borderId="57" xfId="0" applyFont="1" applyFill="1" applyBorder="1" applyAlignment="1">
      <alignment horizontal="right"/>
    </xf>
    <xf numFmtId="0" fontId="92" fillId="63" borderId="57" xfId="0" applyFont="1" applyFill="1" applyBorder="1" applyAlignment="1">
      <alignment horizontal="right" wrapText="1"/>
    </xf>
    <xf numFmtId="0" fontId="129" fillId="0" borderId="124" xfId="0" applyFont="1" applyBorder="1" applyAlignment="1">
      <alignment horizontal="left" indent="1"/>
    </xf>
    <xf numFmtId="0" fontId="96" fillId="2" borderId="52" xfId="0" applyFont="1" applyFill="1" applyBorder="1" applyAlignment="1" applyProtection="1">
      <alignment horizontal="center"/>
      <protection locked="0"/>
    </xf>
    <xf numFmtId="49" fontId="96" fillId="2" borderId="52" xfId="0" applyNumberFormat="1" applyFont="1" applyFill="1" applyBorder="1" applyAlignment="1" applyProtection="1">
      <alignment horizontal="center"/>
      <protection locked="0"/>
    </xf>
    <xf numFmtId="172" fontId="96" fillId="2" borderId="52" xfId="0" applyNumberFormat="1" applyFont="1" applyFill="1" applyBorder="1" applyProtection="1">
      <protection locked="0"/>
    </xf>
    <xf numFmtId="194" fontId="96" fillId="2" borderId="125" xfId="0" applyNumberFormat="1" applyFont="1" applyFill="1" applyBorder="1" applyAlignment="1" applyProtection="1">
      <alignment horizontal="center"/>
      <protection locked="0"/>
    </xf>
    <xf numFmtId="173" fontId="96" fillId="2" borderId="126" xfId="0" applyNumberFormat="1" applyFont="1" applyFill="1" applyBorder="1" applyAlignment="1" applyProtection="1">
      <alignment horizontal="center"/>
      <protection locked="0"/>
    </xf>
    <xf numFmtId="0" fontId="92" fillId="63" borderId="65" xfId="0" applyFont="1" applyFill="1" applyBorder="1"/>
    <xf numFmtId="0" fontId="91" fillId="63" borderId="65" xfId="0" applyFont="1" applyFill="1" applyBorder="1"/>
    <xf numFmtId="172" fontId="91" fillId="0" borderId="50" xfId="0" applyNumberFormat="1" applyFont="1" applyBorder="1"/>
    <xf numFmtId="174" fontId="90" fillId="0" borderId="67" xfId="0" applyNumberFormat="1" applyFont="1" applyBorder="1"/>
    <xf numFmtId="172" fontId="96" fillId="2" borderId="67" xfId="0" applyNumberFormat="1" applyFont="1" applyFill="1" applyBorder="1" applyProtection="1">
      <protection locked="0"/>
    </xf>
    <xf numFmtId="172" fontId="96" fillId="0" borderId="67" xfId="0" applyNumberFormat="1" applyFont="1" applyBorder="1" applyProtection="1">
      <protection locked="0"/>
    </xf>
    <xf numFmtId="172" fontId="96" fillId="2" borderId="127" xfId="0" applyNumberFormat="1" applyFont="1" applyFill="1" applyBorder="1" applyProtection="1">
      <protection locked="0"/>
    </xf>
    <xf numFmtId="172" fontId="90" fillId="0" borderId="121" xfId="0" applyNumberFormat="1" applyFont="1" applyBorder="1"/>
    <xf numFmtId="0" fontId="92" fillId="64" borderId="59" xfId="0" applyFont="1" applyFill="1" applyBorder="1" applyAlignment="1">
      <alignment horizontal="right"/>
    </xf>
    <xf numFmtId="195" fontId="92" fillId="64" borderId="57" xfId="0" applyNumberFormat="1" applyFont="1" applyFill="1" applyBorder="1" applyAlignment="1">
      <alignment horizontal="right"/>
    </xf>
    <xf numFmtId="195" fontId="92" fillId="64" borderId="58" xfId="0" applyNumberFormat="1" applyFont="1" applyFill="1" applyBorder="1" applyAlignment="1">
      <alignment horizontal="right"/>
    </xf>
    <xf numFmtId="0" fontId="92" fillId="64" borderId="57" xfId="0" applyFont="1" applyFill="1" applyBorder="1" applyAlignment="1">
      <alignment horizontal="right"/>
    </xf>
    <xf numFmtId="0" fontId="92" fillId="64" borderId="58" xfId="0" applyFont="1" applyFill="1" applyBorder="1" applyAlignment="1">
      <alignment horizontal="right"/>
    </xf>
    <xf numFmtId="0" fontId="95" fillId="0" borderId="121" xfId="8" applyFont="1" applyBorder="1"/>
    <xf numFmtId="0" fontId="95" fillId="0" borderId="67" xfId="8" applyFont="1" applyBorder="1"/>
    <xf numFmtId="0" fontId="95" fillId="0" borderId="127" xfId="8" applyFont="1" applyBorder="1"/>
    <xf numFmtId="0" fontId="94" fillId="0" borderId="65" xfId="8" applyFont="1" applyBorder="1"/>
    <xf numFmtId="174" fontId="94" fillId="0" borderId="65" xfId="8" applyNumberFormat="1" applyFont="1" applyBorder="1"/>
    <xf numFmtId="174" fontId="94" fillId="0" borderId="65" xfId="6" applyNumberFormat="1" applyFont="1" applyBorder="1" applyProtection="1"/>
    <xf numFmtId="0" fontId="111" fillId="0" borderId="14" xfId="0" applyFont="1" applyBorder="1"/>
    <xf numFmtId="174" fontId="94" fillId="0" borderId="53" xfId="6" applyNumberFormat="1" applyFont="1" applyBorder="1" applyProtection="1"/>
    <xf numFmtId="175" fontId="95" fillId="0" borderId="66" xfId="6" applyNumberFormat="1" applyFont="1" applyFill="1" applyBorder="1" applyProtection="1"/>
    <xf numFmtId="0" fontId="129" fillId="0" borderId="0" xfId="0" applyFont="1" applyAlignment="1">
      <alignment horizontal="left" vertical="center" indent="1"/>
    </xf>
    <xf numFmtId="190" fontId="101" fillId="4" borderId="55" xfId="11" applyNumberFormat="1" applyFont="1" applyBorder="1" applyAlignment="1" applyProtection="1">
      <alignment horizontal="center"/>
      <protection locked="0"/>
    </xf>
    <xf numFmtId="172" fontId="101" fillId="4" borderId="55" xfId="11" applyNumberFormat="1" applyFont="1" applyBorder="1" applyAlignment="1" applyProtection="1">
      <alignment horizontal="center" vertical="top"/>
      <protection locked="0"/>
    </xf>
    <xf numFmtId="174" fontId="101" fillId="4" borderId="55" xfId="11" applyNumberFormat="1" applyFont="1" applyBorder="1" applyAlignment="1" applyProtection="1">
      <alignment horizontal="center" vertical="top"/>
      <protection locked="0"/>
    </xf>
    <xf numFmtId="173" fontId="101" fillId="4" borderId="55" xfId="11" applyNumberFormat="1" applyFont="1" applyBorder="1" applyAlignment="1" applyProtection="1">
      <alignment horizontal="center" vertical="top"/>
      <protection locked="0"/>
    </xf>
    <xf numFmtId="210" fontId="101" fillId="4" borderId="55" xfId="11" applyNumberFormat="1" applyFont="1" applyBorder="1" applyAlignment="1" applyProtection="1">
      <alignment horizontal="center" vertical="top"/>
      <protection locked="0"/>
    </xf>
    <xf numFmtId="187" fontId="101" fillId="4" borderId="55" xfId="11" applyNumberFormat="1" applyFont="1" applyBorder="1" applyAlignment="1" applyProtection="1">
      <alignment horizontal="center" vertical="top"/>
      <protection locked="0"/>
    </xf>
    <xf numFmtId="172" fontId="96" fillId="0" borderId="127" xfId="0" applyNumberFormat="1" applyFont="1" applyBorder="1" applyProtection="1">
      <protection locked="0"/>
    </xf>
    <xf numFmtId="172" fontId="96" fillId="0" borderId="102" xfId="0" applyNumberFormat="1" applyFont="1" applyBorder="1" applyProtection="1">
      <protection locked="0"/>
    </xf>
    <xf numFmtId="172" fontId="96" fillId="2" borderId="121" xfId="0" applyNumberFormat="1" applyFont="1" applyFill="1" applyBorder="1" applyProtection="1">
      <protection locked="0"/>
    </xf>
    <xf numFmtId="172" fontId="96" fillId="2" borderId="103" xfId="0" applyNumberFormat="1" applyFont="1" applyFill="1" applyBorder="1" applyProtection="1">
      <protection locked="0"/>
    </xf>
    <xf numFmtId="172" fontId="90" fillId="0" borderId="127" xfId="0" applyNumberFormat="1" applyFont="1" applyBorder="1" applyProtection="1">
      <protection locked="0"/>
    </xf>
    <xf numFmtId="172" fontId="90" fillId="0" borderId="102" xfId="0" applyNumberFormat="1" applyFont="1" applyBorder="1" applyProtection="1">
      <protection locked="0"/>
    </xf>
    <xf numFmtId="174" fontId="96" fillId="2" borderId="121" xfId="0" applyNumberFormat="1" applyFont="1" applyFill="1" applyBorder="1" applyProtection="1">
      <protection locked="0"/>
    </xf>
    <xf numFmtId="196" fontId="96" fillId="2" borderId="75" xfId="0" applyNumberFormat="1" applyFont="1" applyFill="1" applyBorder="1" applyProtection="1">
      <protection locked="0"/>
    </xf>
    <xf numFmtId="172" fontId="91" fillId="0" borderId="75" xfId="0" applyNumberFormat="1" applyFont="1" applyBorder="1"/>
    <xf numFmtId="0" fontId="114" fillId="0" borderId="0" xfId="0" applyFont="1" applyAlignment="1">
      <alignment horizontal="center" vertical="center"/>
    </xf>
    <xf numFmtId="172" fontId="91" fillId="2" borderId="103" xfId="0" applyNumberFormat="1" applyFont="1" applyFill="1" applyBorder="1" applyAlignment="1">
      <alignment horizontal="center" vertical="top"/>
    </xf>
    <xf numFmtId="0" fontId="92" fillId="64" borderId="59" xfId="0" applyFont="1" applyFill="1" applyBorder="1"/>
    <xf numFmtId="0" fontId="91" fillId="64" borderId="57" xfId="0" applyFont="1" applyFill="1" applyBorder="1"/>
    <xf numFmtId="0" fontId="91" fillId="64" borderId="58" xfId="0" applyFont="1" applyFill="1" applyBorder="1"/>
    <xf numFmtId="0" fontId="92" fillId="64" borderId="65" xfId="0" applyFont="1" applyFill="1" applyBorder="1" applyAlignment="1">
      <alignment horizontal="center"/>
    </xf>
    <xf numFmtId="0" fontId="92" fillId="64" borderId="63" xfId="0" applyFont="1" applyFill="1" applyBorder="1" applyAlignment="1">
      <alignment horizontal="center"/>
    </xf>
    <xf numFmtId="0" fontId="104" fillId="64" borderId="60" xfId="0" applyFont="1" applyFill="1" applyBorder="1" applyAlignment="1">
      <alignment horizontal="center" vertical="top"/>
    </xf>
    <xf numFmtId="0" fontId="104" fillId="64" borderId="60" xfId="0" quotePrefix="1" applyFont="1" applyFill="1" applyBorder="1" applyAlignment="1">
      <alignment horizontal="center" vertical="top"/>
    </xf>
    <xf numFmtId="0" fontId="104" fillId="64" borderId="61" xfId="0" applyFont="1" applyFill="1" applyBorder="1" applyAlignment="1">
      <alignment horizontal="center" vertical="top"/>
    </xf>
    <xf numFmtId="0" fontId="104" fillId="64" borderId="62" xfId="0" applyFont="1" applyFill="1" applyBorder="1" applyAlignment="1">
      <alignment horizontal="center" vertical="top"/>
    </xf>
    <xf numFmtId="0" fontId="129" fillId="0" borderId="0" xfId="0" applyFont="1" applyAlignment="1">
      <alignment horizontal="center" vertical="center"/>
    </xf>
    <xf numFmtId="0" fontId="96" fillId="2" borderId="66" xfId="0" applyFont="1" applyFill="1" applyBorder="1" applyAlignment="1" applyProtection="1">
      <alignment horizontal="center" vertical="center"/>
      <protection locked="0"/>
    </xf>
    <xf numFmtId="172" fontId="96" fillId="2" borderId="68" xfId="0" applyNumberFormat="1" applyFont="1" applyFill="1" applyBorder="1" applyAlignment="1" applyProtection="1">
      <alignment horizontal="center" vertical="center"/>
      <protection locked="0"/>
    </xf>
    <xf numFmtId="172" fontId="96" fillId="2" borderId="71" xfId="0" applyNumberFormat="1" applyFont="1" applyFill="1" applyBorder="1" applyAlignment="1" applyProtection="1">
      <alignment horizontal="center" vertical="center"/>
      <protection locked="0"/>
    </xf>
    <xf numFmtId="172" fontId="96" fillId="2" borderId="72" xfId="0" applyNumberFormat="1" applyFont="1" applyFill="1" applyBorder="1" applyAlignment="1" applyProtection="1">
      <alignment horizontal="center" vertical="center"/>
      <protection locked="0"/>
    </xf>
    <xf numFmtId="0" fontId="92" fillId="0" borderId="5" xfId="0" applyFont="1" applyBorder="1"/>
    <xf numFmtId="174" fontId="92" fillId="0" borderId="6" xfId="0" applyNumberFormat="1" applyFont="1" applyBorder="1" applyAlignment="1">
      <alignment horizontal="right"/>
    </xf>
    <xf numFmtId="0" fontId="96" fillId="0" borderId="50" xfId="0" applyFont="1" applyBorder="1" applyAlignment="1" applyProtection="1">
      <alignment vertical="center"/>
      <protection locked="0"/>
    </xf>
    <xf numFmtId="172" fontId="96" fillId="0" borderId="50" xfId="0" applyNumberFormat="1" applyFont="1" applyBorder="1" applyProtection="1">
      <protection locked="0"/>
    </xf>
    <xf numFmtId="0" fontId="90" fillId="0" borderId="50" xfId="0" applyFont="1" applyBorder="1" applyAlignment="1" applyProtection="1">
      <alignment vertical="center"/>
      <protection locked="0"/>
    </xf>
    <xf numFmtId="174" fontId="96" fillId="2" borderId="128" xfId="0" applyNumberFormat="1" applyFont="1" applyFill="1" applyBorder="1" applyProtection="1">
      <protection locked="0"/>
    </xf>
    <xf numFmtId="172" fontId="96" fillId="2" borderId="74" xfId="0" applyNumberFormat="1" applyFont="1" applyFill="1" applyBorder="1" applyProtection="1">
      <protection locked="0"/>
    </xf>
    <xf numFmtId="172" fontId="96" fillId="0" borderId="74" xfId="0" applyNumberFormat="1" applyFont="1" applyBorder="1" applyProtection="1">
      <protection locked="0"/>
    </xf>
    <xf numFmtId="172" fontId="96" fillId="0" borderId="129" xfId="0" applyNumberFormat="1" applyFont="1" applyBorder="1" applyProtection="1">
      <protection locked="0"/>
    </xf>
    <xf numFmtId="172" fontId="96" fillId="2" borderId="128" xfId="0" applyNumberFormat="1" applyFont="1" applyFill="1" applyBorder="1" applyProtection="1">
      <protection locked="0"/>
    </xf>
    <xf numFmtId="172" fontId="96" fillId="2" borderId="130" xfId="0" applyNumberFormat="1" applyFont="1" applyFill="1" applyBorder="1" applyProtection="1">
      <protection locked="0"/>
    </xf>
    <xf numFmtId="0" fontId="91" fillId="2" borderId="47" xfId="0" quotePrefix="1" applyFont="1" applyFill="1" applyBorder="1" applyProtection="1">
      <protection locked="0"/>
    </xf>
    <xf numFmtId="0" fontId="92" fillId="0" borderId="57" xfId="0" applyFont="1" applyBorder="1" applyAlignment="1">
      <alignment horizontal="left" wrapText="1"/>
    </xf>
    <xf numFmtId="172" fontId="92" fillId="0" borderId="57" xfId="0" quotePrefix="1" applyNumberFormat="1" applyFont="1" applyBorder="1" applyAlignment="1">
      <alignment horizontal="right"/>
    </xf>
    <xf numFmtId="0" fontId="0" fillId="0" borderId="55" xfId="0" applyBorder="1"/>
    <xf numFmtId="0" fontId="96" fillId="2" borderId="50" xfId="0" applyFont="1" applyFill="1" applyBorder="1" applyAlignment="1" applyProtection="1">
      <alignment horizontal="center"/>
      <protection locked="0"/>
    </xf>
    <xf numFmtId="49" fontId="96" fillId="2" borderId="50" xfId="0" applyNumberFormat="1" applyFont="1" applyFill="1" applyBorder="1" applyAlignment="1" applyProtection="1">
      <alignment horizontal="center"/>
      <protection locked="0"/>
    </xf>
    <xf numFmtId="173" fontId="96" fillId="2" borderId="131" xfId="0" applyNumberFormat="1" applyFont="1" applyFill="1" applyBorder="1" applyAlignment="1" applyProtection="1">
      <alignment horizontal="center"/>
      <protection locked="0"/>
    </xf>
    <xf numFmtId="172" fontId="91" fillId="3" borderId="57" xfId="0" applyNumberFormat="1" applyFont="1" applyFill="1" applyBorder="1"/>
    <xf numFmtId="194" fontId="91" fillId="3" borderId="57" xfId="0" quotePrefix="1" applyNumberFormat="1" applyFont="1" applyFill="1" applyBorder="1" applyAlignment="1">
      <alignment horizontal="center"/>
    </xf>
    <xf numFmtId="0" fontId="129" fillId="0" borderId="123" xfId="0" applyFont="1" applyBorder="1" applyAlignment="1">
      <alignment horizontal="left" indent="1"/>
    </xf>
    <xf numFmtId="0" fontId="91" fillId="2" borderId="47" xfId="0" applyFont="1" applyFill="1" applyBorder="1" applyAlignment="1" applyProtection="1">
      <alignment wrapText="1"/>
      <protection locked="0"/>
    </xf>
    <xf numFmtId="0" fontId="96" fillId="2" borderId="128" xfId="0" applyFont="1" applyFill="1" applyBorder="1" applyAlignment="1" applyProtection="1">
      <alignment horizontal="center" vertical="center"/>
      <protection locked="0"/>
    </xf>
    <xf numFmtId="0" fontId="96" fillId="2" borderId="103" xfId="0" applyFont="1" applyFill="1" applyBorder="1" applyAlignment="1" applyProtection="1">
      <alignment horizontal="center" vertical="center"/>
      <protection locked="0"/>
    </xf>
    <xf numFmtId="0" fontId="96" fillId="2" borderId="132" xfId="0" applyFont="1" applyFill="1" applyBorder="1" applyAlignment="1" applyProtection="1">
      <alignment horizontal="center" vertical="center"/>
      <protection locked="0"/>
    </xf>
    <xf numFmtId="0" fontId="96" fillId="2" borderId="74" xfId="0" applyFont="1" applyFill="1" applyBorder="1" applyAlignment="1" applyProtection="1">
      <alignment horizontal="center" vertical="center"/>
      <protection locked="0"/>
    </xf>
    <xf numFmtId="0" fontId="96" fillId="2" borderId="130" xfId="0" applyFont="1" applyFill="1" applyBorder="1" applyAlignment="1" applyProtection="1">
      <alignment horizontal="center" vertical="center"/>
      <protection locked="0"/>
    </xf>
    <xf numFmtId="0" fontId="96" fillId="2" borderId="112" xfId="0" applyFont="1" applyFill="1" applyBorder="1" applyAlignment="1" applyProtection="1">
      <alignment horizontal="center" vertical="center"/>
      <protection locked="0"/>
    </xf>
    <xf numFmtId="0" fontId="107" fillId="3" borderId="0" xfId="0" applyFont="1" applyFill="1"/>
    <xf numFmtId="0" fontId="91" fillId="0" borderId="0" xfId="0" applyFont="1" applyAlignment="1">
      <alignment horizontal="right" vertical="top"/>
    </xf>
    <xf numFmtId="0" fontId="149" fillId="2" borderId="103" xfId="0" applyFont="1" applyFill="1" applyBorder="1" applyProtection="1">
      <protection locked="0"/>
    </xf>
    <xf numFmtId="174" fontId="96" fillId="4" borderId="55" xfId="11" applyNumberFormat="1" applyFont="1" applyBorder="1" applyAlignment="1" applyProtection="1">
      <alignment horizontal="right" vertical="center"/>
      <protection locked="0"/>
    </xf>
    <xf numFmtId="0" fontId="106" fillId="0" borderId="57" xfId="0" applyFont="1" applyBorder="1"/>
    <xf numFmtId="0" fontId="104" fillId="72" borderId="0" xfId="0" applyFont="1" applyFill="1"/>
    <xf numFmtId="174" fontId="104" fillId="72" borderId="0" xfId="0" applyNumberFormat="1" applyFont="1" applyFill="1" applyAlignment="1">
      <alignment horizontal="right"/>
    </xf>
    <xf numFmtId="0" fontId="104" fillId="72" borderId="0" xfId="0" applyFont="1" applyFill="1" applyAlignment="1">
      <alignment horizontal="right"/>
    </xf>
    <xf numFmtId="164" fontId="104" fillId="72" borderId="0" xfId="0" applyNumberFormat="1" applyFont="1" applyFill="1" applyAlignment="1">
      <alignment horizontal="right"/>
    </xf>
    <xf numFmtId="0" fontId="150" fillId="61" borderId="1" xfId="0" applyFont="1" applyFill="1" applyBorder="1"/>
    <xf numFmtId="0" fontId="151" fillId="61" borderId="1" xfId="0" applyFont="1" applyFill="1" applyBorder="1"/>
    <xf numFmtId="0" fontId="61" fillId="61" borderId="1" xfId="0" applyFont="1" applyFill="1" applyBorder="1"/>
    <xf numFmtId="195" fontId="61" fillId="61" borderId="1" xfId="0" applyNumberFormat="1" applyFont="1" applyFill="1" applyBorder="1"/>
    <xf numFmtId="0" fontId="150" fillId="60" borderId="1" xfId="0" applyFont="1" applyFill="1" applyBorder="1"/>
    <xf numFmtId="164" fontId="61" fillId="60" borderId="1" xfId="0" applyNumberFormat="1" applyFont="1" applyFill="1" applyBorder="1" applyAlignment="1">
      <alignment horizontal="center" vertical="top"/>
    </xf>
    <xf numFmtId="165" fontId="61" fillId="60" borderId="1" xfId="0" applyNumberFormat="1" applyFont="1" applyFill="1" applyBorder="1"/>
    <xf numFmtId="165" fontId="61" fillId="60" borderId="1" xfId="0" applyNumberFormat="1" applyFont="1" applyFill="1" applyBorder="1" applyAlignment="1">
      <alignment horizontal="right"/>
    </xf>
    <xf numFmtId="195" fontId="61" fillId="60" borderId="1" xfId="0" applyNumberFormat="1" applyFont="1" applyFill="1" applyBorder="1" applyAlignment="1">
      <alignment horizontal="right"/>
    </xf>
    <xf numFmtId="0" fontId="150" fillId="63" borderId="1" xfId="0" applyFont="1" applyFill="1" applyBorder="1"/>
    <xf numFmtId="164" fontId="61" fillId="63" borderId="1" xfId="0" applyNumberFormat="1" applyFont="1" applyFill="1" applyBorder="1" applyAlignment="1">
      <alignment horizontal="center" vertical="top"/>
    </xf>
    <xf numFmtId="164" fontId="61" fillId="63" borderId="1" xfId="0" quotePrefix="1" applyNumberFormat="1" applyFont="1" applyFill="1" applyBorder="1" applyAlignment="1">
      <alignment horizontal="center" vertical="top"/>
    </xf>
    <xf numFmtId="165" fontId="61" fillId="63" borderId="1" xfId="0" applyNumberFormat="1" applyFont="1" applyFill="1" applyBorder="1" applyAlignment="1">
      <alignment horizontal="right"/>
    </xf>
    <xf numFmtId="195" fontId="61" fillId="63" borderId="1" xfId="0" applyNumberFormat="1" applyFont="1" applyFill="1" applyBorder="1" applyAlignment="1">
      <alignment horizontal="right"/>
    </xf>
    <xf numFmtId="0" fontId="150" fillId="62" borderId="65" xfId="0" applyFont="1" applyFill="1" applyBorder="1"/>
    <xf numFmtId="0" fontId="151" fillId="62" borderId="65" xfId="0" applyFont="1" applyFill="1" applyBorder="1"/>
    <xf numFmtId="0" fontId="61" fillId="62" borderId="65" xfId="0" applyFont="1" applyFill="1" applyBorder="1"/>
    <xf numFmtId="195" fontId="61" fillId="62" borderId="65" xfId="0" applyNumberFormat="1" applyFont="1" applyFill="1" applyBorder="1"/>
    <xf numFmtId="164" fontId="151" fillId="63" borderId="65" xfId="0" applyNumberFormat="1" applyFont="1" applyFill="1" applyBorder="1" applyAlignment="1">
      <alignment horizontal="center" vertical="top"/>
    </xf>
    <xf numFmtId="0" fontId="110" fillId="60" borderId="0" xfId="0" applyFont="1" applyFill="1"/>
    <xf numFmtId="165" fontId="151" fillId="60" borderId="0" xfId="0" applyNumberFormat="1" applyFont="1" applyFill="1"/>
    <xf numFmtId="165" fontId="151" fillId="60" borderId="0" xfId="0" applyNumberFormat="1" applyFont="1" applyFill="1" applyAlignment="1">
      <alignment horizontal="right"/>
    </xf>
    <xf numFmtId="0" fontId="61" fillId="62" borderId="65" xfId="0" applyFont="1" applyFill="1" applyBorder="1" applyAlignment="1">
      <alignment horizontal="right"/>
    </xf>
    <xf numFmtId="195" fontId="61" fillId="62" borderId="65" xfId="0" applyNumberFormat="1" applyFont="1" applyFill="1" applyBorder="1" applyAlignment="1">
      <alignment horizontal="right"/>
    </xf>
    <xf numFmtId="0" fontId="110" fillId="63" borderId="0" xfId="0" applyFont="1" applyFill="1"/>
    <xf numFmtId="164" fontId="110" fillId="63" borderId="0" xfId="0" applyNumberFormat="1" applyFont="1" applyFill="1" applyAlignment="1">
      <alignment horizontal="center" vertical="top"/>
    </xf>
    <xf numFmtId="164" fontId="151" fillId="63" borderId="0" xfId="0" applyNumberFormat="1" applyFont="1" applyFill="1" applyAlignment="1">
      <alignment horizontal="center" vertical="top"/>
    </xf>
    <xf numFmtId="164" fontId="151" fillId="63" borderId="0" xfId="0" applyNumberFormat="1" applyFont="1" applyFill="1" applyAlignment="1">
      <alignment horizontal="right" vertical="top"/>
    </xf>
    <xf numFmtId="216" fontId="91" fillId="0" borderId="0" xfId="0" applyNumberFormat="1" applyFont="1"/>
    <xf numFmtId="172" fontId="91" fillId="2" borderId="0" xfId="0" applyNumberFormat="1" applyFont="1" applyFill="1" applyAlignment="1">
      <alignment horizontal="right" vertical="top"/>
    </xf>
    <xf numFmtId="0" fontId="92" fillId="66" borderId="5" xfId="0" applyFont="1" applyFill="1" applyBorder="1"/>
    <xf numFmtId="174" fontId="92" fillId="66" borderId="6" xfId="0" applyNumberFormat="1" applyFont="1" applyFill="1" applyBorder="1" applyAlignment="1">
      <alignment horizontal="right"/>
    </xf>
    <xf numFmtId="0" fontId="91" fillId="66" borderId="6" xfId="0" applyFont="1" applyFill="1" applyBorder="1"/>
    <xf numFmtId="0" fontId="92" fillId="66" borderId="53" xfId="0" applyFont="1" applyFill="1" applyBorder="1"/>
    <xf numFmtId="174" fontId="92" fillId="66" borderId="53" xfId="0" applyNumberFormat="1" applyFont="1" applyFill="1" applyBorder="1" applyAlignment="1">
      <alignment horizontal="right"/>
    </xf>
    <xf numFmtId="184" fontId="92" fillId="66" borderId="53" xfId="0" applyNumberFormat="1" applyFont="1" applyFill="1" applyBorder="1" applyAlignment="1">
      <alignment horizontal="right"/>
    </xf>
    <xf numFmtId="0" fontId="105" fillId="2" borderId="47" xfId="0" applyFont="1" applyFill="1" applyBorder="1" applyProtection="1">
      <protection locked="0"/>
    </xf>
    <xf numFmtId="183" fontId="92" fillId="0" borderId="0" xfId="4" applyNumberFormat="1" applyFont="1" applyFill="1" applyBorder="1" applyAlignment="1" applyProtection="1">
      <alignment horizontal="center"/>
      <protection locked="0"/>
    </xf>
    <xf numFmtId="183" fontId="92" fillId="0" borderId="57" xfId="4" applyNumberFormat="1" applyFont="1" applyFill="1" applyBorder="1" applyAlignment="1" applyProtection="1">
      <alignment horizontal="center"/>
      <protection locked="0"/>
    </xf>
    <xf numFmtId="172" fontId="91" fillId="66" borderId="57" xfId="0" applyNumberFormat="1" applyFont="1" applyFill="1" applyBorder="1" applyAlignment="1">
      <alignment horizontal="center"/>
    </xf>
    <xf numFmtId="0" fontId="92" fillId="66" borderId="57" xfId="0" applyFont="1" applyFill="1" applyBorder="1"/>
    <xf numFmtId="174" fontId="92" fillId="66" borderId="57" xfId="0" applyNumberFormat="1" applyFont="1" applyFill="1" applyBorder="1" applyAlignment="1">
      <alignment horizontal="right"/>
    </xf>
    <xf numFmtId="172" fontId="92" fillId="66" borderId="57" xfId="0" applyNumberFormat="1" applyFont="1" applyFill="1" applyBorder="1" applyAlignment="1">
      <alignment horizontal="center"/>
    </xf>
    <xf numFmtId="172" fontId="92" fillId="66" borderId="57" xfId="0" applyNumberFormat="1" applyFont="1" applyFill="1" applyBorder="1" applyAlignment="1">
      <alignment horizontal="right"/>
    </xf>
    <xf numFmtId="172" fontId="92" fillId="66" borderId="57" xfId="0" applyNumberFormat="1" applyFont="1" applyFill="1" applyBorder="1" applyAlignment="1">
      <alignment horizontal="left"/>
    </xf>
    <xf numFmtId="0" fontId="92" fillId="66" borderId="0" xfId="0" applyFont="1" applyFill="1"/>
    <xf numFmtId="172" fontId="91" fillId="66" borderId="0" xfId="0" applyNumberFormat="1" applyFont="1" applyFill="1" applyAlignment="1">
      <alignment horizontal="right"/>
    </xf>
    <xf numFmtId="172" fontId="91" fillId="66" borderId="0" xfId="0" applyNumberFormat="1" applyFont="1" applyFill="1" applyAlignment="1">
      <alignment horizontal="center"/>
    </xf>
    <xf numFmtId="175" fontId="96" fillId="70" borderId="55" xfId="11" applyNumberFormat="1" applyFont="1" applyFill="1" applyBorder="1" applyAlignment="1" applyProtection="1">
      <alignment horizontal="right"/>
      <protection locked="0"/>
    </xf>
    <xf numFmtId="174" fontId="101" fillId="2" borderId="103" xfId="0" applyNumberFormat="1" applyFont="1" applyFill="1" applyBorder="1" applyAlignment="1" applyProtection="1">
      <alignment horizontal="right" wrapText="1"/>
      <protection locked="0"/>
    </xf>
    <xf numFmtId="0" fontId="104" fillId="66" borderId="0" xfId="0" applyFont="1" applyFill="1"/>
    <xf numFmtId="174" fontId="104" fillId="66" borderId="0" xfId="0" applyNumberFormat="1" applyFont="1" applyFill="1" applyAlignment="1">
      <alignment horizontal="right"/>
    </xf>
    <xf numFmtId="0" fontId="104" fillId="66" borderId="0" xfId="0" applyFont="1" applyFill="1" applyAlignment="1">
      <alignment horizontal="right"/>
    </xf>
    <xf numFmtId="164" fontId="104" fillId="66" borderId="0" xfId="0" applyNumberFormat="1" applyFont="1" applyFill="1" applyAlignment="1">
      <alignment horizontal="right"/>
    </xf>
    <xf numFmtId="172" fontId="92" fillId="66" borderId="6" xfId="0" applyNumberFormat="1" applyFont="1" applyFill="1" applyBorder="1" applyAlignment="1">
      <alignment horizontal="center"/>
    </xf>
    <xf numFmtId="172" fontId="96" fillId="2" borderId="102" xfId="0" applyNumberFormat="1" applyFont="1" applyFill="1" applyBorder="1" applyAlignment="1" applyProtection="1">
      <alignment horizontal="right"/>
      <protection locked="0"/>
    </xf>
    <xf numFmtId="0" fontId="104" fillId="66" borderId="57" xfId="0" applyFont="1" applyFill="1" applyBorder="1"/>
    <xf numFmtId="174" fontId="104" fillId="66" borderId="57" xfId="0" applyNumberFormat="1" applyFont="1" applyFill="1" applyBorder="1" applyAlignment="1">
      <alignment horizontal="right"/>
    </xf>
    <xf numFmtId="174" fontId="91" fillId="0" borderId="0" xfId="0" quotePrefix="1" applyNumberFormat="1" applyFont="1" applyAlignment="1">
      <alignment horizontal="right"/>
    </xf>
    <xf numFmtId="172" fontId="91" fillId="0" borderId="15" xfId="0" applyNumberFormat="1" applyFont="1" applyBorder="1" applyAlignment="1">
      <alignment horizontal="right"/>
    </xf>
    <xf numFmtId="0" fontId="92" fillId="66" borderId="6" xfId="0" applyFont="1" applyFill="1" applyBorder="1"/>
    <xf numFmtId="190" fontId="91" fillId="0" borderId="0" xfId="0" applyNumberFormat="1" applyFont="1" applyAlignment="1">
      <alignment horizontal="center" vertical="top"/>
    </xf>
    <xf numFmtId="0" fontId="129" fillId="0" borderId="133" xfId="0" applyFont="1" applyBorder="1" applyAlignment="1">
      <alignment horizontal="left" indent="1"/>
    </xf>
    <xf numFmtId="0" fontId="0" fillId="63" borderId="0" xfId="0" applyFill="1"/>
    <xf numFmtId="164" fontId="96" fillId="2" borderId="55" xfId="11" applyNumberFormat="1" applyFont="1" applyFill="1" applyBorder="1" applyAlignment="1" applyProtection="1">
      <alignment horizontal="center" vertical="top"/>
      <protection locked="0"/>
    </xf>
    <xf numFmtId="165" fontId="91" fillId="4" borderId="102" xfId="11" applyNumberFormat="1" applyFont="1" applyBorder="1" applyAlignment="1" applyProtection="1">
      <alignment horizontal="center" vertical="top"/>
      <protection locked="0"/>
    </xf>
    <xf numFmtId="190" fontId="96" fillId="4" borderId="66" xfId="11" applyNumberFormat="1" applyFont="1" applyBorder="1" applyAlignment="1" applyProtection="1">
      <alignment horizontal="center" vertical="top"/>
      <protection locked="0"/>
    </xf>
    <xf numFmtId="0" fontId="91" fillId="3" borderId="1" xfId="0" applyFont="1" applyFill="1" applyBorder="1" applyAlignment="1">
      <alignment vertical="center" wrapText="1"/>
    </xf>
    <xf numFmtId="165" fontId="91" fillId="5" borderId="112" xfId="11" applyNumberFormat="1" applyFont="1" applyFill="1" applyBorder="1" applyAlignment="1">
      <alignment horizontal="center" vertical="center"/>
    </xf>
    <xf numFmtId="0" fontId="91" fillId="3" borderId="1" xfId="0" applyFont="1" applyFill="1" applyBorder="1" applyAlignment="1">
      <alignment vertical="center"/>
    </xf>
    <xf numFmtId="0" fontId="91" fillId="3" borderId="1" xfId="0" applyFont="1" applyFill="1" applyBorder="1" applyAlignment="1">
      <alignment horizontal="center" vertical="top"/>
    </xf>
    <xf numFmtId="0" fontId="135" fillId="2" borderId="0" xfId="0" applyFont="1" applyFill="1"/>
    <xf numFmtId="0" fontId="11" fillId="2" borderId="0" xfId="0" applyFont="1" applyFill="1"/>
    <xf numFmtId="0" fontId="11" fillId="0" borderId="1" xfId="0" applyFont="1" applyBorder="1"/>
    <xf numFmtId="0" fontId="135" fillId="0" borderId="1" xfId="0" applyFont="1" applyBorder="1"/>
    <xf numFmtId="0" fontId="83" fillId="0" borderId="1" xfId="0" applyFont="1" applyBorder="1"/>
    <xf numFmtId="0" fontId="11" fillId="0" borderId="1" xfId="0" applyFont="1" applyBorder="1" applyAlignment="1">
      <alignment horizontal="right"/>
    </xf>
    <xf numFmtId="174" fontId="83" fillId="0" borderId="0" xfId="0" applyNumberFormat="1" applyFont="1" applyAlignment="1">
      <alignment horizontal="right"/>
    </xf>
    <xf numFmtId="0" fontId="135" fillId="63" borderId="0" xfId="0" applyFont="1" applyFill="1"/>
    <xf numFmtId="0" fontId="83" fillId="63" borderId="0" xfId="0" applyFont="1" applyFill="1"/>
    <xf numFmtId="0" fontId="135" fillId="64" borderId="0" xfId="0" applyFont="1" applyFill="1"/>
    <xf numFmtId="0" fontId="83" fillId="64" borderId="0" xfId="0" applyFont="1" applyFill="1"/>
    <xf numFmtId="0" fontId="0" fillId="64" borderId="0" xfId="0" applyFill="1"/>
    <xf numFmtId="0" fontId="135" fillId="66" borderId="1" xfId="0" applyFont="1" applyFill="1" applyBorder="1"/>
    <xf numFmtId="0" fontId="83" fillId="66" borderId="1" xfId="0" applyFont="1" applyFill="1" applyBorder="1"/>
    <xf numFmtId="0" fontId="0" fillId="66" borderId="1" xfId="0" applyFill="1" applyBorder="1"/>
    <xf numFmtId="0" fontId="135" fillId="62" borderId="1" xfId="0" applyFont="1" applyFill="1" applyBorder="1"/>
    <xf numFmtId="0" fontId="83" fillId="62" borderId="1" xfId="0" applyFont="1" applyFill="1" applyBorder="1"/>
    <xf numFmtId="0" fontId="0" fillId="62" borderId="1" xfId="0" applyFill="1" applyBorder="1"/>
    <xf numFmtId="0" fontId="112" fillId="70" borderId="1" xfId="0" applyFont="1" applyFill="1" applyBorder="1"/>
    <xf numFmtId="43" fontId="112" fillId="70" borderId="1" xfId="4" applyFont="1" applyFill="1" applyBorder="1" applyAlignment="1" applyProtection="1">
      <alignment horizontal="center"/>
    </xf>
    <xf numFmtId="43" fontId="112" fillId="70" borderId="1" xfId="4" applyFont="1" applyFill="1" applyBorder="1" applyAlignment="1" applyProtection="1">
      <alignment horizontal="center" wrapText="1"/>
    </xf>
    <xf numFmtId="9" fontId="112" fillId="70" borderId="1" xfId="4" applyNumberFormat="1" applyFont="1" applyFill="1" applyBorder="1" applyAlignment="1" applyProtection="1">
      <alignment horizontal="center" wrapText="1"/>
    </xf>
    <xf numFmtId="175" fontId="138" fillId="70" borderId="1" xfId="4" applyNumberFormat="1" applyFont="1" applyFill="1" applyBorder="1" applyAlignment="1" applyProtection="1">
      <alignment horizontal="center" wrapText="1"/>
      <protection locked="0"/>
    </xf>
    <xf numFmtId="0" fontId="64" fillId="70" borderId="1" xfId="8" applyFont="1" applyFill="1" applyBorder="1" applyAlignment="1">
      <alignment horizontal="center" wrapText="1"/>
    </xf>
    <xf numFmtId="0" fontId="112" fillId="70" borderId="1" xfId="0" applyFont="1" applyFill="1" applyBorder="1" applyAlignment="1">
      <alignment horizontal="right" wrapText="1"/>
    </xf>
    <xf numFmtId="0" fontId="112" fillId="70" borderId="1" xfId="0" applyFont="1" applyFill="1" applyBorder="1" applyAlignment="1">
      <alignment horizontal="center"/>
    </xf>
    <xf numFmtId="0" fontId="138" fillId="70" borderId="1" xfId="0" applyFont="1" applyFill="1" applyBorder="1" applyAlignment="1">
      <alignment horizontal="center"/>
    </xf>
    <xf numFmtId="5" fontId="120" fillId="70" borderId="1" xfId="8" applyNumberFormat="1" applyFont="1" applyFill="1" applyBorder="1" applyAlignment="1">
      <alignment horizontal="center" wrapText="1"/>
    </xf>
    <xf numFmtId="5" fontId="64" fillId="70" borderId="1" xfId="8" applyNumberFormat="1" applyFont="1" applyFill="1" applyBorder="1" applyAlignment="1">
      <alignment horizontal="center" wrapText="1"/>
    </xf>
    <xf numFmtId="0" fontId="107" fillId="70" borderId="0" xfId="8" applyFont="1" applyFill="1" applyAlignment="1">
      <alignment horizontal="left"/>
    </xf>
    <xf numFmtId="166" fontId="107" fillId="70" borderId="0" xfId="6" applyNumberFormat="1" applyFont="1" applyFill="1" applyAlignment="1" applyProtection="1">
      <alignment horizontal="center"/>
    </xf>
    <xf numFmtId="166" fontId="107" fillId="70" borderId="0" xfId="6" applyNumberFormat="1" applyFont="1" applyFill="1" applyBorder="1" applyProtection="1"/>
    <xf numFmtId="3" fontId="118" fillId="70" borderId="54" xfId="11" applyNumberFormat="1" applyFont="1" applyFill="1" applyBorder="1" applyAlignment="1" applyProtection="1">
      <alignment horizontal="center"/>
      <protection locked="0"/>
    </xf>
    <xf numFmtId="172" fontId="83" fillId="70" borderId="0" xfId="0" applyNumberFormat="1" applyFont="1" applyFill="1" applyAlignment="1">
      <alignment horizontal="right"/>
    </xf>
    <xf numFmtId="174" fontId="83" fillId="70" borderId="0" xfId="0" applyNumberFormat="1" applyFont="1" applyFill="1"/>
    <xf numFmtId="175" fontId="83" fillId="70" borderId="0" xfId="0" applyNumberFormat="1" applyFont="1" applyFill="1"/>
    <xf numFmtId="174" fontId="107" fillId="70" borderId="0" xfId="8" applyNumberFormat="1" applyFont="1" applyFill="1"/>
    <xf numFmtId="172" fontId="107" fillId="70" borderId="0" xfId="6" applyNumberFormat="1" applyFont="1" applyFill="1" applyAlignment="1" applyProtection="1">
      <alignment horizontal="right"/>
    </xf>
    <xf numFmtId="172" fontId="107" fillId="70" borderId="0" xfId="6" applyNumberFormat="1" applyFont="1" applyFill="1" applyBorder="1" applyAlignment="1" applyProtection="1">
      <alignment horizontal="right"/>
    </xf>
    <xf numFmtId="172" fontId="118" fillId="70" borderId="3" xfId="11" applyNumberFormat="1" applyFont="1" applyFill="1" applyAlignment="1" applyProtection="1">
      <alignment horizontal="center"/>
      <protection locked="0"/>
    </xf>
    <xf numFmtId="172" fontId="83" fillId="70" borderId="0" xfId="0" applyNumberFormat="1" applyFont="1" applyFill="1"/>
    <xf numFmtId="172" fontId="107" fillId="70" borderId="0" xfId="8" applyNumberFormat="1" applyFont="1" applyFill="1"/>
    <xf numFmtId="0" fontId="104" fillId="70" borderId="0" xfId="8" applyFont="1" applyFill="1" applyAlignment="1">
      <alignment horizontal="left"/>
    </xf>
    <xf numFmtId="172" fontId="104" fillId="70" borderId="0" xfId="6" applyNumberFormat="1" applyFont="1" applyFill="1" applyAlignment="1" applyProtection="1">
      <alignment horizontal="right"/>
    </xf>
    <xf numFmtId="172" fontId="104" fillId="70" borderId="0" xfId="6" applyNumberFormat="1" applyFont="1" applyFill="1" applyBorder="1" applyAlignment="1" applyProtection="1">
      <alignment horizontal="right"/>
    </xf>
    <xf numFmtId="172" fontId="134" fillId="70" borderId="3" xfId="11" applyNumberFormat="1" applyFont="1" applyFill="1" applyAlignment="1" applyProtection="1">
      <alignment horizontal="center"/>
      <protection locked="0"/>
    </xf>
    <xf numFmtId="175" fontId="135" fillId="70" borderId="0" xfId="0" applyNumberFormat="1" applyFont="1" applyFill="1"/>
    <xf numFmtId="172" fontId="104" fillId="70" borderId="0" xfId="8" applyNumberFormat="1" applyFont="1" applyFill="1"/>
    <xf numFmtId="172" fontId="118" fillId="70" borderId="39" xfId="11" applyNumberFormat="1" applyFont="1" applyFill="1" applyBorder="1" applyAlignment="1" applyProtection="1">
      <alignment horizontal="center"/>
      <protection locked="0"/>
    </xf>
    <xf numFmtId="175" fontId="83" fillId="70" borderId="1" xfId="0" applyNumberFormat="1" applyFont="1" applyFill="1" applyBorder="1"/>
    <xf numFmtId="0" fontId="83" fillId="70" borderId="0" xfId="0" applyFont="1" applyFill="1"/>
    <xf numFmtId="174" fontId="0" fillId="63" borderId="0" xfId="0" applyNumberFormat="1" applyFill="1"/>
    <xf numFmtId="172" fontId="0" fillId="63" borderId="0" xfId="0" applyNumberFormat="1" applyFill="1"/>
    <xf numFmtId="174" fontId="83" fillId="63" borderId="0" xfId="0" applyNumberFormat="1" applyFont="1" applyFill="1" applyAlignment="1">
      <alignment horizontal="right"/>
    </xf>
    <xf numFmtId="0" fontId="0" fillId="63" borderId="0" xfId="0" applyFill="1" applyAlignment="1">
      <alignment horizontal="right"/>
    </xf>
    <xf numFmtId="0" fontId="135" fillId="70" borderId="0" xfId="0" applyFont="1" applyFill="1"/>
    <xf numFmtId="0" fontId="0" fillId="70" borderId="0" xfId="0" applyFill="1"/>
    <xf numFmtId="0" fontId="0" fillId="2" borderId="0" xfId="0" applyFill="1"/>
    <xf numFmtId="0" fontId="83" fillId="63" borderId="47" xfId="0" applyFont="1" applyFill="1" applyBorder="1"/>
    <xf numFmtId="172" fontId="0" fillId="63" borderId="47" xfId="0" applyNumberFormat="1" applyFill="1" applyBorder="1"/>
    <xf numFmtId="174" fontId="83" fillId="0" borderId="47" xfId="0" applyNumberFormat="1" applyFont="1" applyBorder="1" applyAlignment="1">
      <alignment horizontal="right"/>
    </xf>
    <xf numFmtId="0" fontId="135" fillId="0" borderId="47" xfId="0" applyFont="1" applyBorder="1"/>
    <xf numFmtId="0" fontId="83" fillId="66" borderId="0" xfId="0" applyFont="1" applyFill="1"/>
    <xf numFmtId="0" fontId="0" fillId="66" borderId="0" xfId="0" applyFill="1"/>
    <xf numFmtId="0" fontId="11" fillId="0" borderId="0" xfId="0" applyFont="1" applyAlignment="1">
      <alignment horizontal="right"/>
    </xf>
    <xf numFmtId="172" fontId="107" fillId="2" borderId="55" xfId="8" applyNumberFormat="1" applyFont="1" applyFill="1" applyBorder="1" applyAlignment="1">
      <alignment horizontal="right"/>
    </xf>
    <xf numFmtId="172" fontId="107" fillId="0" borderId="55" xfId="8" applyNumberFormat="1" applyFont="1" applyBorder="1" applyAlignment="1">
      <alignment horizontal="right"/>
    </xf>
    <xf numFmtId="0" fontId="0" fillId="0" borderId="65" xfId="0" applyBorder="1"/>
    <xf numFmtId="172" fontId="0" fillId="0" borderId="57" xfId="0" applyNumberFormat="1" applyBorder="1"/>
    <xf numFmtId="0" fontId="148" fillId="68" borderId="0" xfId="0" applyFont="1" applyFill="1"/>
    <xf numFmtId="172" fontId="148" fillId="2" borderId="103" xfId="0" applyNumberFormat="1" applyFont="1" applyFill="1" applyBorder="1"/>
    <xf numFmtId="172" fontId="148" fillId="0" borderId="0" xfId="0" applyNumberFormat="1" applyFont="1"/>
    <xf numFmtId="172" fontId="148" fillId="2" borderId="55" xfId="0" applyNumberFormat="1" applyFont="1" applyFill="1" applyBorder="1"/>
    <xf numFmtId="172" fontId="148" fillId="2" borderId="102" xfId="0" applyNumberFormat="1" applyFont="1" applyFill="1" applyBorder="1"/>
    <xf numFmtId="172" fontId="148" fillId="68" borderId="57" xfId="0" applyNumberFormat="1" applyFont="1" applyFill="1" applyBorder="1"/>
    <xf numFmtId="172" fontId="148" fillId="0" borderId="57" xfId="0" applyNumberFormat="1" applyFont="1" applyBorder="1"/>
    <xf numFmtId="172" fontId="107" fillId="2" borderId="102" xfId="8" applyNumberFormat="1" applyFont="1" applyFill="1" applyBorder="1" applyAlignment="1">
      <alignment horizontal="right"/>
    </xf>
    <xf numFmtId="172" fontId="107" fillId="0" borderId="102" xfId="8" applyNumberFormat="1" applyFont="1" applyBorder="1" applyAlignment="1">
      <alignment horizontal="right"/>
    </xf>
    <xf numFmtId="0" fontId="11" fillId="0" borderId="57" xfId="0" applyFont="1" applyBorder="1"/>
    <xf numFmtId="0" fontId="11" fillId="0" borderId="65" xfId="0" applyFont="1" applyBorder="1" applyAlignment="1">
      <alignment horizontal="right"/>
    </xf>
    <xf numFmtId="172" fontId="148" fillId="68" borderId="103" xfId="0" applyNumberFormat="1" applyFont="1" applyFill="1" applyBorder="1"/>
    <xf numFmtId="172" fontId="148" fillId="68" borderId="55" xfId="0" applyNumberFormat="1" applyFont="1" applyFill="1" applyBorder="1"/>
    <xf numFmtId="172" fontId="148" fillId="68" borderId="102" xfId="0" applyNumberFormat="1" applyFont="1" applyFill="1" applyBorder="1"/>
    <xf numFmtId="172" fontId="107" fillId="0" borderId="57" xfId="8" applyNumberFormat="1" applyFont="1" applyBorder="1" applyAlignment="1">
      <alignment horizontal="right"/>
    </xf>
    <xf numFmtId="0" fontId="148" fillId="0" borderId="103" xfId="0" applyFont="1" applyBorder="1" applyAlignment="1">
      <alignment horizontal="right"/>
    </xf>
    <xf numFmtId="43" fontId="107" fillId="0" borderId="1" xfId="4" applyFont="1" applyBorder="1" applyProtection="1"/>
    <xf numFmtId="0" fontId="83" fillId="63" borderId="102" xfId="0" applyFont="1" applyFill="1" applyBorder="1"/>
    <xf numFmtId="0" fontId="83" fillId="63" borderId="66" xfId="0" applyFont="1" applyFill="1" applyBorder="1"/>
    <xf numFmtId="0" fontId="0" fillId="0" borderId="57" xfId="0" applyBorder="1"/>
    <xf numFmtId="0" fontId="11" fillId="66" borderId="1" xfId="0" applyFont="1" applyFill="1" applyBorder="1"/>
    <xf numFmtId="43" fontId="107" fillId="66" borderId="1" xfId="4" applyFont="1" applyFill="1" applyBorder="1" applyProtection="1"/>
    <xf numFmtId="0" fontId="11" fillId="62" borderId="1" xfId="0" applyFont="1" applyFill="1" applyBorder="1"/>
    <xf numFmtId="172" fontId="0" fillId="62" borderId="1" xfId="0" applyNumberFormat="1" applyFill="1" applyBorder="1"/>
    <xf numFmtId="43" fontId="107" fillId="62" borderId="1" xfId="4" applyFont="1" applyFill="1" applyBorder="1" applyProtection="1"/>
    <xf numFmtId="0" fontId="11" fillId="73" borderId="1" xfId="0" applyFont="1" applyFill="1" applyBorder="1"/>
    <xf numFmtId="0" fontId="0" fillId="73" borderId="1" xfId="0" applyFill="1" applyBorder="1"/>
    <xf numFmtId="172" fontId="148" fillId="0" borderId="103" xfId="0" applyNumberFormat="1" applyFont="1" applyBorder="1"/>
    <xf numFmtId="172" fontId="148" fillId="0" borderId="55" xfId="0" applyNumberFormat="1" applyFont="1" applyBorder="1"/>
    <xf numFmtId="172" fontId="148" fillId="0" borderId="102" xfId="0" applyNumberFormat="1" applyFont="1" applyBorder="1"/>
    <xf numFmtId="172" fontId="148" fillId="0" borderId="103" xfId="0" applyNumberFormat="1" applyFont="1" applyBorder="1" applyAlignment="1">
      <alignment horizontal="right"/>
    </xf>
    <xf numFmtId="174" fontId="148" fillId="0" borderId="103" xfId="0" applyNumberFormat="1" applyFont="1" applyBorder="1" applyAlignment="1">
      <alignment horizontal="right"/>
    </xf>
    <xf numFmtId="174" fontId="107" fillId="0" borderId="57" xfId="8" applyNumberFormat="1" applyFont="1" applyBorder="1" applyAlignment="1">
      <alignment horizontal="right"/>
    </xf>
    <xf numFmtId="174" fontId="107" fillId="0" borderId="55" xfId="8" applyNumberFormat="1" applyFont="1" applyBorder="1" applyAlignment="1">
      <alignment horizontal="right"/>
    </xf>
    <xf numFmtId="174" fontId="104" fillId="0" borderId="57" xfId="8" applyNumberFormat="1" applyFont="1" applyBorder="1" applyAlignment="1">
      <alignment horizontal="right"/>
    </xf>
    <xf numFmtId="174" fontId="148" fillId="0" borderId="0" xfId="0" applyNumberFormat="1" applyFont="1"/>
    <xf numFmtId="174" fontId="148" fillId="0" borderId="57" xfId="0" applyNumberFormat="1" applyFont="1" applyBorder="1"/>
    <xf numFmtId="174" fontId="148" fillId="68" borderId="57" xfId="0" applyNumberFormat="1" applyFont="1" applyFill="1" applyBorder="1"/>
    <xf numFmtId="174" fontId="153" fillId="0" borderId="57" xfId="0" applyNumberFormat="1" applyFont="1" applyBorder="1"/>
    <xf numFmtId="175" fontId="83" fillId="63" borderId="47" xfId="0" applyNumberFormat="1" applyFont="1" applyFill="1" applyBorder="1"/>
    <xf numFmtId="175" fontId="11" fillId="64" borderId="0" xfId="0" applyNumberFormat="1" applyFont="1" applyFill="1" applyAlignment="1">
      <alignment horizontal="right"/>
    </xf>
    <xf numFmtId="175" fontId="11" fillId="0" borderId="0" xfId="0" applyNumberFormat="1" applyFont="1" applyAlignment="1">
      <alignment horizontal="right"/>
    </xf>
    <xf numFmtId="175" fontId="0" fillId="0" borderId="65" xfId="0" applyNumberFormat="1" applyBorder="1"/>
    <xf numFmtId="0" fontId="154" fillId="2" borderId="0" xfId="0" applyFont="1" applyFill="1"/>
    <xf numFmtId="0" fontId="154" fillId="0" borderId="0" xfId="0" applyFont="1"/>
    <xf numFmtId="172" fontId="155" fillId="2" borderId="55" xfId="8" applyNumberFormat="1" applyFont="1" applyFill="1" applyBorder="1" applyAlignment="1">
      <alignment horizontal="right"/>
    </xf>
    <xf numFmtId="172" fontId="155" fillId="2" borderId="102" xfId="8" applyNumberFormat="1" applyFont="1" applyFill="1" applyBorder="1" applyAlignment="1">
      <alignment horizontal="right"/>
    </xf>
    <xf numFmtId="0" fontId="11" fillId="60" borderId="0" xfId="0" applyFont="1" applyFill="1"/>
    <xf numFmtId="175" fontId="11" fillId="0" borderId="65" xfId="0" applyNumberFormat="1" applyFont="1" applyBorder="1"/>
    <xf numFmtId="0" fontId="11" fillId="68" borderId="1" xfId="0" applyFont="1" applyFill="1" applyBorder="1"/>
    <xf numFmtId="0" fontId="0" fillId="68" borderId="1" xfId="0" applyFill="1" applyBorder="1"/>
    <xf numFmtId="174" fontId="148" fillId="0" borderId="103" xfId="0" applyNumberFormat="1" applyFont="1" applyBorder="1"/>
    <xf numFmtId="174" fontId="148" fillId="68" borderId="103" xfId="0" applyNumberFormat="1" applyFont="1" applyFill="1" applyBorder="1"/>
    <xf numFmtId="0" fontId="121" fillId="0" borderId="0" xfId="0" applyFont="1" applyAlignment="1">
      <alignment horizontal="left"/>
    </xf>
    <xf numFmtId="0" fontId="16" fillId="0" borderId="0" xfId="0" applyFont="1" applyAlignment="1">
      <alignment horizontal="center"/>
    </xf>
    <xf numFmtId="0" fontId="121" fillId="0" borderId="0" xfId="0" applyFont="1" applyAlignment="1">
      <alignment horizontal="center"/>
    </xf>
    <xf numFmtId="0" fontId="121" fillId="0" borderId="0" xfId="0" applyFont="1"/>
    <xf numFmtId="0" fontId="16" fillId="0" borderId="1" xfId="0" applyFont="1" applyBorder="1" applyAlignment="1">
      <alignment horizontal="center"/>
    </xf>
    <xf numFmtId="0" fontId="4" fillId="0" borderId="0" xfId="0" applyFont="1" applyAlignment="1">
      <alignment horizontal="center"/>
    </xf>
    <xf numFmtId="0" fontId="157" fillId="2" borderId="40" xfId="0" applyFont="1" applyFill="1" applyBorder="1" applyAlignment="1">
      <alignment horizontal="center"/>
    </xf>
    <xf numFmtId="0" fontId="158" fillId="2" borderId="40" xfId="0" applyFont="1" applyFill="1" applyBorder="1" applyAlignment="1">
      <alignment horizontal="center" vertical="center"/>
    </xf>
    <xf numFmtId="0" fontId="120" fillId="0" borderId="0" xfId="0" applyFont="1" applyAlignment="1">
      <alignment horizontal="center" vertical="center"/>
    </xf>
    <xf numFmtId="0" fontId="121" fillId="0" borderId="1" xfId="0" applyFont="1" applyBorder="1" applyAlignment="1">
      <alignment horizontal="center"/>
    </xf>
    <xf numFmtId="0" fontId="121" fillId="0" borderId="1" xfId="0" applyFont="1" applyBorder="1"/>
    <xf numFmtId="0" fontId="120" fillId="0" borderId="1" xfId="0" applyFont="1" applyBorder="1" applyAlignment="1">
      <alignment horizontal="center" vertical="center"/>
    </xf>
    <xf numFmtId="172" fontId="16" fillId="63" borderId="40" xfId="0" applyNumberFormat="1" applyFont="1" applyFill="1" applyBorder="1" applyAlignment="1">
      <alignment horizontal="center"/>
    </xf>
    <xf numFmtId="175" fontId="121" fillId="0" borderId="0" xfId="0" applyNumberFormat="1" applyFont="1" applyAlignment="1">
      <alignment horizontal="center"/>
    </xf>
    <xf numFmtId="0" fontId="16" fillId="0" borderId="1" xfId="0" applyFont="1" applyBorder="1" applyAlignment="1">
      <alignment horizontal="left"/>
    </xf>
    <xf numFmtId="0" fontId="11" fillId="0" borderId="1" xfId="0" applyFont="1" applyBorder="1" applyAlignment="1">
      <alignment horizontal="center"/>
    </xf>
    <xf numFmtId="0" fontId="16" fillId="0" borderId="0" xfId="0" applyFont="1"/>
    <xf numFmtId="0" fontId="16" fillId="2" borderId="55" xfId="0" applyFont="1" applyFill="1" applyBorder="1" applyAlignment="1">
      <alignment horizontal="center"/>
    </xf>
    <xf numFmtId="0" fontId="14" fillId="0" borderId="0" xfId="0" applyFont="1" applyAlignment="1">
      <alignment horizontal="center"/>
    </xf>
    <xf numFmtId="172" fontId="159" fillId="0" borderId="0" xfId="0" applyNumberFormat="1" applyFont="1" applyAlignment="1">
      <alignment horizontal="center"/>
    </xf>
    <xf numFmtId="174" fontId="11" fillId="0" borderId="134" xfId="0" applyNumberFormat="1" applyFont="1" applyBorder="1"/>
    <xf numFmtId="0" fontId="0" fillId="2" borderId="0" xfId="0" applyFill="1" applyAlignment="1">
      <alignment horizontal="center"/>
    </xf>
    <xf numFmtId="0" fontId="0" fillId="2" borderId="57" xfId="0" applyFill="1" applyBorder="1" applyAlignment="1">
      <alignment horizontal="center"/>
    </xf>
    <xf numFmtId="172" fontId="155" fillId="0" borderId="55" xfId="8" applyNumberFormat="1" applyFont="1" applyBorder="1" applyAlignment="1">
      <alignment horizontal="right"/>
    </xf>
    <xf numFmtId="172" fontId="155" fillId="0" borderId="102" xfId="8" applyNumberFormat="1" applyFont="1" applyBorder="1" applyAlignment="1">
      <alignment horizontal="right"/>
    </xf>
    <xf numFmtId="172" fontId="155" fillId="0" borderId="117" xfId="8" applyNumberFormat="1" applyFont="1" applyBorder="1" applyAlignment="1">
      <alignment horizontal="right"/>
    </xf>
    <xf numFmtId="172" fontId="155" fillId="0" borderId="103" xfId="8" applyNumberFormat="1" applyFont="1" applyBorder="1" applyAlignment="1">
      <alignment horizontal="right"/>
    </xf>
    <xf numFmtId="172" fontId="155" fillId="0" borderId="112" xfId="8" applyNumberFormat="1" applyFont="1" applyBorder="1" applyAlignment="1">
      <alignment horizontal="right"/>
    </xf>
    <xf numFmtId="172" fontId="155" fillId="0" borderId="135" xfId="8" applyNumberFormat="1" applyFont="1" applyBorder="1" applyAlignment="1">
      <alignment horizontal="right"/>
    </xf>
    <xf numFmtId="172" fontId="155" fillId="0" borderId="136" xfId="8" applyNumberFormat="1" applyFont="1" applyBorder="1" applyAlignment="1">
      <alignment horizontal="right"/>
    </xf>
    <xf numFmtId="172" fontId="155" fillId="0" borderId="137" xfId="8" applyNumberFormat="1" applyFont="1" applyBorder="1" applyAlignment="1">
      <alignment horizontal="right"/>
    </xf>
    <xf numFmtId="172" fontId="155" fillId="0" borderId="138" xfId="8" applyNumberFormat="1" applyFont="1" applyBorder="1" applyAlignment="1">
      <alignment horizontal="right"/>
    </xf>
    <xf numFmtId="172" fontId="107" fillId="0" borderId="74" xfId="8" applyNumberFormat="1" applyFont="1" applyBorder="1" applyAlignment="1">
      <alignment horizontal="right"/>
    </xf>
    <xf numFmtId="172" fontId="107" fillId="0" borderId="130" xfId="8" applyNumberFormat="1" applyFont="1" applyBorder="1" applyAlignment="1">
      <alignment horizontal="right"/>
    </xf>
    <xf numFmtId="172" fontId="155" fillId="0" borderId="140" xfId="8" applyNumberFormat="1" applyFont="1" applyBorder="1" applyAlignment="1">
      <alignment horizontal="right"/>
    </xf>
    <xf numFmtId="172" fontId="107" fillId="0" borderId="139" xfId="8" applyNumberFormat="1" applyFont="1" applyBorder="1" applyAlignment="1">
      <alignment horizontal="right"/>
    </xf>
    <xf numFmtId="0" fontId="11" fillId="0" borderId="0" xfId="0" applyFont="1" applyAlignment="1">
      <alignment horizontal="center"/>
    </xf>
    <xf numFmtId="0" fontId="160" fillId="0" borderId="0" xfId="0" applyFont="1" applyAlignment="1">
      <alignment horizontal="center"/>
    </xf>
    <xf numFmtId="0" fontId="0" fillId="2" borderId="47" xfId="0" applyFill="1" applyBorder="1" applyAlignment="1">
      <alignment horizontal="center"/>
    </xf>
    <xf numFmtId="172" fontId="0" fillId="0" borderId="47" xfId="0" applyNumberFormat="1" applyBorder="1"/>
    <xf numFmtId="175" fontId="16" fillId="0" borderId="0" xfId="0" applyNumberFormat="1" applyFont="1" applyAlignment="1">
      <alignment horizontal="center"/>
    </xf>
    <xf numFmtId="172" fontId="16" fillId="0" borderId="0" xfId="0" applyNumberFormat="1" applyFont="1" applyAlignment="1">
      <alignment horizontal="center"/>
    </xf>
    <xf numFmtId="175" fontId="16" fillId="0" borderId="0" xfId="0" applyNumberFormat="1" applyFont="1" applyAlignment="1">
      <alignment horizontal="left"/>
    </xf>
    <xf numFmtId="0" fontId="16" fillId="0" borderId="1" xfId="0" applyFont="1" applyBorder="1"/>
    <xf numFmtId="0" fontId="161" fillId="0" borderId="0" xfId="0" applyFont="1"/>
    <xf numFmtId="175" fontId="161" fillId="0" borderId="0" xfId="0" applyNumberFormat="1" applyFont="1" applyAlignment="1">
      <alignment horizontal="center"/>
    </xf>
    <xf numFmtId="175" fontId="121" fillId="0" borderId="57" xfId="0" applyNumberFormat="1" applyFont="1" applyBorder="1" applyAlignment="1">
      <alignment horizontal="center"/>
    </xf>
    <xf numFmtId="0" fontId="162" fillId="62" borderId="0" xfId="0" applyFont="1" applyFill="1" applyAlignment="1">
      <alignment horizontal="center"/>
    </xf>
    <xf numFmtId="0" fontId="162" fillId="61" borderId="0" xfId="0" applyFont="1" applyFill="1" applyAlignment="1">
      <alignment horizontal="center"/>
    </xf>
    <xf numFmtId="174" fontId="91" fillId="70" borderId="0" xfId="0" applyNumberFormat="1" applyFont="1" applyFill="1"/>
    <xf numFmtId="182" fontId="91" fillId="70" borderId="55" xfId="0" applyNumberFormat="1" applyFont="1" applyFill="1" applyBorder="1" applyAlignment="1">
      <alignment horizontal="center" vertical="top"/>
    </xf>
    <xf numFmtId="174" fontId="91" fillId="70" borderId="55" xfId="0" applyNumberFormat="1" applyFont="1" applyFill="1" applyBorder="1" applyAlignment="1">
      <alignment horizontal="right" vertical="top"/>
    </xf>
    <xf numFmtId="174" fontId="91" fillId="70" borderId="55" xfId="0" quotePrefix="1" applyNumberFormat="1" applyFont="1" applyFill="1" applyBorder="1" applyAlignment="1">
      <alignment horizontal="right" vertical="top"/>
    </xf>
    <xf numFmtId="172" fontId="91" fillId="70" borderId="0" xfId="0" applyNumberFormat="1" applyFont="1" applyFill="1"/>
    <xf numFmtId="190" fontId="91" fillId="70" borderId="0" xfId="0" applyNumberFormat="1" applyFont="1" applyFill="1" applyAlignment="1">
      <alignment horizontal="left"/>
    </xf>
    <xf numFmtId="172" fontId="91" fillId="70" borderId="55" xfId="0" applyNumberFormat="1" applyFont="1" applyFill="1" applyBorder="1" applyAlignment="1">
      <alignment horizontal="center" vertical="top"/>
    </xf>
    <xf numFmtId="172" fontId="91" fillId="70" borderId="55" xfId="0" quotePrefix="1" applyNumberFormat="1" applyFont="1" applyFill="1" applyBorder="1" applyAlignment="1">
      <alignment horizontal="right" vertical="top"/>
    </xf>
    <xf numFmtId="172" fontId="91" fillId="70" borderId="55" xfId="0" applyNumberFormat="1" applyFont="1" applyFill="1" applyBorder="1" applyAlignment="1">
      <alignment horizontal="right" vertical="top"/>
    </xf>
    <xf numFmtId="174" fontId="0" fillId="68" borderId="0" xfId="0" applyNumberFormat="1" applyFill="1"/>
    <xf numFmtId="172" fontId="0" fillId="68" borderId="47" xfId="0" applyNumberFormat="1" applyFill="1" applyBorder="1"/>
    <xf numFmtId="0" fontId="163" fillId="0" borderId="0" xfId="0" applyFont="1"/>
    <xf numFmtId="172" fontId="164" fillId="0" borderId="103" xfId="8" applyNumberFormat="1" applyFont="1" applyBorder="1" applyAlignment="1">
      <alignment horizontal="right"/>
    </xf>
    <xf numFmtId="172" fontId="164" fillId="0" borderId="135" xfId="8" applyNumberFormat="1" applyFont="1" applyBorder="1" applyAlignment="1">
      <alignment horizontal="right"/>
    </xf>
    <xf numFmtId="172" fontId="164" fillId="0" borderId="55" xfId="8" applyNumberFormat="1" applyFont="1" applyBorder="1" applyAlignment="1">
      <alignment horizontal="right"/>
    </xf>
    <xf numFmtId="172" fontId="164" fillId="0" borderId="136" xfId="8" applyNumberFormat="1" applyFont="1" applyBorder="1" applyAlignment="1">
      <alignment horizontal="right"/>
    </xf>
    <xf numFmtId="172" fontId="164" fillId="0" borderId="102" xfId="8" applyNumberFormat="1" applyFont="1" applyBorder="1" applyAlignment="1">
      <alignment horizontal="right"/>
    </xf>
    <xf numFmtId="172" fontId="164" fillId="0" borderId="137" xfId="8" applyNumberFormat="1" applyFont="1" applyBorder="1" applyAlignment="1">
      <alignment horizontal="right"/>
    </xf>
    <xf numFmtId="172" fontId="164" fillId="0" borderId="112" xfId="8" applyNumberFormat="1" applyFont="1" applyBorder="1" applyAlignment="1">
      <alignment horizontal="right"/>
    </xf>
    <xf numFmtId="172" fontId="164" fillId="0" borderId="138" xfId="8" applyNumberFormat="1" applyFont="1" applyBorder="1" applyAlignment="1">
      <alignment horizontal="right"/>
    </xf>
    <xf numFmtId="172" fontId="107" fillId="0" borderId="132" xfId="8" applyNumberFormat="1" applyFont="1" applyBorder="1" applyAlignment="1">
      <alignment horizontal="right"/>
    </xf>
    <xf numFmtId="175" fontId="148" fillId="0" borderId="0" xfId="0" applyNumberFormat="1" applyFont="1" applyAlignment="1">
      <alignment horizontal="center"/>
    </xf>
    <xf numFmtId="0" fontId="148" fillId="0" borderId="0" xfId="0" applyFont="1"/>
    <xf numFmtId="174" fontId="164" fillId="0" borderId="0" xfId="0" applyNumberFormat="1" applyFont="1" applyAlignment="1">
      <alignment horizontal="right"/>
    </xf>
    <xf numFmtId="175" fontId="164" fillId="0" borderId="0" xfId="0" applyNumberFormat="1" applyFont="1" applyAlignment="1">
      <alignment horizontal="right"/>
    </xf>
    <xf numFmtId="172" fontId="83" fillId="60" borderId="66" xfId="0" applyNumberFormat="1" applyFont="1" applyFill="1" applyBorder="1"/>
    <xf numFmtId="172" fontId="83" fillId="60" borderId="102" xfId="0" applyNumberFormat="1" applyFont="1" applyFill="1" applyBorder="1"/>
    <xf numFmtId="0" fontId="16" fillId="2" borderId="0" xfId="0" applyFont="1" applyFill="1" applyAlignment="1">
      <alignment horizontal="center"/>
    </xf>
    <xf numFmtId="0" fontId="0" fillId="60" borderId="0" xfId="0" applyFill="1"/>
    <xf numFmtId="175" fontId="0" fillId="2" borderId="0" xfId="0" applyNumberFormat="1" applyFill="1" applyAlignment="1">
      <alignment horizontal="right"/>
    </xf>
    <xf numFmtId="9" fontId="0" fillId="0" borderId="0" xfId="0" applyNumberFormat="1"/>
    <xf numFmtId="9" fontId="0" fillId="2" borderId="0" xfId="0" applyNumberFormat="1" applyFill="1"/>
    <xf numFmtId="0" fontId="0" fillId="0" borderId="0" xfId="0" applyAlignment="1">
      <alignment horizontal="left"/>
    </xf>
    <xf numFmtId="9" fontId="165" fillId="2" borderId="55" xfId="9" applyFont="1" applyFill="1" applyBorder="1" applyAlignment="1" applyProtection="1">
      <alignment horizontal="center" vertical="top"/>
      <protection locked="0"/>
    </xf>
    <xf numFmtId="172" fontId="165" fillId="2" borderId="55" xfId="9" applyNumberFormat="1" applyFont="1" applyFill="1" applyBorder="1" applyAlignment="1" applyProtection="1">
      <alignment horizontal="right" vertical="top"/>
      <protection locked="0"/>
    </xf>
    <xf numFmtId="172" fontId="165" fillId="2" borderId="55" xfId="9" applyNumberFormat="1" applyFont="1" applyFill="1" applyBorder="1" applyAlignment="1" applyProtection="1">
      <alignment horizontal="center" vertical="top"/>
      <protection locked="0"/>
    </xf>
    <xf numFmtId="172" fontId="165" fillId="2" borderId="102" xfId="9" applyNumberFormat="1" applyFont="1" applyFill="1" applyBorder="1" applyAlignment="1" applyProtection="1">
      <alignment horizontal="right" vertical="top"/>
      <protection locked="0"/>
    </xf>
    <xf numFmtId="0" fontId="0" fillId="64" borderId="47" xfId="0" applyFill="1" applyBorder="1"/>
    <xf numFmtId="0" fontId="0" fillId="64" borderId="57" xfId="0" applyFill="1" applyBorder="1"/>
    <xf numFmtId="174" fontId="0" fillId="64" borderId="0" xfId="0" applyNumberFormat="1" applyFill="1"/>
    <xf numFmtId="172" fontId="0" fillId="64" borderId="47" xfId="0" applyNumberFormat="1" applyFill="1" applyBorder="1"/>
    <xf numFmtId="174" fontId="11" fillId="64" borderId="134" xfId="0" applyNumberFormat="1" applyFont="1" applyFill="1" applyBorder="1"/>
    <xf numFmtId="9" fontId="165" fillId="2" borderId="102" xfId="9" applyFont="1" applyFill="1" applyBorder="1" applyAlignment="1" applyProtection="1">
      <alignment horizontal="center" vertical="top"/>
      <protection locked="0"/>
    </xf>
    <xf numFmtId="9" fontId="92" fillId="0" borderId="0" xfId="9" applyFont="1" applyFill="1" applyBorder="1" applyAlignment="1" applyProtection="1">
      <alignment horizontal="center" vertical="top"/>
      <protection locked="0"/>
    </xf>
    <xf numFmtId="172" fontId="101" fillId="0" borderId="0" xfId="9" applyNumberFormat="1" applyFont="1" applyFill="1" applyBorder="1" applyAlignment="1" applyProtection="1">
      <alignment vertical="top"/>
      <protection locked="0"/>
    </xf>
    <xf numFmtId="172" fontId="91" fillId="0" borderId="0" xfId="9" applyNumberFormat="1" applyFont="1" applyFill="1" applyBorder="1" applyAlignment="1" applyProtection="1">
      <alignment horizontal="center" vertical="top"/>
    </xf>
    <xf numFmtId="174" fontId="91" fillId="0" borderId="0" xfId="9" applyNumberFormat="1" applyFont="1" applyFill="1" applyBorder="1" applyAlignment="1" applyProtection="1">
      <alignment vertical="top"/>
    </xf>
    <xf numFmtId="174" fontId="92" fillId="0" borderId="0" xfId="9" applyNumberFormat="1" applyFont="1" applyFill="1" applyBorder="1" applyAlignment="1" applyProtection="1">
      <alignment horizontal="center" vertical="top"/>
      <protection locked="0"/>
    </xf>
    <xf numFmtId="174" fontId="90" fillId="0" borderId="0" xfId="9" applyNumberFormat="1" applyFont="1" applyFill="1" applyBorder="1" applyAlignment="1" applyProtection="1">
      <alignment vertical="top"/>
      <protection locked="0"/>
    </xf>
    <xf numFmtId="172" fontId="90" fillId="0" borderId="0" xfId="9" applyNumberFormat="1" applyFont="1" applyFill="1" applyBorder="1" applyAlignment="1" applyProtection="1">
      <alignment vertical="top"/>
      <protection locked="0"/>
    </xf>
    <xf numFmtId="172" fontId="156" fillId="2" borderId="55" xfId="9" applyNumberFormat="1" applyFont="1" applyFill="1" applyBorder="1" applyAlignment="1" applyProtection="1">
      <alignment horizontal="center" vertical="top"/>
      <protection locked="0"/>
    </xf>
    <xf numFmtId="172" fontId="156" fillId="2" borderId="55" xfId="9" applyNumberFormat="1" applyFont="1" applyFill="1" applyBorder="1" applyAlignment="1" applyProtection="1">
      <alignment horizontal="right" vertical="top"/>
      <protection locked="0"/>
    </xf>
    <xf numFmtId="0" fontId="91" fillId="0" borderId="0" xfId="0" applyFont="1" applyAlignment="1" applyProtection="1">
      <alignment horizontal="center"/>
      <protection locked="0"/>
    </xf>
    <xf numFmtId="0" fontId="91" fillId="0" borderId="52" xfId="0" applyFont="1" applyBorder="1" applyAlignment="1" applyProtection="1">
      <alignment horizontal="right"/>
      <protection locked="0"/>
    </xf>
    <xf numFmtId="0" fontId="91" fillId="0" borderId="52" xfId="0" applyFont="1" applyBorder="1" applyProtection="1">
      <protection locked="0"/>
    </xf>
    <xf numFmtId="0" fontId="91" fillId="0" borderId="52" xfId="0" applyFont="1" applyBorder="1" applyAlignment="1" applyProtection="1">
      <alignment horizontal="center"/>
      <protection locked="0"/>
    </xf>
    <xf numFmtId="0" fontId="91" fillId="2" borderId="103" xfId="0" applyFont="1" applyFill="1" applyBorder="1" applyProtection="1">
      <protection locked="0"/>
    </xf>
    <xf numFmtId="196" fontId="91" fillId="0" borderId="75" xfId="0" applyNumberFormat="1" applyFont="1" applyBorder="1" applyProtection="1">
      <protection locked="0"/>
    </xf>
    <xf numFmtId="174" fontId="90" fillId="0" borderId="57" xfId="9" applyNumberFormat="1" applyFont="1" applyFill="1" applyBorder="1" applyAlignment="1" applyProtection="1">
      <alignment vertical="top"/>
      <protection locked="0"/>
    </xf>
    <xf numFmtId="174" fontId="91" fillId="68" borderId="0" xfId="9" applyNumberFormat="1" applyFont="1" applyFill="1" applyBorder="1" applyAlignment="1" applyProtection="1">
      <alignment vertical="top"/>
    </xf>
    <xf numFmtId="9" fontId="89" fillId="0" borderId="55" xfId="9" applyFont="1" applyFill="1" applyBorder="1" applyAlignment="1" applyProtection="1">
      <alignment horizontal="center" vertical="top"/>
      <protection locked="0"/>
    </xf>
    <xf numFmtId="175" fontId="90" fillId="0" borderId="55" xfId="9" applyNumberFormat="1" applyFont="1" applyFill="1" applyBorder="1" applyAlignment="1" applyProtection="1">
      <alignment horizontal="right" vertical="top"/>
      <protection locked="0"/>
    </xf>
    <xf numFmtId="190" fontId="91" fillId="0" borderId="0" xfId="9" applyNumberFormat="1" applyFont="1" applyFill="1" applyBorder="1" applyAlignment="1" applyProtection="1">
      <alignment horizontal="center" vertical="top"/>
    </xf>
    <xf numFmtId="172" fontId="91" fillId="0" borderId="57" xfId="9" applyNumberFormat="1" applyFont="1" applyFill="1" applyBorder="1" applyAlignment="1" applyProtection="1">
      <alignment horizontal="center" vertical="top"/>
    </xf>
    <xf numFmtId="174" fontId="91" fillId="0" borderId="57" xfId="9" applyNumberFormat="1" applyFont="1" applyFill="1" applyBorder="1" applyAlignment="1" applyProtection="1">
      <alignment vertical="top"/>
    </xf>
    <xf numFmtId="174" fontId="91" fillId="0" borderId="0" xfId="9" applyNumberFormat="1" applyFont="1" applyFill="1" applyBorder="1" applyAlignment="1" applyProtection="1">
      <alignment horizontal="right" vertical="top"/>
    </xf>
    <xf numFmtId="174" fontId="91" fillId="0" borderId="57" xfId="0" applyNumberFormat="1" applyFont="1" applyBorder="1"/>
    <xf numFmtId="0" fontId="107" fillId="63" borderId="63" xfId="0" applyFont="1" applyFill="1" applyBorder="1" applyAlignment="1">
      <alignment horizontal="center" vertical="top"/>
    </xf>
    <xf numFmtId="164" fontId="105" fillId="0" borderId="0" xfId="0" applyNumberFormat="1" applyFont="1" applyAlignment="1">
      <alignment horizontal="center" vertical="top"/>
    </xf>
    <xf numFmtId="0" fontId="91" fillId="0" borderId="0" xfId="0" quotePrefix="1" applyFont="1" applyAlignment="1" applyProtection="1">
      <alignment horizontal="center"/>
      <protection locked="0"/>
    </xf>
    <xf numFmtId="0" fontId="91" fillId="3" borderId="47" xfId="0" applyFont="1" applyFill="1" applyBorder="1" applyProtection="1">
      <protection locked="0"/>
    </xf>
    <xf numFmtId="0" fontId="91" fillId="3" borderId="75" xfId="0" applyFont="1" applyFill="1" applyBorder="1" applyProtection="1">
      <protection locked="0"/>
    </xf>
    <xf numFmtId="0" fontId="105" fillId="0" borderId="0" xfId="0" applyFont="1" applyProtection="1">
      <protection locked="0"/>
    </xf>
    <xf numFmtId="172" fontId="156" fillId="0" borderId="57" xfId="9" applyNumberFormat="1" applyFont="1" applyFill="1" applyBorder="1" applyAlignment="1" applyProtection="1">
      <alignment horizontal="center" vertical="top"/>
      <protection locked="0"/>
    </xf>
    <xf numFmtId="172" fontId="156" fillId="0" borderId="0" xfId="9" applyNumberFormat="1" applyFont="1" applyFill="1" applyBorder="1" applyAlignment="1" applyProtection="1">
      <alignment horizontal="center" vertical="top"/>
      <protection locked="0"/>
    </xf>
    <xf numFmtId="172" fontId="166" fillId="0" borderId="0" xfId="9" applyNumberFormat="1" applyFont="1" applyFill="1" applyBorder="1" applyAlignment="1" applyProtection="1">
      <alignment horizontal="right" vertical="top"/>
      <protection locked="0"/>
    </xf>
    <xf numFmtId="172" fontId="156" fillId="0" borderId="0" xfId="9" applyNumberFormat="1" applyFont="1" applyFill="1" applyBorder="1" applyAlignment="1" applyProtection="1">
      <alignment vertical="top"/>
      <protection locked="0"/>
    </xf>
    <xf numFmtId="0" fontId="92" fillId="2" borderId="141" xfId="0" applyFont="1" applyFill="1" applyBorder="1" applyAlignment="1" applyProtection="1">
      <alignment horizontal="center"/>
      <protection locked="0"/>
    </xf>
    <xf numFmtId="164" fontId="90" fillId="70" borderId="55" xfId="11" applyNumberFormat="1" applyFont="1" applyFill="1" applyBorder="1" applyAlignment="1" applyProtection="1">
      <alignment horizontal="center" vertical="top"/>
      <protection locked="0"/>
    </xf>
    <xf numFmtId="0" fontId="96" fillId="2" borderId="47" xfId="0" applyFont="1" applyFill="1" applyBorder="1" applyProtection="1">
      <protection locked="0"/>
    </xf>
    <xf numFmtId="0" fontId="96" fillId="2" borderId="50" xfId="0" applyFont="1" applyFill="1" applyBorder="1" applyProtection="1">
      <protection locked="0"/>
    </xf>
    <xf numFmtId="0" fontId="126" fillId="68" borderId="65" xfId="0" applyFont="1" applyFill="1" applyBorder="1"/>
    <xf numFmtId="195" fontId="92" fillId="64" borderId="63" xfId="0" applyNumberFormat="1" applyFont="1" applyFill="1" applyBorder="1" applyAlignment="1">
      <alignment horizontal="right"/>
    </xf>
    <xf numFmtId="174" fontId="92" fillId="0" borderId="65" xfId="0" applyNumberFormat="1" applyFont="1" applyBorder="1" applyAlignment="1">
      <alignment horizontal="right" vertical="top"/>
    </xf>
    <xf numFmtId="5" fontId="92" fillId="0" borderId="65" xfId="0" applyNumberFormat="1" applyFont="1" applyBorder="1" applyAlignment="1">
      <alignment horizontal="center" vertical="top"/>
    </xf>
    <xf numFmtId="1" fontId="91" fillId="0" borderId="65" xfId="0" applyNumberFormat="1" applyFont="1" applyBorder="1" applyAlignment="1">
      <alignment horizontal="left"/>
    </xf>
    <xf numFmtId="172" fontId="91" fillId="0" borderId="65" xfId="0" applyNumberFormat="1" applyFont="1" applyBorder="1" applyAlignment="1">
      <alignment horizontal="center"/>
    </xf>
    <xf numFmtId="177" fontId="91" fillId="0" borderId="57" xfId="0" applyNumberFormat="1" applyFont="1" applyBorder="1" applyAlignment="1">
      <alignment horizontal="left"/>
    </xf>
    <xf numFmtId="177" fontId="91" fillId="0" borderId="57" xfId="0" applyNumberFormat="1" applyFont="1" applyBorder="1" applyAlignment="1">
      <alignment horizontal="right" vertical="top"/>
    </xf>
    <xf numFmtId="174" fontId="91" fillId="0" borderId="57" xfId="0" applyNumberFormat="1" applyFont="1" applyBorder="1" applyAlignment="1">
      <alignment horizontal="right" vertical="top"/>
    </xf>
    <xf numFmtId="0" fontId="110" fillId="63" borderId="65" xfId="0" applyFont="1" applyFill="1" applyBorder="1"/>
    <xf numFmtId="164" fontId="151" fillId="63" borderId="65" xfId="0" applyNumberFormat="1" applyFont="1" applyFill="1" applyBorder="1" applyAlignment="1">
      <alignment horizontal="right" vertical="top"/>
    </xf>
    <xf numFmtId="175" fontId="92" fillId="0" borderId="65" xfId="0" applyNumberFormat="1" applyFont="1" applyBorder="1" applyAlignment="1">
      <alignment horizontal="right" vertical="top"/>
    </xf>
    <xf numFmtId="0" fontId="104" fillId="0" borderId="57" xfId="0" applyFont="1" applyBorder="1" applyAlignment="1">
      <alignment horizontal="center" vertical="top"/>
    </xf>
    <xf numFmtId="172" fontId="92" fillId="3" borderId="57" xfId="0" applyNumberFormat="1" applyFont="1" applyFill="1" applyBorder="1" applyAlignment="1">
      <alignment horizontal="right"/>
    </xf>
    <xf numFmtId="0" fontId="92" fillId="63" borderId="57" xfId="0" applyFont="1" applyFill="1" applyBorder="1"/>
    <xf numFmtId="172" fontId="92" fillId="0" borderId="57" xfId="0" applyNumberFormat="1" applyFont="1" applyBorder="1" applyAlignment="1">
      <alignment horizontal="center"/>
    </xf>
    <xf numFmtId="172" fontId="91" fillId="66" borderId="57" xfId="0" applyNumberFormat="1" applyFont="1" applyFill="1" applyBorder="1" applyAlignment="1">
      <alignment horizontal="right"/>
    </xf>
    <xf numFmtId="0" fontId="107" fillId="0" borderId="57" xfId="0" applyFont="1" applyBorder="1" applyAlignment="1">
      <alignment horizontal="right" vertical="top"/>
    </xf>
    <xf numFmtId="0" fontId="104" fillId="0" borderId="57" xfId="0" applyFont="1" applyBorder="1" applyAlignment="1">
      <alignment horizontal="right" vertical="top"/>
    </xf>
    <xf numFmtId="0" fontId="91" fillId="70" borderId="57" xfId="0" applyFont="1" applyFill="1" applyBorder="1"/>
    <xf numFmtId="201" fontId="91" fillId="0" borderId="63" xfId="0" applyNumberFormat="1" applyFont="1" applyBorder="1" applyAlignment="1">
      <alignment horizontal="right"/>
    </xf>
    <xf numFmtId="172" fontId="92" fillId="6" borderId="57" xfId="0" applyNumberFormat="1" applyFont="1" applyFill="1" applyBorder="1" applyAlignment="1">
      <alignment horizontal="center"/>
    </xf>
    <xf numFmtId="164" fontId="91" fillId="3" borderId="65" xfId="0" applyNumberFormat="1" applyFont="1" applyFill="1" applyBorder="1" applyAlignment="1">
      <alignment horizontal="center" vertical="top"/>
    </xf>
    <xf numFmtId="0" fontId="92" fillId="3" borderId="57" xfId="0" applyFont="1" applyFill="1" applyBorder="1" applyAlignment="1">
      <alignment horizontal="center"/>
    </xf>
    <xf numFmtId="0" fontId="89" fillId="0" borderId="57" xfId="0" applyFont="1" applyBorder="1"/>
    <xf numFmtId="183" fontId="91" fillId="0" borderId="57" xfId="13118" applyNumberFormat="1" applyFont="1" applyFill="1" applyBorder="1" applyProtection="1"/>
    <xf numFmtId="174" fontId="92" fillId="0" borderId="57" xfId="13118" applyNumberFormat="1" applyFont="1" applyFill="1" applyBorder="1" applyProtection="1"/>
    <xf numFmtId="0" fontId="92" fillId="64" borderId="63" xfId="0" applyFont="1" applyFill="1" applyBorder="1" applyAlignment="1">
      <alignment horizontal="right"/>
    </xf>
    <xf numFmtId="0" fontId="104" fillId="0" borderId="40" xfId="0" applyFont="1" applyBorder="1" applyAlignment="1">
      <alignment horizontal="center" vertical="top"/>
    </xf>
    <xf numFmtId="0" fontId="107" fillId="0" borderId="40" xfId="0" applyFont="1" applyBorder="1" applyAlignment="1">
      <alignment horizontal="center" vertical="top"/>
    </xf>
    <xf numFmtId="208" fontId="104" fillId="0" borderId="57" xfId="6" applyNumberFormat="1" applyFont="1" applyFill="1" applyBorder="1" applyAlignment="1" applyProtection="1">
      <alignment horizontal="center"/>
    </xf>
    <xf numFmtId="172" fontId="107" fillId="0" borderId="57" xfId="5" applyNumberFormat="1" applyFont="1" applyBorder="1" applyAlignment="1" applyProtection="1">
      <alignment horizontal="center"/>
    </xf>
    <xf numFmtId="43" fontId="83" fillId="0" borderId="57" xfId="4" applyFont="1" applyBorder="1" applyProtection="1"/>
    <xf numFmtId="0" fontId="83" fillId="0" borderId="57" xfId="0" applyFont="1" applyBorder="1"/>
    <xf numFmtId="174" fontId="107" fillId="0" borderId="57" xfId="5" applyNumberFormat="1" applyFont="1" applyBorder="1" applyAlignment="1" applyProtection="1">
      <alignment horizontal="right"/>
    </xf>
    <xf numFmtId="43" fontId="8" fillId="0" borderId="0" xfId="4" applyFont="1"/>
    <xf numFmtId="190" fontId="0" fillId="0" borderId="0" xfId="0" applyNumberFormat="1"/>
    <xf numFmtId="0" fontId="11" fillId="0" borderId="1" xfId="0" quotePrefix="1" applyFont="1" applyBorder="1" applyAlignment="1">
      <alignment horizontal="right"/>
    </xf>
    <xf numFmtId="0" fontId="83" fillId="68" borderId="0" xfId="0" applyFont="1" applyFill="1"/>
    <xf numFmtId="0" fontId="83" fillId="68" borderId="47" xfId="0" applyFont="1" applyFill="1" applyBorder="1"/>
    <xf numFmtId="0" fontId="91" fillId="0" borderId="0" xfId="0" quotePrefix="1" applyFont="1" applyAlignment="1">
      <alignment horizontal="right" vertical="top"/>
    </xf>
    <xf numFmtId="174" fontId="11" fillId="2" borderId="0" xfId="0" applyNumberFormat="1" applyFont="1" applyFill="1"/>
    <xf numFmtId="174" fontId="0" fillId="0" borderId="0" xfId="0" quotePrefix="1" applyNumberFormat="1"/>
    <xf numFmtId="174" fontId="0" fillId="0" borderId="47" xfId="0" applyNumberFormat="1" applyBorder="1"/>
    <xf numFmtId="175" fontId="154" fillId="2" borderId="0" xfId="0" applyNumberFormat="1" applyFont="1" applyFill="1"/>
    <xf numFmtId="174" fontId="0" fillId="0" borderId="51" xfId="0" applyNumberFormat="1" applyBorder="1"/>
    <xf numFmtId="174" fontId="0" fillId="0" borderId="124" xfId="0" applyNumberFormat="1" applyBorder="1"/>
    <xf numFmtId="175" fontId="0" fillId="0" borderId="125" xfId="0" applyNumberFormat="1" applyBorder="1"/>
    <xf numFmtId="174" fontId="0" fillId="0" borderId="56" xfId="0" applyNumberFormat="1" applyBorder="1"/>
    <xf numFmtId="175" fontId="0" fillId="0" borderId="126" xfId="0" applyNumberFormat="1" applyBorder="1"/>
    <xf numFmtId="174" fontId="0" fillId="0" borderId="123" xfId="0" applyNumberFormat="1" applyBorder="1"/>
    <xf numFmtId="175" fontId="0" fillId="0" borderId="142" xfId="0" applyNumberFormat="1" applyBorder="1"/>
    <xf numFmtId="174" fontId="0" fillId="0" borderId="143" xfId="0" applyNumberFormat="1" applyBorder="1"/>
    <xf numFmtId="172" fontId="0" fillId="0" borderId="144" xfId="0" applyNumberFormat="1" applyBorder="1"/>
    <xf numFmtId="174" fontId="0" fillId="0" borderId="145" xfId="0" applyNumberFormat="1" applyBorder="1"/>
    <xf numFmtId="0" fontId="167" fillId="0" borderId="0" xfId="8" applyFont="1" applyAlignment="1">
      <alignment horizontal="left"/>
    </xf>
    <xf numFmtId="174" fontId="152" fillId="0" borderId="65" xfId="0" applyNumberFormat="1" applyFont="1" applyBorder="1" applyAlignment="1">
      <alignment horizontal="right"/>
    </xf>
    <xf numFmtId="38" fontId="95" fillId="0" borderId="0" xfId="8" applyNumberFormat="1" applyFont="1"/>
    <xf numFmtId="174" fontId="168" fillId="0" borderId="0" xfId="0" applyNumberFormat="1" applyFont="1" applyAlignment="1">
      <alignment horizontal="right"/>
    </xf>
    <xf numFmtId="174" fontId="105" fillId="0" borderId="0" xfId="0" applyNumberFormat="1" applyFont="1"/>
    <xf numFmtId="175" fontId="95" fillId="0" borderId="0" xfId="8" applyNumberFormat="1" applyFont="1"/>
    <xf numFmtId="172" fontId="104" fillId="0" borderId="57" xfId="0" applyNumberFormat="1" applyFont="1" applyBorder="1" applyAlignment="1">
      <alignment horizontal="right"/>
    </xf>
    <xf numFmtId="174" fontId="170" fillId="0" borderId="57" xfId="0" applyNumberFormat="1" applyFont="1" applyBorder="1" applyAlignment="1">
      <alignment horizontal="right"/>
    </xf>
    <xf numFmtId="174" fontId="171" fillId="0" borderId="57" xfId="0" applyNumberFormat="1" applyFont="1" applyBorder="1"/>
    <xf numFmtId="175" fontId="94" fillId="0" borderId="0" xfId="8" applyNumberFormat="1" applyFont="1"/>
    <xf numFmtId="174" fontId="95" fillId="0" borderId="0" xfId="8" applyNumberFormat="1" applyFont="1"/>
    <xf numFmtId="172" fontId="95" fillId="2" borderId="0" xfId="8" applyNumberFormat="1" applyFont="1" applyFill="1" applyProtection="1">
      <protection locked="0"/>
    </xf>
    <xf numFmtId="174" fontId="92" fillId="0" borderId="65" xfId="0" applyNumberFormat="1" applyFont="1" applyBorder="1"/>
    <xf numFmtId="172" fontId="116" fillId="2" borderId="102" xfId="8" applyNumberFormat="1" applyFont="1" applyFill="1" applyBorder="1" applyProtection="1">
      <protection locked="0"/>
    </xf>
    <xf numFmtId="172" fontId="95" fillId="0" borderId="0" xfId="8" applyNumberFormat="1" applyFont="1"/>
    <xf numFmtId="0" fontId="94" fillId="0" borderId="0" xfId="8" applyFont="1" applyAlignment="1">
      <alignment horizontal="center" wrapText="1"/>
    </xf>
    <xf numFmtId="0" fontId="94" fillId="0" borderId="0" xfId="8" quotePrefix="1" applyFont="1" applyAlignment="1">
      <alignment horizontal="center" wrapText="1"/>
    </xf>
    <xf numFmtId="0" fontId="95" fillId="0" borderId="0" xfId="8" applyFont="1" applyAlignment="1">
      <alignment horizontal="center" wrapText="1"/>
    </xf>
    <xf numFmtId="172" fontId="95" fillId="0" borderId="0" xfId="6" applyNumberFormat="1" applyFont="1" applyFill="1" applyBorder="1" applyAlignment="1" applyProtection="1">
      <alignment horizontal="center"/>
    </xf>
    <xf numFmtId="14" fontId="95" fillId="0" borderId="0" xfId="6" applyNumberFormat="1" applyFont="1" applyFill="1" applyBorder="1" applyAlignment="1" applyProtection="1">
      <alignment horizontal="center"/>
    </xf>
    <xf numFmtId="0" fontId="95" fillId="0" borderId="0" xfId="8" quotePrefix="1" applyFont="1" applyAlignment="1">
      <alignment horizontal="center" wrapText="1"/>
    </xf>
    <xf numFmtId="172" fontId="95" fillId="0" borderId="0" xfId="8" quotePrefix="1" applyNumberFormat="1" applyFont="1" applyAlignment="1">
      <alignment horizontal="center" wrapText="1"/>
    </xf>
    <xf numFmtId="0" fontId="92" fillId="63" borderId="57" xfId="0" applyFont="1" applyFill="1" applyBorder="1" applyAlignment="1">
      <alignment wrapText="1"/>
    </xf>
    <xf numFmtId="0" fontId="92" fillId="63" borderId="65" xfId="0" applyFont="1" applyFill="1" applyBorder="1" applyAlignment="1">
      <alignment wrapText="1"/>
    </xf>
    <xf numFmtId="0" fontId="92" fillId="0" borderId="69" xfId="0" applyFont="1" applyBorder="1" applyAlignment="1">
      <alignment horizontal="center"/>
    </xf>
    <xf numFmtId="0" fontId="135" fillId="0" borderId="0" xfId="0" applyFont="1" applyAlignment="1">
      <alignment horizontal="center"/>
    </xf>
    <xf numFmtId="172" fontId="15" fillId="0" borderId="57" xfId="6628" applyNumberFormat="1" applyFont="1" applyBorder="1" applyAlignment="1">
      <alignment horizontal="center"/>
    </xf>
    <xf numFmtId="196" fontId="91" fillId="0" borderId="57" xfId="0" applyNumberFormat="1" applyFont="1" applyBorder="1" applyProtection="1">
      <protection locked="0"/>
    </xf>
    <xf numFmtId="196" fontId="92" fillId="0" borderId="57" xfId="0" applyNumberFormat="1" applyFont="1" applyBorder="1" applyProtection="1">
      <protection locked="0"/>
    </xf>
    <xf numFmtId="172" fontId="95" fillId="0" borderId="102" xfId="8" applyNumberFormat="1" applyFont="1" applyBorder="1" applyProtection="1">
      <protection locked="0"/>
    </xf>
    <xf numFmtId="174" fontId="94" fillId="0" borderId="103" xfId="8" applyNumberFormat="1" applyFont="1" applyBorder="1" applyProtection="1">
      <protection locked="0"/>
    </xf>
    <xf numFmtId="0" fontId="91" fillId="68" borderId="0" xfId="0" applyFont="1" applyFill="1"/>
    <xf numFmtId="172" fontId="91" fillId="68" borderId="0" xfId="0" applyNumberFormat="1" applyFont="1" applyFill="1"/>
    <xf numFmtId="0" fontId="11" fillId="0" borderId="1" xfId="0" applyFont="1" applyBorder="1" applyAlignment="1">
      <alignment horizontal="right" wrapText="1"/>
    </xf>
    <xf numFmtId="0" fontId="83" fillId="0" borderId="47" xfId="0" applyFont="1" applyBorder="1"/>
    <xf numFmtId="0" fontId="83" fillId="0" borderId="75" xfId="0" applyFont="1" applyBorder="1"/>
    <xf numFmtId="172" fontId="0" fillId="0" borderId="75" xfId="0" applyNumberFormat="1" applyBorder="1"/>
    <xf numFmtId="172" fontId="0" fillId="63" borderId="75" xfId="0" applyNumberFormat="1" applyFill="1" applyBorder="1"/>
    <xf numFmtId="190" fontId="0" fillId="0" borderId="1" xfId="0" applyNumberFormat="1" applyBorder="1"/>
    <xf numFmtId="174" fontId="0" fillId="0" borderId="75" xfId="0" applyNumberFormat="1" applyBorder="1"/>
    <xf numFmtId="0" fontId="92" fillId="63" borderId="5" xfId="0" applyFont="1" applyFill="1" applyBorder="1" applyAlignment="1">
      <alignment horizontal="left"/>
    </xf>
    <xf numFmtId="174" fontId="92" fillId="63" borderId="6" xfId="0" applyNumberFormat="1" applyFont="1" applyFill="1" applyBorder="1" applyAlignment="1">
      <alignment horizontal="center"/>
    </xf>
    <xf numFmtId="175" fontId="92" fillId="63" borderId="6" xfId="0" applyNumberFormat="1" applyFont="1" applyFill="1" applyBorder="1" applyAlignment="1">
      <alignment horizontal="center"/>
    </xf>
    <xf numFmtId="174" fontId="92" fillId="63" borderId="6" xfId="0" applyNumberFormat="1" applyFont="1" applyFill="1" applyBorder="1" applyAlignment="1">
      <alignment horizontal="right"/>
    </xf>
    <xf numFmtId="0" fontId="96" fillId="2" borderId="48" xfId="0" applyFont="1" applyFill="1" applyBorder="1" applyProtection="1">
      <protection locked="0"/>
    </xf>
    <xf numFmtId="0" fontId="96" fillId="2" borderId="48" xfId="0" quotePrefix="1" applyFont="1" applyFill="1" applyBorder="1" applyProtection="1">
      <protection locked="0"/>
    </xf>
    <xf numFmtId="0" fontId="96" fillId="2" borderId="107" xfId="0" applyFont="1" applyFill="1" applyBorder="1" applyProtection="1">
      <protection locked="0"/>
    </xf>
    <xf numFmtId="187" fontId="0" fillId="0" borderId="0" xfId="0" applyNumberFormat="1"/>
    <xf numFmtId="190" fontId="0" fillId="2" borderId="0" xfId="0" applyNumberFormat="1" applyFill="1" applyAlignment="1">
      <alignment horizontal="right"/>
    </xf>
    <xf numFmtId="8" fontId="0" fillId="0" borderId="0" xfId="0" applyNumberFormat="1"/>
    <xf numFmtId="0" fontId="0" fillId="0" borderId="0" xfId="0" quotePrefix="1"/>
    <xf numFmtId="172" fontId="2" fillId="67" borderId="0" xfId="6628" applyNumberFormat="1" applyFill="1"/>
    <xf numFmtId="0" fontId="107" fillId="0" borderId="55" xfId="0" applyFont="1" applyBorder="1" applyAlignment="1">
      <alignment horizontal="center"/>
    </xf>
    <xf numFmtId="0" fontId="118" fillId="2" borderId="55" xfId="0" applyFont="1" applyFill="1" applyBorder="1" applyAlignment="1" applyProtection="1">
      <alignment horizontal="center"/>
      <protection locked="0"/>
    </xf>
    <xf numFmtId="0" fontId="96" fillId="2" borderId="146" xfId="0" applyFont="1" applyFill="1" applyBorder="1" applyProtection="1">
      <protection locked="0"/>
    </xf>
    <xf numFmtId="172" fontId="96" fillId="74" borderId="55" xfId="0" applyNumberFormat="1" applyFont="1" applyFill="1" applyBorder="1" applyAlignment="1" applyProtection="1">
      <alignment horizontal="right" wrapText="1"/>
      <protection locked="0"/>
    </xf>
    <xf numFmtId="172" fontId="96" fillId="74" borderId="55" xfId="0" applyNumberFormat="1" applyFont="1" applyFill="1" applyBorder="1" applyAlignment="1" applyProtection="1">
      <alignment horizontal="right"/>
      <protection locked="0"/>
    </xf>
    <xf numFmtId="172" fontId="96" fillId="2" borderId="49" xfId="13118" applyNumberFormat="1" applyFont="1" applyFill="1" applyBorder="1" applyProtection="1">
      <protection locked="0"/>
    </xf>
    <xf numFmtId="174" fontId="96" fillId="2" borderId="48" xfId="13118" applyNumberFormat="1" applyFont="1" applyFill="1" applyBorder="1" applyProtection="1">
      <protection locked="0"/>
    </xf>
    <xf numFmtId="0" fontId="169" fillId="0" borderId="0" xfId="0" applyFont="1"/>
    <xf numFmtId="172" fontId="104" fillId="0" borderId="0" xfId="0" applyNumberFormat="1" applyFont="1" applyAlignment="1">
      <alignment horizontal="right"/>
    </xf>
    <xf numFmtId="174" fontId="170" fillId="0" borderId="0" xfId="0" applyNumberFormat="1" applyFont="1" applyAlignment="1">
      <alignment horizontal="right"/>
    </xf>
    <xf numFmtId="174" fontId="171" fillId="0" borderId="0" xfId="0" applyNumberFormat="1" applyFont="1"/>
    <xf numFmtId="0" fontId="104" fillId="66" borderId="59" xfId="0" applyFont="1" applyFill="1" applyBorder="1"/>
    <xf numFmtId="0" fontId="92" fillId="66" borderId="57" xfId="0" applyFont="1" applyFill="1" applyBorder="1" applyAlignment="1">
      <alignment horizontal="center"/>
    </xf>
    <xf numFmtId="0" fontId="92" fillId="66" borderId="40" xfId="0" applyFont="1" applyFill="1" applyBorder="1" applyAlignment="1">
      <alignment horizontal="center"/>
    </xf>
    <xf numFmtId="188" fontId="92" fillId="66" borderId="63" xfId="0" applyNumberFormat="1" applyFont="1" applyFill="1" applyBorder="1" applyAlignment="1">
      <alignment horizontal="center"/>
    </xf>
    <xf numFmtId="188" fontId="92" fillId="66" borderId="65" xfId="0" applyNumberFormat="1" applyFont="1" applyFill="1" applyBorder="1" applyAlignment="1">
      <alignment horizontal="center"/>
    </xf>
    <xf numFmtId="189" fontId="92" fillId="66" borderId="65" xfId="0" applyNumberFormat="1" applyFont="1" applyFill="1" applyBorder="1" applyAlignment="1">
      <alignment horizontal="center"/>
    </xf>
    <xf numFmtId="189" fontId="92" fillId="66" borderId="63" xfId="0" applyNumberFormat="1" applyFont="1" applyFill="1" applyBorder="1" applyAlignment="1">
      <alignment horizontal="center"/>
    </xf>
    <xf numFmtId="0" fontId="104" fillId="66" borderId="15" xfId="0" applyFont="1" applyFill="1" applyBorder="1"/>
    <xf numFmtId="0" fontId="92" fillId="66" borderId="1" xfId="0" applyFont="1" applyFill="1" applyBorder="1" applyAlignment="1">
      <alignment horizontal="center"/>
    </xf>
    <xf numFmtId="0" fontId="92" fillId="66" borderId="17" xfId="0" quotePrefix="1" applyFont="1" applyFill="1" applyBorder="1" applyAlignment="1">
      <alignment horizontal="center"/>
    </xf>
    <xf numFmtId="188" fontId="92" fillId="66" borderId="58" xfId="0" applyNumberFormat="1" applyFont="1" applyFill="1" applyBorder="1" applyAlignment="1">
      <alignment horizontal="center"/>
    </xf>
    <xf numFmtId="188" fontId="92" fillId="66" borderId="15" xfId="0" applyNumberFormat="1" applyFont="1" applyFill="1" applyBorder="1" applyAlignment="1">
      <alignment horizontal="center"/>
    </xf>
    <xf numFmtId="188" fontId="92" fillId="66" borderId="1" xfId="0" applyNumberFormat="1" applyFont="1" applyFill="1" applyBorder="1" applyAlignment="1">
      <alignment horizontal="center"/>
    </xf>
    <xf numFmtId="188" fontId="92" fillId="66" borderId="14" xfId="0" applyNumberFormat="1" applyFont="1" applyFill="1" applyBorder="1" applyAlignment="1">
      <alignment horizontal="center"/>
    </xf>
    <xf numFmtId="172" fontId="91" fillId="0" borderId="0" xfId="0" quotePrefix="1" applyNumberFormat="1" applyFont="1" applyAlignment="1">
      <alignment horizontal="right" vertical="top"/>
    </xf>
    <xf numFmtId="196" fontId="91" fillId="0" borderId="47" xfId="0" applyNumberFormat="1" applyFont="1" applyBorder="1" applyProtection="1">
      <protection locked="0"/>
    </xf>
    <xf numFmtId="196" fontId="91" fillId="0" borderId="47" xfId="0" quotePrefix="1" applyNumberFormat="1" applyFont="1" applyBorder="1" applyProtection="1">
      <protection locked="0"/>
    </xf>
    <xf numFmtId="196" fontId="91" fillId="0" borderId="50" xfId="0" applyNumberFormat="1" applyFont="1" applyBorder="1" applyProtection="1">
      <protection locked="0"/>
    </xf>
    <xf numFmtId="196" fontId="91" fillId="0" borderId="0" xfId="0" applyNumberFormat="1" applyFont="1" applyProtection="1">
      <protection locked="0"/>
    </xf>
    <xf numFmtId="196" fontId="92" fillId="0" borderId="0" xfId="0" applyNumberFormat="1" applyFont="1" applyProtection="1">
      <protection locked="0"/>
    </xf>
    <xf numFmtId="172" fontId="89" fillId="0" borderId="0" xfId="9" applyNumberFormat="1" applyFont="1" applyFill="1" applyBorder="1" applyAlignment="1" applyProtection="1">
      <alignment vertical="top"/>
      <protection locked="0"/>
    </xf>
    <xf numFmtId="175" fontId="89" fillId="0" borderId="0" xfId="9" applyNumberFormat="1" applyFont="1" applyFill="1" applyBorder="1" applyAlignment="1" applyProtection="1">
      <alignment vertical="top"/>
      <protection locked="0"/>
    </xf>
    <xf numFmtId="172" fontId="89" fillId="0" borderId="57" xfId="9" applyNumberFormat="1" applyFont="1" applyFill="1" applyBorder="1" applyAlignment="1" applyProtection="1">
      <alignment vertical="top"/>
      <protection locked="0"/>
    </xf>
    <xf numFmtId="0" fontId="91" fillId="3" borderId="50" xfId="0" applyFont="1" applyFill="1" applyBorder="1"/>
    <xf numFmtId="9" fontId="89" fillId="0" borderId="102" xfId="9" applyFont="1" applyFill="1" applyBorder="1" applyAlignment="1" applyProtection="1">
      <alignment horizontal="center" vertical="top"/>
      <protection locked="0"/>
    </xf>
    <xf numFmtId="175" fontId="90" fillId="0" borderId="102" xfId="9" applyNumberFormat="1" applyFont="1" applyFill="1" applyBorder="1" applyAlignment="1" applyProtection="1">
      <alignment horizontal="right" vertical="top"/>
      <protection locked="0"/>
    </xf>
    <xf numFmtId="172" fontId="91" fillId="0" borderId="103" xfId="9" applyNumberFormat="1" applyFont="1" applyFill="1" applyBorder="1" applyAlignment="1" applyProtection="1">
      <alignment horizontal="center" vertical="top"/>
    </xf>
    <xf numFmtId="172" fontId="91" fillId="0" borderId="103" xfId="9" applyNumberFormat="1" applyFont="1" applyFill="1" applyBorder="1" applyAlignment="1" applyProtection="1">
      <alignment horizontal="right" vertical="top"/>
    </xf>
    <xf numFmtId="0" fontId="91" fillId="0" borderId="103" xfId="0" applyFont="1" applyBorder="1" applyProtection="1">
      <protection locked="0"/>
    </xf>
    <xf numFmtId="0" fontId="92" fillId="0" borderId="0" xfId="0" applyFont="1" applyProtection="1">
      <protection locked="0"/>
    </xf>
    <xf numFmtId="0" fontId="92" fillId="63" borderId="1" xfId="0" applyFont="1" applyFill="1" applyBorder="1" applyProtection="1">
      <protection locked="0"/>
    </xf>
    <xf numFmtId="0" fontId="91" fillId="63" borderId="1" xfId="0" applyFont="1" applyFill="1" applyBorder="1" applyAlignment="1" applyProtection="1">
      <alignment horizontal="center"/>
      <protection locked="0"/>
    </xf>
    <xf numFmtId="0" fontId="91" fillId="63" borderId="1" xfId="0" applyFont="1" applyFill="1" applyBorder="1" applyProtection="1">
      <protection locked="0"/>
    </xf>
    <xf numFmtId="0" fontId="92" fillId="63" borderId="1" xfId="0" applyFont="1" applyFill="1" applyBorder="1" applyAlignment="1" applyProtection="1">
      <alignment horizontal="right"/>
      <protection locked="0"/>
    </xf>
    <xf numFmtId="9" fontId="92" fillId="63" borderId="1" xfId="9" applyFont="1" applyFill="1" applyBorder="1" applyAlignment="1" applyProtection="1">
      <alignment horizontal="center" vertical="top"/>
      <protection locked="0"/>
    </xf>
    <xf numFmtId="172" fontId="101" fillId="63" borderId="1" xfId="9" applyNumberFormat="1" applyFont="1" applyFill="1" applyBorder="1" applyAlignment="1" applyProtection="1">
      <alignment vertical="top"/>
      <protection locked="0"/>
    </xf>
    <xf numFmtId="0" fontId="91" fillId="3" borderId="51" xfId="0" applyFont="1" applyFill="1" applyBorder="1"/>
    <xf numFmtId="9" fontId="89" fillId="0" borderId="66" xfId="9" applyFont="1" applyFill="1" applyBorder="1" applyAlignment="1" applyProtection="1">
      <alignment horizontal="center" vertical="top"/>
      <protection locked="0"/>
    </xf>
    <xf numFmtId="175" fontId="90" fillId="0" borderId="66" xfId="9" applyNumberFormat="1" applyFont="1" applyFill="1" applyBorder="1" applyAlignment="1" applyProtection="1">
      <alignment horizontal="right" vertical="top"/>
      <protection locked="0"/>
    </xf>
    <xf numFmtId="175" fontId="91" fillId="63" borderId="1" xfId="0" applyNumberFormat="1" applyFont="1" applyFill="1" applyBorder="1"/>
    <xf numFmtId="0" fontId="91" fillId="63" borderId="1" xfId="0" applyFont="1" applyFill="1" applyBorder="1" applyAlignment="1">
      <alignment horizontal="right"/>
    </xf>
    <xf numFmtId="0" fontId="92" fillId="63" borderId="1" xfId="0" applyFont="1" applyFill="1" applyBorder="1" applyAlignment="1">
      <alignment horizontal="right"/>
    </xf>
    <xf numFmtId="9" fontId="92" fillId="63" borderId="0" xfId="9" applyFont="1" applyFill="1" applyBorder="1" applyAlignment="1" applyProtection="1">
      <alignment horizontal="center" vertical="top"/>
      <protection locked="0"/>
    </xf>
    <xf numFmtId="172" fontId="91" fillId="63" borderId="0" xfId="0" applyNumberFormat="1" applyFont="1" applyFill="1"/>
    <xf numFmtId="0" fontId="107" fillId="63" borderId="0" xfId="0" applyFont="1" applyFill="1" applyAlignment="1">
      <alignment horizontal="center" vertical="top"/>
    </xf>
    <xf numFmtId="0" fontId="104" fillId="63" borderId="0" xfId="0" applyFont="1" applyFill="1" applyAlignment="1">
      <alignment horizontal="center" vertical="top"/>
    </xf>
    <xf numFmtId="196" fontId="173" fillId="2" borderId="47" xfId="0" applyNumberFormat="1" applyFont="1" applyFill="1" applyBorder="1" applyProtection="1">
      <protection locked="0"/>
    </xf>
    <xf numFmtId="0" fontId="105" fillId="0" borderId="0" xfId="0" applyFont="1" applyAlignment="1">
      <alignment horizontal="left"/>
    </xf>
    <xf numFmtId="0" fontId="105" fillId="74" borderId="0" xfId="0" applyFont="1" applyFill="1" applyAlignment="1">
      <alignment horizontal="left"/>
    </xf>
    <xf numFmtId="174" fontId="91" fillId="74" borderId="0" xfId="0" applyNumberFormat="1" applyFont="1" applyFill="1" applyAlignment="1">
      <alignment horizontal="center"/>
    </xf>
    <xf numFmtId="174" fontId="92" fillId="74" borderId="0" xfId="0" applyNumberFormat="1" applyFont="1" applyFill="1" applyAlignment="1">
      <alignment horizontal="center"/>
    </xf>
    <xf numFmtId="0" fontId="137" fillId="0" borderId="0" xfId="0" applyFont="1" applyAlignment="1">
      <alignment horizontal="left"/>
    </xf>
    <xf numFmtId="217" fontId="92" fillId="0" borderId="6" xfId="0" applyNumberFormat="1" applyFont="1" applyBorder="1" applyAlignment="1">
      <alignment horizontal="right"/>
    </xf>
    <xf numFmtId="0" fontId="91" fillId="0" borderId="5" xfId="0" applyFont="1" applyBorder="1"/>
    <xf numFmtId="0" fontId="91" fillId="0" borderId="6" xfId="0" applyFont="1" applyBorder="1"/>
    <xf numFmtId="196" fontId="91" fillId="0" borderId="0" xfId="0" applyNumberFormat="1" applyFont="1" applyAlignment="1">
      <alignment horizontal="right"/>
    </xf>
    <xf numFmtId="0" fontId="92" fillId="66" borderId="1" xfId="0" applyFont="1" applyFill="1" applyBorder="1"/>
    <xf numFmtId="174" fontId="91" fillId="66" borderId="1" xfId="0" applyNumberFormat="1" applyFont="1" applyFill="1" applyBorder="1" applyAlignment="1">
      <alignment horizontal="right"/>
    </xf>
    <xf numFmtId="0" fontId="91" fillId="66" borderId="1" xfId="0" applyFont="1" applyFill="1" applyBorder="1"/>
    <xf numFmtId="172" fontId="91" fillId="66" borderId="1" xfId="0" applyNumberFormat="1" applyFont="1" applyFill="1" applyBorder="1"/>
    <xf numFmtId="174" fontId="96" fillId="0" borderId="0" xfId="0" applyNumberFormat="1" applyFont="1" applyAlignment="1" applyProtection="1">
      <alignment horizontal="right"/>
      <protection locked="0"/>
    </xf>
    <xf numFmtId="174" fontId="90" fillId="0" borderId="0" xfId="0" applyNumberFormat="1" applyFont="1" applyAlignment="1" applyProtection="1">
      <alignment horizontal="right"/>
      <protection locked="0"/>
    </xf>
    <xf numFmtId="174" fontId="90" fillId="0" borderId="57" xfId="0" applyNumberFormat="1" applyFont="1" applyBorder="1" applyAlignment="1" applyProtection="1">
      <alignment horizontal="right"/>
      <protection locked="0"/>
    </xf>
    <xf numFmtId="174" fontId="96" fillId="2" borderId="57" xfId="0" applyNumberFormat="1" applyFont="1" applyFill="1" applyBorder="1" applyAlignment="1" applyProtection="1">
      <alignment horizontal="right"/>
      <protection locked="0"/>
    </xf>
    <xf numFmtId="0" fontId="91" fillId="63" borderId="1" xfId="0" applyFont="1" applyFill="1" applyBorder="1" applyAlignment="1" applyProtection="1">
      <alignment horizontal="right"/>
      <protection locked="0"/>
    </xf>
    <xf numFmtId="196" fontId="114" fillId="0" borderId="0" xfId="0" applyNumberFormat="1" applyFont="1"/>
    <xf numFmtId="174" fontId="15" fillId="0" borderId="57" xfId="6628" applyNumberFormat="1" applyFont="1" applyBorder="1"/>
    <xf numFmtId="172" fontId="15" fillId="0" borderId="0" xfId="6628" applyNumberFormat="1" applyFont="1" applyAlignment="1">
      <alignment horizontal="left"/>
    </xf>
    <xf numFmtId="172" fontId="15" fillId="0" borderId="0" xfId="6628" applyNumberFormat="1" applyFont="1"/>
    <xf numFmtId="174" fontId="2" fillId="2" borderId="0" xfId="6628" applyNumberFormat="1" applyFill="1"/>
    <xf numFmtId="195" fontId="92" fillId="64" borderId="69" xfId="0" applyNumberFormat="1" applyFont="1" applyFill="1" applyBorder="1" applyAlignment="1">
      <alignment horizontal="right"/>
    </xf>
    <xf numFmtId="0" fontId="175" fillId="0" borderId="147" xfId="0" applyFont="1" applyBorder="1" applyAlignment="1">
      <alignment vertical="center" wrapText="1"/>
    </xf>
    <xf numFmtId="0" fontId="109" fillId="65" borderId="55" xfId="0" applyFont="1" applyFill="1" applyBorder="1"/>
    <xf numFmtId="0" fontId="175" fillId="0" borderId="0" xfId="0" applyFont="1" applyAlignment="1">
      <alignment vertical="center" wrapText="1"/>
    </xf>
    <xf numFmtId="174" fontId="8" fillId="0" borderId="0" xfId="4" applyNumberFormat="1" applyFont="1" applyProtection="1"/>
    <xf numFmtId="218" fontId="11" fillId="0" borderId="1" xfId="0" applyNumberFormat="1" applyFont="1" applyBorder="1" applyAlignment="1">
      <alignment horizontal="right"/>
    </xf>
    <xf numFmtId="219" fontId="11" fillId="0" borderId="1" xfId="0" applyNumberFormat="1" applyFont="1" applyBorder="1" applyAlignment="1">
      <alignment horizontal="right"/>
    </xf>
    <xf numFmtId="43" fontId="11" fillId="0" borderId="1" xfId="4" applyFont="1" applyBorder="1" applyAlignment="1" applyProtection="1">
      <alignment horizontal="right"/>
    </xf>
    <xf numFmtId="43" fontId="136" fillId="0" borderId="0" xfId="4" applyFont="1" applyProtection="1"/>
    <xf numFmtId="164" fontId="90" fillId="0" borderId="55" xfId="11" applyNumberFormat="1" applyFont="1" applyFill="1" applyBorder="1" applyAlignment="1" applyProtection="1">
      <alignment horizontal="center" vertical="top"/>
      <protection locked="0"/>
    </xf>
    <xf numFmtId="172" fontId="91" fillId="68" borderId="55" xfId="0" applyNumberFormat="1" applyFont="1" applyFill="1" applyBorder="1" applyAlignment="1">
      <alignment horizontal="right" vertical="top"/>
    </xf>
    <xf numFmtId="165" fontId="90" fillId="68" borderId="55" xfId="11" applyNumberFormat="1" applyFont="1" applyFill="1" applyBorder="1" applyAlignment="1" applyProtection="1">
      <alignment horizontal="center" vertical="top"/>
      <protection locked="0"/>
    </xf>
    <xf numFmtId="190" fontId="96" fillId="2" borderId="0" xfId="0" applyNumberFormat="1" applyFont="1" applyFill="1" applyAlignment="1" applyProtection="1">
      <alignment horizontal="right"/>
      <protection locked="0"/>
    </xf>
    <xf numFmtId="172" fontId="90" fillId="0" borderId="0" xfId="0" applyNumberFormat="1" applyFont="1" applyAlignment="1" applyProtection="1">
      <alignment horizontal="right"/>
      <protection locked="0"/>
    </xf>
    <xf numFmtId="0" fontId="176" fillId="0" borderId="0" xfId="0" applyFont="1"/>
    <xf numFmtId="173" fontId="107" fillId="0" borderId="0" xfId="0" applyNumberFormat="1" applyFont="1" applyAlignment="1">
      <alignment horizontal="right" vertical="top"/>
    </xf>
    <xf numFmtId="164" fontId="107" fillId="0" borderId="0" xfId="0" applyNumberFormat="1" applyFont="1" applyAlignment="1">
      <alignment horizontal="center"/>
    </xf>
    <xf numFmtId="0" fontId="107" fillId="0" borderId="57" xfId="0" applyFont="1" applyBorder="1"/>
    <xf numFmtId="203" fontId="107" fillId="0" borderId="57" xfId="0" applyNumberFormat="1" applyFont="1" applyBorder="1"/>
    <xf numFmtId="203" fontId="104" fillId="0" borderId="57" xfId="0" applyNumberFormat="1" applyFont="1" applyBorder="1"/>
    <xf numFmtId="173" fontId="104" fillId="0" borderId="57" xfId="0" applyNumberFormat="1" applyFont="1" applyBorder="1" applyAlignment="1">
      <alignment horizontal="right" vertical="top"/>
    </xf>
    <xf numFmtId="0" fontId="102" fillId="0" borderId="1" xfId="0" applyFont="1" applyBorder="1"/>
    <xf numFmtId="188" fontId="110" fillId="0" borderId="1" xfId="0" applyNumberFormat="1" applyFont="1" applyBorder="1"/>
    <xf numFmtId="220" fontId="101" fillId="4" borderId="55" xfId="11" applyNumberFormat="1" applyFont="1" applyBorder="1" applyAlignment="1" applyProtection="1">
      <alignment horizontal="right"/>
      <protection locked="0"/>
    </xf>
    <xf numFmtId="0" fontId="105" fillId="67" borderId="0" xfId="0" applyFont="1" applyFill="1" applyAlignment="1">
      <alignment horizontal="left"/>
    </xf>
    <xf numFmtId="174" fontId="91" fillId="67" borderId="0" xfId="0" applyNumberFormat="1" applyFont="1" applyFill="1" applyAlignment="1">
      <alignment horizontal="center"/>
    </xf>
    <xf numFmtId="172" fontId="178" fillId="0" borderId="57" xfId="9" applyNumberFormat="1" applyFont="1" applyFill="1" applyBorder="1" applyAlignment="1" applyProtection="1">
      <alignment horizontal="center" vertical="top"/>
      <protection locked="0"/>
    </xf>
    <xf numFmtId="172" fontId="178" fillId="0" borderId="57" xfId="9" applyNumberFormat="1" applyFont="1" applyFill="1" applyBorder="1" applyAlignment="1" applyProtection="1">
      <alignment vertical="top"/>
      <protection locked="0"/>
    </xf>
    <xf numFmtId="9" fontId="177" fillId="0" borderId="55" xfId="9" applyFont="1" applyFill="1" applyBorder="1" applyAlignment="1" applyProtection="1">
      <alignment horizontal="center" vertical="top"/>
      <protection locked="0"/>
    </xf>
    <xf numFmtId="172" fontId="178" fillId="0" borderId="55" xfId="9" applyNumberFormat="1" applyFont="1" applyFill="1" applyBorder="1" applyAlignment="1" applyProtection="1">
      <alignment horizontal="center" vertical="top"/>
      <protection locked="0"/>
    </xf>
    <xf numFmtId="172" fontId="177" fillId="0" borderId="55" xfId="9" applyNumberFormat="1" applyFont="1" applyFill="1" applyBorder="1" applyAlignment="1" applyProtection="1">
      <alignment horizontal="center" vertical="top"/>
      <protection locked="0"/>
    </xf>
    <xf numFmtId="9" fontId="177" fillId="0" borderId="102" xfId="9" applyFont="1" applyFill="1" applyBorder="1" applyAlignment="1" applyProtection="1">
      <alignment horizontal="center" vertical="top"/>
      <protection locked="0"/>
    </xf>
    <xf numFmtId="172" fontId="177" fillId="0" borderId="102" xfId="9" applyNumberFormat="1" applyFont="1" applyFill="1" applyBorder="1" applyAlignment="1" applyProtection="1">
      <alignment horizontal="right" vertical="top"/>
      <protection locked="0"/>
    </xf>
    <xf numFmtId="172" fontId="168" fillId="0" borderId="55" xfId="9" applyNumberFormat="1" applyFont="1" applyFill="1" applyBorder="1" applyAlignment="1" applyProtection="1">
      <alignment horizontal="right" vertical="top"/>
      <protection locked="0"/>
    </xf>
    <xf numFmtId="174" fontId="179" fillId="0" borderId="0" xfId="8" applyNumberFormat="1" applyFont="1"/>
    <xf numFmtId="174" fontId="179" fillId="0" borderId="0" xfId="10" applyNumberFormat="1" applyFont="1" applyProtection="1"/>
    <xf numFmtId="0" fontId="92" fillId="63" borderId="1" xfId="0" quotePrefix="1" applyFont="1" applyFill="1" applyBorder="1" applyProtection="1">
      <protection locked="0"/>
    </xf>
    <xf numFmtId="174" fontId="104" fillId="0" borderId="57" xfId="0" applyNumberFormat="1" applyFont="1" applyBorder="1"/>
    <xf numFmtId="174" fontId="107" fillId="0" borderId="57" xfId="0" applyNumberFormat="1" applyFont="1" applyBorder="1"/>
    <xf numFmtId="182" fontId="92" fillId="0" borderId="57" xfId="0" applyNumberFormat="1" applyFont="1" applyBorder="1" applyAlignment="1">
      <alignment horizontal="center" vertical="top"/>
    </xf>
    <xf numFmtId="0" fontId="92" fillId="68" borderId="104" xfId="0" applyFont="1" applyFill="1" applyBorder="1" applyAlignment="1">
      <alignment horizontal="right"/>
    </xf>
    <xf numFmtId="0" fontId="92" fillId="68" borderId="15" xfId="0" applyFont="1" applyFill="1" applyBorder="1" applyAlignment="1">
      <alignment horizontal="right"/>
    </xf>
    <xf numFmtId="0" fontId="92" fillId="68" borderId="69" xfId="0" applyFont="1" applyFill="1" applyBorder="1" applyAlignment="1">
      <alignment horizontal="right"/>
    </xf>
    <xf numFmtId="174" fontId="90" fillId="2" borderId="55" xfId="11" applyNumberFormat="1" applyFont="1" applyFill="1" applyBorder="1" applyAlignment="1" applyProtection="1">
      <alignment horizontal="right" vertical="center"/>
      <protection locked="0"/>
    </xf>
    <xf numFmtId="172" fontId="90" fillId="2" borderId="55" xfId="11" applyNumberFormat="1" applyFont="1" applyFill="1" applyBorder="1" applyAlignment="1" applyProtection="1">
      <alignment horizontal="right" vertical="top"/>
      <protection locked="0"/>
    </xf>
    <xf numFmtId="172" fontId="173" fillId="2" borderId="55" xfId="11" applyNumberFormat="1" applyFont="1" applyFill="1" applyBorder="1" applyAlignment="1" applyProtection="1">
      <alignment horizontal="right" vertical="top"/>
      <protection locked="0"/>
    </xf>
    <xf numFmtId="0" fontId="89" fillId="0" borderId="0" xfId="0" applyFont="1"/>
    <xf numFmtId="183" fontId="91" fillId="0" borderId="0" xfId="13118" applyNumberFormat="1" applyFont="1" applyFill="1" applyBorder="1" applyProtection="1"/>
    <xf numFmtId="174" fontId="92" fillId="0" borderId="0" xfId="13118" applyNumberFormat="1" applyFont="1" applyFill="1" applyBorder="1" applyProtection="1"/>
    <xf numFmtId="211" fontId="91" fillId="0" borderId="0" xfId="33110" applyNumberFormat="1" applyFont="1" applyFill="1" applyBorder="1"/>
    <xf numFmtId="183" fontId="92" fillId="0" borderId="0" xfId="4" applyNumberFormat="1" applyFont="1" applyFill="1" applyBorder="1"/>
    <xf numFmtId="183" fontId="92" fillId="0" borderId="0" xfId="4" applyNumberFormat="1" applyFont="1" applyFill="1" applyBorder="1" applyAlignment="1">
      <alignment horizontal="center"/>
    </xf>
    <xf numFmtId="211" fontId="91" fillId="0" borderId="57" xfId="33110" applyNumberFormat="1" applyFont="1" applyFill="1" applyBorder="1"/>
    <xf numFmtId="183" fontId="92" fillId="0" borderId="57" xfId="4" applyNumberFormat="1" applyFont="1" applyFill="1" applyBorder="1"/>
    <xf numFmtId="183" fontId="92" fillId="0" borderId="57" xfId="4" applyNumberFormat="1" applyFont="1" applyFill="1" applyBorder="1" applyAlignment="1">
      <alignment horizontal="center"/>
    </xf>
    <xf numFmtId="172" fontId="101" fillId="2" borderId="55" xfId="9" applyNumberFormat="1" applyFont="1" applyFill="1" applyBorder="1" applyAlignment="1" applyProtection="1">
      <alignment horizontal="right" vertical="top"/>
      <protection locked="0"/>
    </xf>
    <xf numFmtId="185" fontId="94" fillId="64" borderId="64" xfId="6628" applyNumberFormat="1" applyFont="1" applyFill="1" applyBorder="1" applyAlignment="1">
      <alignment horizontal="center"/>
    </xf>
    <xf numFmtId="185" fontId="94" fillId="64" borderId="17" xfId="6628" applyNumberFormat="1" applyFont="1" applyFill="1" applyBorder="1" applyAlignment="1">
      <alignment horizontal="center"/>
    </xf>
    <xf numFmtId="172" fontId="125" fillId="0" borderId="0" xfId="6628" applyNumberFormat="1" applyFont="1" applyAlignment="1">
      <alignment horizontal="center"/>
    </xf>
    <xf numFmtId="174" fontId="173" fillId="2" borderId="55" xfId="0" applyNumberFormat="1" applyFont="1" applyFill="1" applyBorder="1" applyAlignment="1" applyProtection="1">
      <alignment horizontal="right" vertical="top"/>
      <protection locked="0"/>
    </xf>
    <xf numFmtId="174" fontId="173" fillId="68" borderId="55" xfId="0" applyNumberFormat="1" applyFont="1" applyFill="1" applyBorder="1" applyAlignment="1" applyProtection="1">
      <alignment horizontal="right" vertical="top"/>
      <protection locked="0"/>
    </xf>
    <xf numFmtId="172" fontId="2" fillId="0" borderId="0" xfId="6628" applyNumberFormat="1" applyProtection="1">
      <protection locked="0"/>
    </xf>
    <xf numFmtId="0" fontId="2" fillId="0" borderId="0" xfId="6628" applyProtection="1">
      <protection locked="0"/>
    </xf>
    <xf numFmtId="173" fontId="96" fillId="2" borderId="142" xfId="0" applyNumberFormat="1" applyFont="1" applyFill="1" applyBorder="1" applyAlignment="1" applyProtection="1">
      <alignment horizontal="center"/>
      <protection locked="0"/>
    </xf>
    <xf numFmtId="196" fontId="90" fillId="0" borderId="47" xfId="0" applyNumberFormat="1" applyFont="1" applyBorder="1" applyAlignment="1" applyProtection="1">
      <alignment horizontal="center"/>
      <protection locked="0"/>
    </xf>
    <xf numFmtId="190" fontId="90" fillId="0" borderId="47" xfId="0" applyNumberFormat="1" applyFont="1" applyBorder="1" applyAlignment="1" applyProtection="1">
      <alignment horizontal="center"/>
      <protection locked="0"/>
    </xf>
    <xf numFmtId="196" fontId="173" fillId="68" borderId="50" xfId="0" applyNumberFormat="1" applyFont="1" applyFill="1" applyBorder="1" applyAlignment="1" applyProtection="1">
      <alignment horizontal="center"/>
      <protection locked="0"/>
    </xf>
    <xf numFmtId="196" fontId="92" fillId="0" borderId="57" xfId="0" applyNumberFormat="1" applyFont="1" applyBorder="1" applyAlignment="1" applyProtection="1">
      <alignment horizontal="center"/>
      <protection locked="0"/>
    </xf>
    <xf numFmtId="0" fontId="162" fillId="62" borderId="0" xfId="0" applyFont="1" applyFill="1" applyAlignment="1">
      <alignment horizontal="center" vertical="center"/>
    </xf>
    <xf numFmtId="0" fontId="140" fillId="0" borderId="0" xfId="0" applyFont="1" applyAlignment="1">
      <alignment horizontal="center" vertical="center"/>
    </xf>
    <xf numFmtId="0" fontId="91" fillId="62" borderId="47" xfId="0" applyFont="1" applyFill="1" applyBorder="1"/>
    <xf numFmtId="0" fontId="0" fillId="62" borderId="47" xfId="0" applyFill="1" applyBorder="1"/>
    <xf numFmtId="0" fontId="104" fillId="62" borderId="47" xfId="0" applyFont="1" applyFill="1" applyBorder="1"/>
    <xf numFmtId="0" fontId="182" fillId="0" borderId="0" xfId="0" applyFont="1" applyAlignment="1">
      <alignment horizontal="center"/>
    </xf>
    <xf numFmtId="0" fontId="183" fillId="0" borderId="0" xfId="7" applyFont="1" applyBorder="1" applyAlignment="1" applyProtection="1">
      <alignment horizontal="left"/>
    </xf>
    <xf numFmtId="0" fontId="183" fillId="0" borderId="51" xfId="7" applyFont="1" applyBorder="1" applyAlignment="1" applyProtection="1">
      <alignment horizontal="right"/>
    </xf>
    <xf numFmtId="172" fontId="32" fillId="0" borderId="0" xfId="6628" applyNumberFormat="1" applyFont="1"/>
    <xf numFmtId="172" fontId="32" fillId="0" borderId="47" xfId="6628" applyNumberFormat="1" applyFont="1" applyBorder="1"/>
    <xf numFmtId="175" fontId="148" fillId="0" borderId="47" xfId="0" applyNumberFormat="1" applyFont="1" applyBorder="1" applyAlignment="1">
      <alignment horizontal="center"/>
    </xf>
    <xf numFmtId="172" fontId="32" fillId="0" borderId="51" xfId="6628" applyNumberFormat="1" applyFont="1" applyBorder="1"/>
    <xf numFmtId="175" fontId="148" fillId="0" borderId="51" xfId="0" applyNumberFormat="1" applyFont="1" applyBorder="1" applyAlignment="1">
      <alignment horizontal="center"/>
    </xf>
    <xf numFmtId="172" fontId="32" fillId="0" borderId="0" xfId="6628" quotePrefix="1" applyNumberFormat="1" applyFont="1"/>
    <xf numFmtId="172" fontId="32" fillId="64" borderId="47" xfId="6628" applyNumberFormat="1" applyFont="1" applyFill="1" applyBorder="1"/>
    <xf numFmtId="175" fontId="148" fillId="64" borderId="47" xfId="0" applyNumberFormat="1" applyFont="1" applyFill="1" applyBorder="1" applyAlignment="1">
      <alignment horizontal="center"/>
    </xf>
    <xf numFmtId="175" fontId="148" fillId="64" borderId="0" xfId="0" applyNumberFormat="1" applyFont="1" applyFill="1" applyAlignment="1">
      <alignment horizontal="center"/>
    </xf>
    <xf numFmtId="0" fontId="32" fillId="0" borderId="0" xfId="6628" applyFont="1" applyAlignment="1">
      <alignment horizontal="center"/>
    </xf>
    <xf numFmtId="172" fontId="32" fillId="0" borderId="0" xfId="6628" applyNumberFormat="1" applyFont="1" applyAlignment="1">
      <alignment horizontal="center"/>
    </xf>
    <xf numFmtId="0" fontId="148" fillId="0" borderId="0" xfId="0" applyFont="1" applyAlignment="1">
      <alignment horizontal="left"/>
    </xf>
    <xf numFmtId="0" fontId="148" fillId="0" borderId="0" xfId="0" applyFont="1" applyAlignment="1">
      <alignment horizontal="center"/>
    </xf>
    <xf numFmtId="0" fontId="104" fillId="0" borderId="0" xfId="0" applyFont="1" applyAlignment="1">
      <alignment horizontal="center"/>
    </xf>
    <xf numFmtId="0" fontId="104" fillId="0" borderId="1" xfId="0" applyFont="1" applyBorder="1" applyAlignment="1">
      <alignment horizontal="center"/>
    </xf>
    <xf numFmtId="0" fontId="174" fillId="2" borderId="0" xfId="0" applyFont="1" applyFill="1" applyAlignment="1" applyProtection="1">
      <alignment horizontal="left"/>
      <protection locked="0"/>
    </xf>
    <xf numFmtId="174" fontId="96" fillId="2" borderId="0" xfId="0" applyNumberFormat="1" applyFont="1" applyFill="1" applyAlignment="1" applyProtection="1">
      <alignment horizontal="center"/>
      <protection locked="0"/>
    </xf>
    <xf numFmtId="174" fontId="101" fillId="2" borderId="0" xfId="0" applyNumberFormat="1" applyFont="1" applyFill="1" applyAlignment="1" applyProtection="1">
      <alignment horizontal="center"/>
      <protection locked="0"/>
    </xf>
    <xf numFmtId="175" fontId="101" fillId="0" borderId="0" xfId="0" applyNumberFormat="1" applyFont="1" applyAlignment="1" applyProtection="1">
      <alignment horizontal="center"/>
      <protection locked="0"/>
    </xf>
    <xf numFmtId="0" fontId="92" fillId="0" borderId="1" xfId="0" applyFont="1" applyBorder="1" applyProtection="1">
      <protection locked="0"/>
    </xf>
    <xf numFmtId="0" fontId="0" fillId="0" borderId="0" xfId="0" applyProtection="1">
      <protection locked="0"/>
    </xf>
    <xf numFmtId="5" fontId="105" fillId="0" borderId="0" xfId="0" applyNumberFormat="1" applyFont="1" applyAlignment="1">
      <alignment horizontal="center" vertical="top"/>
    </xf>
    <xf numFmtId="175" fontId="105" fillId="0" borderId="0" xfId="0" applyNumberFormat="1" applyFont="1" applyAlignment="1">
      <alignment horizontal="center" vertical="top"/>
    </xf>
    <xf numFmtId="0" fontId="92" fillId="0" borderId="115" xfId="0" applyFont="1" applyBorder="1"/>
    <xf numFmtId="0" fontId="92" fillId="63" borderId="65" xfId="0" applyFont="1" applyFill="1" applyBorder="1" applyAlignment="1">
      <alignment horizontal="center" wrapText="1"/>
    </xf>
    <xf numFmtId="172" fontId="2" fillId="0" borderId="0" xfId="8" applyNumberFormat="1" applyProtection="1">
      <protection locked="0"/>
    </xf>
    <xf numFmtId="0" fontId="91" fillId="3" borderId="57" xfId="0" applyFont="1" applyFill="1" applyBorder="1" applyProtection="1">
      <protection locked="0"/>
    </xf>
    <xf numFmtId="172" fontId="91" fillId="3" borderId="57" xfId="0" applyNumberFormat="1" applyFont="1" applyFill="1" applyBorder="1" applyProtection="1">
      <protection locked="0"/>
    </xf>
    <xf numFmtId="194" fontId="91" fillId="3" borderId="57" xfId="0" quotePrefix="1" applyNumberFormat="1" applyFont="1" applyFill="1" applyBorder="1" applyAlignment="1" applyProtection="1">
      <alignment horizontal="center"/>
      <protection locked="0"/>
    </xf>
    <xf numFmtId="172" fontId="91" fillId="0" borderId="0" xfId="0" applyNumberFormat="1" applyFont="1" applyProtection="1">
      <protection locked="0"/>
    </xf>
    <xf numFmtId="0" fontId="105" fillId="3" borderId="0" xfId="0" applyFont="1" applyFill="1" applyProtection="1">
      <protection locked="0"/>
    </xf>
    <xf numFmtId="0" fontId="91" fillId="3" borderId="0" xfId="0" applyFont="1" applyFill="1" applyProtection="1">
      <protection locked="0"/>
    </xf>
    <xf numFmtId="0" fontId="91" fillId="2" borderId="0" xfId="0" applyFont="1" applyFill="1" applyProtection="1">
      <protection locked="0"/>
    </xf>
    <xf numFmtId="172" fontId="91" fillId="2" borderId="0" xfId="0" applyNumberFormat="1" applyFont="1" applyFill="1" applyProtection="1">
      <protection locked="0"/>
    </xf>
    <xf numFmtId="194" fontId="91" fillId="2" borderId="0" xfId="0" quotePrefix="1" applyNumberFormat="1" applyFont="1" applyFill="1" applyAlignment="1" applyProtection="1">
      <alignment horizontal="center"/>
      <protection locked="0"/>
    </xf>
    <xf numFmtId="0" fontId="91" fillId="0" borderId="0" xfId="0" quotePrefix="1" applyFont="1" applyAlignment="1" applyProtection="1">
      <alignment horizontal="left"/>
      <protection locked="0"/>
    </xf>
    <xf numFmtId="0" fontId="91" fillId="0" borderId="0" xfId="0" applyFont="1" applyAlignment="1" applyProtection="1">
      <alignment horizontal="left"/>
      <protection locked="0"/>
    </xf>
    <xf numFmtId="190" fontId="90" fillId="0" borderId="47" xfId="0" quotePrefix="1" applyNumberFormat="1" applyFont="1" applyBorder="1" applyAlignment="1" applyProtection="1">
      <alignment horizontal="center"/>
      <protection locked="0"/>
    </xf>
    <xf numFmtId="196" fontId="90" fillId="0" borderId="50" xfId="0" applyNumberFormat="1" applyFont="1" applyBorder="1" applyAlignment="1" applyProtection="1">
      <alignment horizontal="center"/>
      <protection locked="0"/>
    </xf>
    <xf numFmtId="190" fontId="90" fillId="0" borderId="50" xfId="0" quotePrefix="1" applyNumberFormat="1" applyFont="1" applyBorder="1" applyAlignment="1" applyProtection="1">
      <alignment horizontal="center"/>
      <protection locked="0"/>
    </xf>
    <xf numFmtId="174" fontId="91" fillId="0" borderId="0" xfId="0" applyNumberFormat="1" applyFont="1" applyAlignment="1" applyProtection="1">
      <alignment horizontal="right" vertical="top"/>
      <protection locked="0"/>
    </xf>
    <xf numFmtId="172" fontId="91" fillId="0" borderId="55" xfId="0" quotePrefix="1" applyNumberFormat="1" applyFont="1" applyBorder="1" applyAlignment="1">
      <alignment horizontal="right" vertical="top"/>
    </xf>
    <xf numFmtId="182" fontId="106" fillId="0" borderId="57" xfId="0" applyNumberFormat="1" applyFont="1" applyBorder="1" applyAlignment="1">
      <alignment horizontal="center" vertical="top"/>
    </xf>
    <xf numFmtId="182" fontId="106" fillId="0" borderId="0" xfId="0" applyNumberFormat="1" applyFont="1" applyAlignment="1">
      <alignment horizontal="center" vertical="top"/>
    </xf>
    <xf numFmtId="174" fontId="92" fillId="63" borderId="0" xfId="0" applyNumberFormat="1" applyFont="1" applyFill="1"/>
    <xf numFmtId="0" fontId="91" fillId="0" borderId="47" xfId="0" applyFont="1" applyBorder="1" applyProtection="1">
      <protection locked="0"/>
    </xf>
    <xf numFmtId="196" fontId="91" fillId="0" borderId="57" xfId="0" applyNumberFormat="1" applyFont="1" applyBorder="1" applyAlignment="1" applyProtection="1">
      <alignment horizontal="center"/>
      <protection locked="0"/>
    </xf>
    <xf numFmtId="172" fontId="32" fillId="0" borderId="55" xfId="8" applyNumberFormat="1" applyFont="1" applyBorder="1" applyProtection="1">
      <protection locked="0"/>
    </xf>
    <xf numFmtId="172" fontId="32" fillId="0" borderId="103" xfId="8" applyNumberFormat="1" applyFont="1" applyBorder="1" applyProtection="1">
      <protection locked="0"/>
    </xf>
    <xf numFmtId="190" fontId="172" fillId="2" borderId="0" xfId="8" applyNumberFormat="1" applyFont="1" applyFill="1" applyProtection="1">
      <protection locked="0"/>
    </xf>
    <xf numFmtId="174" fontId="91" fillId="0" borderId="0" xfId="0" applyNumberFormat="1" applyFont="1" applyAlignment="1" applyProtection="1">
      <alignment horizontal="right"/>
      <protection locked="0"/>
    </xf>
    <xf numFmtId="174" fontId="92" fillId="0" borderId="0" xfId="0" applyNumberFormat="1" applyFont="1" applyAlignment="1" applyProtection="1">
      <alignment horizontal="right"/>
      <protection locked="0"/>
    </xf>
    <xf numFmtId="3" fontId="92" fillId="0" borderId="0" xfId="0" applyNumberFormat="1" applyFont="1" applyAlignment="1" applyProtection="1">
      <alignment horizontal="center"/>
      <protection locked="0"/>
    </xf>
    <xf numFmtId="172" fontId="91" fillId="0" borderId="0" xfId="0" applyNumberFormat="1" applyFont="1" applyAlignment="1" applyProtection="1">
      <alignment horizontal="right"/>
      <protection locked="0"/>
    </xf>
    <xf numFmtId="0" fontId="91" fillId="0" borderId="47" xfId="0" quotePrefix="1" applyFont="1" applyBorder="1" applyProtection="1">
      <protection locked="0"/>
    </xf>
    <xf numFmtId="0" fontId="96" fillId="0" borderId="0" xfId="0" applyFont="1" applyAlignment="1" applyProtection="1">
      <alignment horizontal="left"/>
      <protection locked="0"/>
    </xf>
    <xf numFmtId="0" fontId="96" fillId="0" borderId="0" xfId="0" applyFont="1" applyAlignment="1" applyProtection="1">
      <alignment horizontal="center"/>
      <protection locked="0"/>
    </xf>
    <xf numFmtId="1" fontId="96" fillId="0" borderId="0" xfId="0" applyNumberFormat="1" applyFont="1" applyAlignment="1" applyProtection="1">
      <alignment horizontal="right"/>
      <protection locked="0"/>
    </xf>
    <xf numFmtId="1" fontId="96" fillId="0" borderId="0" xfId="0" applyNumberFormat="1" applyFont="1" applyAlignment="1" applyProtection="1">
      <alignment horizontal="center"/>
      <protection locked="0"/>
    </xf>
    <xf numFmtId="174" fontId="96" fillId="0" borderId="0" xfId="0" applyNumberFormat="1" applyFont="1" applyAlignment="1" applyProtection="1">
      <alignment horizontal="center"/>
      <protection locked="0"/>
    </xf>
    <xf numFmtId="0" fontId="96" fillId="0" borderId="0" xfId="0" applyFont="1" applyProtection="1">
      <protection locked="0"/>
    </xf>
    <xf numFmtId="1" fontId="92" fillId="3" borderId="0" xfId="11" applyNumberFormat="1" applyFont="1" applyFill="1" applyBorder="1" applyAlignment="1" applyProtection="1">
      <alignment horizontal="center"/>
      <protection locked="0"/>
    </xf>
    <xf numFmtId="164" fontId="92" fillId="3" borderId="0" xfId="11" applyNumberFormat="1" applyFont="1" applyFill="1" applyBorder="1" applyAlignment="1" applyProtection="1">
      <alignment horizontal="center"/>
      <protection locked="0"/>
    </xf>
    <xf numFmtId="174" fontId="96" fillId="0" borderId="0" xfId="0" applyNumberFormat="1" applyFont="1" applyProtection="1">
      <protection locked="0"/>
    </xf>
    <xf numFmtId="172" fontId="96" fillId="0" borderId="0" xfId="11" applyNumberFormat="1" applyFont="1" applyFill="1" applyBorder="1" applyAlignment="1" applyProtection="1">
      <alignment horizontal="right"/>
      <protection locked="0"/>
    </xf>
    <xf numFmtId="182" fontId="96" fillId="0" borderId="0" xfId="11" applyNumberFormat="1" applyFont="1" applyFill="1" applyBorder="1" applyAlignment="1" applyProtection="1">
      <alignment horizontal="center"/>
      <protection locked="0"/>
    </xf>
    <xf numFmtId="182" fontId="96" fillId="0" borderId="0" xfId="0" applyNumberFormat="1" applyFont="1" applyAlignment="1" applyProtection="1">
      <alignment horizontal="center"/>
      <protection locked="0"/>
    </xf>
    <xf numFmtId="1" fontId="91" fillId="0" borderId="0" xfId="0" applyNumberFormat="1" applyFont="1" applyAlignment="1" applyProtection="1">
      <alignment horizontal="center"/>
      <protection locked="0"/>
    </xf>
    <xf numFmtId="182" fontId="91" fillId="0" borderId="0" xfId="0" applyNumberFormat="1" applyFont="1" applyAlignment="1" applyProtection="1">
      <alignment horizontal="center"/>
      <protection locked="0"/>
    </xf>
    <xf numFmtId="0" fontId="92" fillId="0" borderId="57" xfId="0" applyFont="1" applyBorder="1" applyProtection="1">
      <protection locked="0"/>
    </xf>
    <xf numFmtId="0" fontId="91" fillId="0" borderId="57" xfId="0" applyFont="1" applyBorder="1" applyProtection="1">
      <protection locked="0"/>
    </xf>
    <xf numFmtId="182" fontId="91" fillId="0" borderId="57" xfId="0" applyNumberFormat="1" applyFont="1" applyBorder="1" applyAlignment="1" applyProtection="1">
      <alignment horizontal="center"/>
      <protection locked="0"/>
    </xf>
    <xf numFmtId="172" fontId="92" fillId="0" borderId="57" xfId="0" applyNumberFormat="1" applyFont="1" applyBorder="1" applyAlignment="1" applyProtection="1">
      <alignment horizontal="center" vertical="top"/>
      <protection locked="0"/>
    </xf>
    <xf numFmtId="0" fontId="91" fillId="62" borderId="0" xfId="0" applyFont="1" applyFill="1" applyProtection="1">
      <protection locked="0"/>
    </xf>
    <xf numFmtId="182" fontId="91" fillId="62" borderId="0" xfId="0" applyNumberFormat="1" applyFont="1" applyFill="1" applyAlignment="1" applyProtection="1">
      <alignment horizontal="center"/>
      <protection locked="0"/>
    </xf>
    <xf numFmtId="164" fontId="91" fillId="62" borderId="0" xfId="0" applyNumberFormat="1" applyFont="1" applyFill="1" applyAlignment="1" applyProtection="1">
      <alignment horizontal="center"/>
      <protection locked="0"/>
    </xf>
    <xf numFmtId="172" fontId="91" fillId="62" borderId="0" xfId="0" applyNumberFormat="1" applyFont="1" applyFill="1" applyAlignment="1" applyProtection="1">
      <alignment horizontal="center" vertical="top"/>
      <protection locked="0"/>
    </xf>
    <xf numFmtId="0" fontId="91" fillId="0" borderId="1" xfId="0" applyFont="1" applyBorder="1" applyProtection="1">
      <protection locked="0"/>
    </xf>
    <xf numFmtId="182" fontId="91" fillId="0" borderId="1" xfId="0" applyNumberFormat="1" applyFont="1" applyBorder="1" applyAlignment="1" applyProtection="1">
      <alignment horizontal="center"/>
      <protection locked="0"/>
    </xf>
    <xf numFmtId="164" fontId="91" fillId="0" borderId="1" xfId="0" applyNumberFormat="1" applyFont="1" applyBorder="1" applyAlignment="1" applyProtection="1">
      <alignment horizontal="center"/>
      <protection locked="0"/>
    </xf>
    <xf numFmtId="172" fontId="91" fillId="0" borderId="1" xfId="0" applyNumberFormat="1" applyFont="1" applyBorder="1" applyAlignment="1" applyProtection="1">
      <alignment horizontal="center" vertical="top"/>
      <protection locked="0"/>
    </xf>
    <xf numFmtId="182" fontId="91" fillId="0" borderId="0" xfId="0" applyNumberFormat="1" applyFont="1" applyProtection="1">
      <protection locked="0"/>
    </xf>
    <xf numFmtId="182" fontId="91" fillId="0" borderId="57" xfId="0" applyNumberFormat="1" applyFont="1" applyBorder="1" applyProtection="1">
      <protection locked="0"/>
    </xf>
    <xf numFmtId="182" fontId="91" fillId="62" borderId="0" xfId="0" applyNumberFormat="1" applyFont="1" applyFill="1" applyProtection="1">
      <protection locked="0"/>
    </xf>
    <xf numFmtId="172" fontId="92" fillId="0" borderId="57" xfId="0" applyNumberFormat="1" applyFont="1" applyBorder="1" applyAlignment="1" applyProtection="1">
      <alignment horizontal="center"/>
      <protection locked="0"/>
    </xf>
    <xf numFmtId="173" fontId="92" fillId="0" borderId="57" xfId="0" applyNumberFormat="1" applyFont="1" applyBorder="1" applyAlignment="1" applyProtection="1">
      <alignment horizontal="center"/>
      <protection locked="0"/>
    </xf>
    <xf numFmtId="173" fontId="92" fillId="0" borderId="57" xfId="0" applyNumberFormat="1" applyFont="1" applyBorder="1" applyAlignment="1" applyProtection="1">
      <alignment horizontal="center" vertical="top"/>
      <protection locked="0"/>
    </xf>
    <xf numFmtId="0" fontId="92" fillId="62" borderId="0" xfId="0" applyFont="1" applyFill="1" applyProtection="1">
      <protection locked="0"/>
    </xf>
    <xf numFmtId="172" fontId="92" fillId="62" borderId="0" xfId="0" applyNumberFormat="1" applyFont="1" applyFill="1" applyAlignment="1" applyProtection="1">
      <alignment horizontal="center" vertical="top"/>
      <protection locked="0"/>
    </xf>
    <xf numFmtId="0" fontId="104" fillId="0" borderId="1" xfId="0" applyFont="1" applyBorder="1" applyProtection="1">
      <protection locked="0"/>
    </xf>
    <xf numFmtId="174" fontId="92" fillId="3" borderId="0" xfId="9" applyNumberFormat="1" applyFont="1" applyFill="1" applyBorder="1" applyAlignment="1" applyProtection="1">
      <alignment horizontal="center" vertical="top"/>
      <protection locked="0"/>
    </xf>
    <xf numFmtId="10" fontId="91" fillId="3" borderId="0" xfId="9" applyNumberFormat="1" applyFont="1" applyFill="1" applyBorder="1" applyAlignment="1" applyProtection="1">
      <alignment horizontal="center" vertical="top"/>
      <protection locked="0"/>
    </xf>
    <xf numFmtId="10" fontId="91" fillId="3" borderId="0" xfId="9" quotePrefix="1" applyNumberFormat="1" applyFont="1" applyFill="1" applyBorder="1" applyAlignment="1" applyProtection="1">
      <alignment horizontal="center" vertical="top"/>
      <protection locked="0"/>
    </xf>
    <xf numFmtId="0" fontId="185" fillId="0" borderId="0" xfId="0" applyFont="1"/>
    <xf numFmtId="0" fontId="185" fillId="0" borderId="57" xfId="0" applyFont="1" applyBorder="1"/>
    <xf numFmtId="174" fontId="92" fillId="0" borderId="0" xfId="0" applyNumberFormat="1" applyFont="1" applyAlignment="1" applyProtection="1">
      <alignment horizontal="center"/>
      <protection locked="0"/>
    </xf>
    <xf numFmtId="6" fontId="91" fillId="0" borderId="0" xfId="0" applyNumberFormat="1" applyFont="1" applyAlignment="1" applyProtection="1">
      <alignment horizontal="center"/>
      <protection locked="0"/>
    </xf>
    <xf numFmtId="174" fontId="91" fillId="0" borderId="0" xfId="0" applyNumberFormat="1" applyFont="1" applyAlignment="1" applyProtection="1">
      <alignment horizontal="center"/>
      <protection locked="0"/>
    </xf>
    <xf numFmtId="174" fontId="90" fillId="0" borderId="0" xfId="0" applyNumberFormat="1" applyFont="1" applyAlignment="1" applyProtection="1">
      <alignment horizontal="center"/>
      <protection locked="0"/>
    </xf>
    <xf numFmtId="8" fontId="92" fillId="0" borderId="0" xfId="0" applyNumberFormat="1" applyFont="1" applyProtection="1">
      <protection locked="0"/>
    </xf>
    <xf numFmtId="172" fontId="96" fillId="0" borderId="0" xfId="0" applyNumberFormat="1" applyFont="1" applyAlignment="1" applyProtection="1">
      <alignment horizontal="right"/>
      <protection locked="0"/>
    </xf>
    <xf numFmtId="172" fontId="90" fillId="0" borderId="0" xfId="0" applyNumberFormat="1" applyFont="1" applyProtection="1">
      <protection locked="0"/>
    </xf>
    <xf numFmtId="0" fontId="91" fillId="0" borderId="0" xfId="0" quotePrefix="1" applyFont="1" applyProtection="1">
      <protection locked="0"/>
    </xf>
    <xf numFmtId="172" fontId="91" fillId="0" borderId="0" xfId="0" applyNumberFormat="1" applyFont="1" applyAlignment="1" applyProtection="1">
      <alignment horizontal="right" wrapText="1"/>
      <protection locked="0"/>
    </xf>
    <xf numFmtId="0" fontId="91" fillId="0" borderId="57" xfId="0" quotePrefix="1" applyFont="1" applyBorder="1" applyProtection="1">
      <protection locked="0"/>
    </xf>
    <xf numFmtId="172" fontId="91" fillId="0" borderId="57" xfId="0" applyNumberFormat="1" applyFont="1" applyBorder="1" applyAlignment="1" applyProtection="1">
      <alignment horizontal="right" wrapText="1"/>
      <protection locked="0"/>
    </xf>
    <xf numFmtId="0" fontId="180" fillId="0" borderId="0" xfId="0" applyFont="1" applyAlignment="1">
      <alignment horizontal="left"/>
    </xf>
    <xf numFmtId="174" fontId="92" fillId="0" borderId="65" xfId="0" applyNumberFormat="1" applyFont="1" applyBorder="1" applyAlignment="1">
      <alignment horizontal="right" wrapText="1"/>
    </xf>
    <xf numFmtId="0" fontId="173" fillId="2" borderId="47" xfId="0" applyFont="1" applyFill="1" applyBorder="1" applyProtection="1">
      <protection locked="0"/>
    </xf>
    <xf numFmtId="172" fontId="91" fillId="3" borderId="47" xfId="9" applyNumberFormat="1" applyFont="1" applyFill="1" applyBorder="1" applyAlignment="1" applyProtection="1">
      <alignment horizontal="center" vertical="top"/>
      <protection locked="0"/>
    </xf>
    <xf numFmtId="187" fontId="91" fillId="3" borderId="47" xfId="0" applyNumberFormat="1" applyFont="1" applyFill="1" applyBorder="1" applyAlignment="1" applyProtection="1">
      <alignment horizontal="center" vertical="top"/>
      <protection locked="0"/>
    </xf>
    <xf numFmtId="174" fontId="91" fillId="3" borderId="47" xfId="0" applyNumberFormat="1" applyFont="1" applyFill="1" applyBorder="1" applyAlignment="1" applyProtection="1">
      <alignment horizontal="center"/>
      <protection locked="0"/>
    </xf>
    <xf numFmtId="174" fontId="90" fillId="0" borderId="57" xfId="4" applyNumberFormat="1" applyFont="1" applyFill="1" applyBorder="1" applyAlignment="1" applyProtection="1">
      <alignment horizontal="center"/>
      <protection locked="0"/>
    </xf>
    <xf numFmtId="174" fontId="90" fillId="0" borderId="0" xfId="4" applyNumberFormat="1" applyFont="1" applyFill="1" applyBorder="1" applyAlignment="1" applyProtection="1">
      <alignment horizontal="center"/>
      <protection locked="0"/>
    </xf>
    <xf numFmtId="0" fontId="105" fillId="0" borderId="0" xfId="0" quotePrefix="1" applyFont="1" applyAlignment="1">
      <alignment horizontal="center"/>
    </xf>
    <xf numFmtId="172" fontId="173" fillId="2" borderId="55" xfId="0" applyNumberFormat="1" applyFont="1" applyFill="1" applyBorder="1" applyAlignment="1" applyProtection="1">
      <alignment horizontal="center"/>
      <protection locked="0"/>
    </xf>
    <xf numFmtId="172" fontId="173" fillId="2" borderId="55" xfId="0" applyNumberFormat="1" applyFont="1" applyFill="1" applyBorder="1" applyAlignment="1" applyProtection="1">
      <alignment horizontal="center" vertical="top"/>
      <protection locked="0"/>
    </xf>
    <xf numFmtId="164" fontId="92" fillId="0" borderId="0" xfId="0" applyNumberFormat="1" applyFont="1" applyAlignment="1" applyProtection="1">
      <alignment horizontal="left"/>
      <protection locked="0"/>
    </xf>
    <xf numFmtId="172" fontId="91" fillId="0" borderId="52" xfId="0" applyNumberFormat="1" applyFont="1" applyBorder="1" applyProtection="1">
      <protection locked="0"/>
    </xf>
    <xf numFmtId="172" fontId="91" fillId="0" borderId="47" xfId="0" applyNumberFormat="1" applyFont="1" applyBorder="1" applyProtection="1">
      <protection locked="0"/>
    </xf>
    <xf numFmtId="174" fontId="91" fillId="0" borderId="52" xfId="0" applyNumberFormat="1" applyFont="1" applyBorder="1" applyProtection="1">
      <protection locked="0"/>
    </xf>
    <xf numFmtId="172" fontId="91" fillId="0" borderId="50" xfId="0" applyNumberFormat="1" applyFont="1" applyBorder="1" applyProtection="1">
      <protection locked="0"/>
    </xf>
    <xf numFmtId="174" fontId="91" fillId="0" borderId="47" xfId="0" applyNumberFormat="1" applyFont="1" applyBorder="1" applyProtection="1">
      <protection locked="0"/>
    </xf>
    <xf numFmtId="0" fontId="91" fillId="64" borderId="0" xfId="0" applyFont="1" applyFill="1"/>
    <xf numFmtId="0" fontId="92" fillId="64" borderId="0" xfId="0" applyFont="1" applyFill="1"/>
    <xf numFmtId="0" fontId="92" fillId="64" borderId="0" xfId="0" applyFont="1" applyFill="1" applyAlignment="1">
      <alignment horizontal="right" wrapText="1"/>
    </xf>
    <xf numFmtId="174" fontId="90" fillId="0" borderId="57" xfId="0" applyNumberFormat="1" applyFont="1" applyBorder="1" applyProtection="1">
      <protection locked="0"/>
    </xf>
    <xf numFmtId="172" fontId="90" fillId="0" borderId="47" xfId="0" applyNumberFormat="1" applyFont="1" applyBorder="1" applyProtection="1">
      <protection locked="0"/>
    </xf>
    <xf numFmtId="172" fontId="90" fillId="0" borderId="1" xfId="0" applyNumberFormat="1" applyFont="1" applyBorder="1" applyProtection="1">
      <protection locked="0"/>
    </xf>
    <xf numFmtId="174" fontId="91" fillId="0" borderId="103" xfId="0" applyNumberFormat="1" applyFont="1" applyBorder="1" applyAlignment="1" applyProtection="1">
      <alignment horizontal="right" vertical="top"/>
      <protection locked="0"/>
    </xf>
    <xf numFmtId="174" fontId="91" fillId="0" borderId="55" xfId="0" applyNumberFormat="1" applyFont="1" applyBorder="1" applyAlignment="1" applyProtection="1">
      <alignment horizontal="right" vertical="top"/>
      <protection locked="0"/>
    </xf>
    <xf numFmtId="174" fontId="91" fillId="0" borderId="112" xfId="0" applyNumberFormat="1" applyFont="1" applyBorder="1" applyAlignment="1" applyProtection="1">
      <alignment horizontal="right" vertical="top"/>
      <protection locked="0"/>
    </xf>
    <xf numFmtId="0" fontId="92" fillId="61" borderId="47" xfId="0" applyFont="1" applyFill="1" applyBorder="1" applyAlignment="1" applyProtection="1">
      <alignment horizontal="center" vertical="top"/>
      <protection locked="0"/>
    </xf>
    <xf numFmtId="174" fontId="91" fillId="0" borderId="0" xfId="0" applyNumberFormat="1" applyFont="1" applyAlignment="1" applyProtection="1">
      <alignment horizontal="center" vertical="top"/>
      <protection locked="0"/>
    </xf>
    <xf numFmtId="0" fontId="91" fillId="0" borderId="0" xfId="7" applyFont="1" applyFill="1" applyBorder="1" applyAlignment="1" applyProtection="1">
      <alignment horizontal="left" wrapText="1"/>
      <protection locked="0"/>
    </xf>
    <xf numFmtId="0" fontId="119" fillId="0" borderId="0" xfId="33111" applyAlignment="1" applyProtection="1">
      <alignment horizontal="left" vertical="top"/>
      <protection locked="0"/>
    </xf>
    <xf numFmtId="0" fontId="92" fillId="64" borderId="1" xfId="0" applyFont="1" applyFill="1" applyBorder="1" applyAlignment="1" applyProtection="1">
      <alignment horizontal="center"/>
      <protection locked="0"/>
    </xf>
    <xf numFmtId="0" fontId="92" fillId="64" borderId="14" xfId="0" applyFont="1" applyFill="1" applyBorder="1" applyAlignment="1" applyProtection="1">
      <alignment horizontal="center"/>
      <protection locked="0"/>
    </xf>
    <xf numFmtId="0" fontId="107" fillId="64" borderId="60" xfId="0" applyFont="1" applyFill="1" applyBorder="1" applyAlignment="1" applyProtection="1">
      <alignment horizontal="center" vertical="top"/>
      <protection locked="0"/>
    </xf>
    <xf numFmtId="0" fontId="107" fillId="64" borderId="61" xfId="0" applyFont="1" applyFill="1" applyBorder="1" applyAlignment="1" applyProtection="1">
      <alignment horizontal="center" vertical="top"/>
      <protection locked="0"/>
    </xf>
    <xf numFmtId="0" fontId="107" fillId="64" borderId="62" xfId="0" applyFont="1" applyFill="1" applyBorder="1" applyAlignment="1" applyProtection="1">
      <alignment horizontal="center" vertical="top"/>
      <protection locked="0"/>
    </xf>
    <xf numFmtId="0" fontId="104" fillId="64" borderId="45" xfId="0" applyFont="1" applyFill="1" applyBorder="1" applyAlignment="1" applyProtection="1">
      <alignment horizontal="center" vertical="top"/>
      <protection locked="0"/>
    </xf>
    <xf numFmtId="0" fontId="104" fillId="64" borderId="41" xfId="0" applyFont="1" applyFill="1" applyBorder="1" applyAlignment="1" applyProtection="1">
      <alignment horizontal="center" vertical="top"/>
      <protection locked="0"/>
    </xf>
    <xf numFmtId="0" fontId="104" fillId="64" borderId="46" xfId="0" applyFont="1" applyFill="1" applyBorder="1" applyAlignment="1" applyProtection="1">
      <alignment horizontal="center" vertical="top"/>
      <protection locked="0"/>
    </xf>
    <xf numFmtId="0" fontId="122" fillId="0" borderId="55" xfId="33111" applyFont="1" applyBorder="1" applyAlignment="1" applyProtection="1">
      <alignment horizontal="center" vertical="top"/>
      <protection locked="0"/>
    </xf>
    <xf numFmtId="172" fontId="122" fillId="0" borderId="55" xfId="33111" applyNumberFormat="1" applyFont="1" applyBorder="1" applyAlignment="1" applyProtection="1">
      <alignment horizontal="center" vertical="top"/>
      <protection locked="0"/>
    </xf>
    <xf numFmtId="0" fontId="120" fillId="72" borderId="0" xfId="33111" applyFont="1" applyFill="1" applyAlignment="1" applyProtection="1">
      <alignment horizontal="left" vertical="top" wrapText="1"/>
      <protection locked="0"/>
    </xf>
    <xf numFmtId="0" fontId="64" fillId="62" borderId="90" xfId="33111" applyFont="1" applyFill="1" applyBorder="1" applyAlignment="1" applyProtection="1">
      <alignment horizontal="center" vertical="top" wrapText="1"/>
      <protection locked="0"/>
    </xf>
    <xf numFmtId="0" fontId="91" fillId="0" borderId="93" xfId="33111" applyFont="1" applyBorder="1" applyAlignment="1" applyProtection="1">
      <alignment vertical="center" wrapText="1"/>
      <protection locked="0"/>
    </xf>
    <xf numFmtId="0" fontId="91" fillId="0" borderId="16" xfId="33111" applyFont="1" applyBorder="1" applyAlignment="1" applyProtection="1">
      <alignment horizontal="left" vertical="center"/>
      <protection locked="0"/>
    </xf>
    <xf numFmtId="0" fontId="91" fillId="0" borderId="95" xfId="33111" applyFont="1" applyBorder="1" applyAlignment="1" applyProtection="1">
      <alignment horizontal="right" vertical="center" wrapText="1"/>
      <protection locked="0"/>
    </xf>
    <xf numFmtId="0" fontId="91" fillId="0" borderId="95" xfId="33111" applyFont="1" applyBorder="1" applyAlignment="1" applyProtection="1">
      <alignment vertical="center" wrapText="1"/>
      <protection locked="0"/>
    </xf>
    <xf numFmtId="0" fontId="91" fillId="0" borderId="94" xfId="33111" applyFont="1" applyBorder="1" applyAlignment="1" applyProtection="1">
      <alignment horizontal="right" vertical="center" wrapText="1"/>
      <protection locked="0"/>
    </xf>
    <xf numFmtId="0" fontId="91" fillId="0" borderId="70" xfId="33111" applyFont="1" applyBorder="1" applyAlignment="1" applyProtection="1">
      <alignment horizontal="left" vertical="center"/>
      <protection locked="0"/>
    </xf>
    <xf numFmtId="0" fontId="91" fillId="0" borderId="74" xfId="33111" applyFont="1" applyBorder="1" applyAlignment="1" applyProtection="1">
      <alignment horizontal="right" vertical="center" wrapText="1"/>
      <protection locked="0"/>
    </xf>
    <xf numFmtId="0" fontId="91" fillId="0" borderId="70" xfId="33111" applyFont="1" applyBorder="1" applyAlignment="1" applyProtection="1">
      <alignment horizontal="right" vertical="center" wrapText="1"/>
      <protection locked="0"/>
    </xf>
    <xf numFmtId="172" fontId="91" fillId="0" borderId="70" xfId="33111" applyNumberFormat="1" applyFont="1" applyBorder="1" applyAlignment="1" applyProtection="1">
      <alignment horizontal="right" vertical="center"/>
      <protection locked="0"/>
    </xf>
    <xf numFmtId="172" fontId="91" fillId="0" borderId="95" xfId="33111" applyNumberFormat="1" applyFont="1" applyBorder="1" applyAlignment="1" applyProtection="1">
      <alignment vertical="center" wrapText="1"/>
      <protection locked="0"/>
    </xf>
    <xf numFmtId="0" fontId="96" fillId="0" borderId="94" xfId="33111" applyFont="1" applyBorder="1" applyAlignment="1" applyProtection="1">
      <alignment horizontal="right" vertical="center" wrapText="1"/>
      <protection locked="0"/>
    </xf>
    <xf numFmtId="181" fontId="91" fillId="0" borderId="95" xfId="33111" applyNumberFormat="1" applyFont="1" applyBorder="1" applyAlignment="1" applyProtection="1">
      <alignment horizontal="right" vertical="center" wrapText="1"/>
      <protection locked="0"/>
    </xf>
    <xf numFmtId="172" fontId="91" fillId="0" borderId="94" xfId="33111" applyNumberFormat="1" applyFont="1" applyBorder="1" applyAlignment="1" applyProtection="1">
      <alignment horizontal="right" vertical="center" wrapText="1"/>
      <protection locked="0"/>
    </xf>
    <xf numFmtId="172" fontId="91" fillId="0" borderId="95" xfId="33111" applyNumberFormat="1" applyFont="1" applyBorder="1" applyAlignment="1" applyProtection="1">
      <alignment horizontal="right" vertical="center" wrapText="1"/>
      <protection locked="0"/>
    </xf>
    <xf numFmtId="172" fontId="90" fillId="0" borderId="95" xfId="33111" quotePrefix="1" applyNumberFormat="1" applyFont="1" applyBorder="1" applyAlignment="1" applyProtection="1">
      <alignment vertical="center" wrapText="1"/>
      <protection locked="0"/>
    </xf>
    <xf numFmtId="172" fontId="91" fillId="0" borderId="101" xfId="33111" applyNumberFormat="1" applyFont="1" applyBorder="1" applyAlignment="1" applyProtection="1">
      <alignment horizontal="right" vertical="center" wrapText="1"/>
      <protection locked="0"/>
    </xf>
    <xf numFmtId="0" fontId="91" fillId="0" borderId="58" xfId="33111" applyFont="1" applyBorder="1" applyAlignment="1" applyProtection="1">
      <alignment vertical="top" wrapText="1"/>
      <protection locked="0"/>
    </xf>
    <xf numFmtId="0" fontId="91" fillId="0" borderId="57" xfId="33111" applyFont="1" applyBorder="1" applyAlignment="1" applyProtection="1">
      <alignment vertical="top" wrapText="1"/>
      <protection locked="0"/>
    </xf>
    <xf numFmtId="172" fontId="91" fillId="0" borderId="57" xfId="33111" applyNumberFormat="1" applyFont="1" applyBorder="1" applyAlignment="1" applyProtection="1">
      <alignment horizontal="right" vertical="top" wrapText="1"/>
      <protection locked="0"/>
    </xf>
    <xf numFmtId="0" fontId="91" fillId="0" borderId="57" xfId="33111" applyFont="1" applyBorder="1" applyAlignment="1" applyProtection="1">
      <alignment horizontal="right" vertical="top" wrapText="1"/>
      <protection locked="0"/>
    </xf>
    <xf numFmtId="0" fontId="91" fillId="0" borderId="1" xfId="33111" applyFont="1" applyBorder="1" applyAlignment="1" applyProtection="1">
      <alignment vertical="top" wrapText="1"/>
      <protection locked="0"/>
    </xf>
    <xf numFmtId="172" fontId="91" fillId="0" borderId="1" xfId="33111" applyNumberFormat="1" applyFont="1" applyBorder="1" applyAlignment="1" applyProtection="1">
      <alignment horizontal="right" vertical="top" wrapText="1"/>
      <protection locked="0"/>
    </xf>
    <xf numFmtId="0" fontId="91" fillId="0" borderId="1" xfId="33111" applyFont="1" applyBorder="1" applyAlignment="1" applyProtection="1">
      <alignment horizontal="right" vertical="top" wrapText="1"/>
      <protection locked="0"/>
    </xf>
    <xf numFmtId="0" fontId="121" fillId="0" borderId="0" xfId="33111" applyFont="1" applyAlignment="1" applyProtection="1">
      <alignment vertical="top" wrapText="1"/>
      <protection locked="0"/>
    </xf>
    <xf numFmtId="181" fontId="89" fillId="0" borderId="85" xfId="33111" applyNumberFormat="1" applyFont="1" applyBorder="1" applyAlignment="1" applyProtection="1">
      <alignment horizontal="right" vertical="top" wrapText="1"/>
      <protection locked="0"/>
    </xf>
    <xf numFmtId="0" fontId="89" fillId="0" borderId="86" xfId="33111" applyFont="1" applyBorder="1" applyAlignment="1" applyProtection="1">
      <alignment horizontal="left" vertical="top" wrapText="1"/>
      <protection locked="0"/>
    </xf>
    <xf numFmtId="192" fontId="90" fillId="0" borderId="81" xfId="33111" applyNumberFormat="1" applyFont="1" applyBorder="1" applyAlignment="1" applyProtection="1">
      <alignment horizontal="right" vertical="top" wrapText="1"/>
      <protection locked="0"/>
    </xf>
    <xf numFmtId="0" fontId="90" fillId="0" borderId="82" xfId="33111" applyFont="1" applyBorder="1" applyAlignment="1" applyProtection="1">
      <alignment horizontal="left" vertical="top" wrapText="1"/>
      <protection locked="0"/>
    </xf>
    <xf numFmtId="187" fontId="128" fillId="2" borderId="0" xfId="33111" applyNumberFormat="1" applyFont="1" applyFill="1" applyAlignment="1" applyProtection="1">
      <alignment horizontal="right" vertical="top"/>
      <protection locked="0"/>
    </xf>
    <xf numFmtId="0" fontId="128" fillId="0" borderId="0" xfId="33111" applyFont="1" applyAlignment="1" applyProtection="1">
      <alignment horizontal="left" vertical="top"/>
      <protection locked="0"/>
    </xf>
    <xf numFmtId="174" fontId="128" fillId="0" borderId="0" xfId="33111" applyNumberFormat="1" applyFont="1" applyAlignment="1" applyProtection="1">
      <alignment horizontal="right" vertical="top"/>
      <protection locked="0"/>
    </xf>
    <xf numFmtId="0" fontId="128" fillId="0" borderId="0" xfId="33111" quotePrefix="1" applyFont="1" applyAlignment="1" applyProtection="1">
      <alignment horizontal="left" vertical="top"/>
      <protection locked="0"/>
    </xf>
    <xf numFmtId="174" fontId="119" fillId="0" borderId="0" xfId="33111" applyNumberFormat="1" applyAlignment="1" applyProtection="1">
      <alignment horizontal="right" vertical="top"/>
      <protection locked="0"/>
    </xf>
    <xf numFmtId="0" fontId="11" fillId="66" borderId="69" xfId="0" applyFont="1" applyFill="1" applyBorder="1" applyAlignment="1">
      <alignment horizontal="center"/>
    </xf>
    <xf numFmtId="0" fontId="11" fillId="66" borderId="65" xfId="0" applyFont="1" applyFill="1" applyBorder="1" applyAlignment="1">
      <alignment horizontal="center"/>
    </xf>
    <xf numFmtId="0" fontId="11" fillId="66" borderId="63" xfId="0" applyFont="1" applyFill="1" applyBorder="1" applyAlignment="1">
      <alignment horizontal="center"/>
    </xf>
    <xf numFmtId="0" fontId="11" fillId="66" borderId="65" xfId="0" applyFont="1" applyFill="1" applyBorder="1" applyAlignment="1">
      <alignment horizontal="center" wrapText="1"/>
    </xf>
    <xf numFmtId="0" fontId="11" fillId="66" borderId="63" xfId="0" applyFont="1" applyFill="1" applyBorder="1" applyAlignment="1">
      <alignment horizontal="center" wrapText="1"/>
    </xf>
    <xf numFmtId="209" fontId="92" fillId="0" borderId="47" xfId="0" applyNumberFormat="1" applyFont="1" applyBorder="1" applyAlignment="1">
      <alignment horizontal="right" vertical="top"/>
    </xf>
    <xf numFmtId="172" fontId="89" fillId="0" borderId="52" xfId="0" applyNumberFormat="1" applyFont="1" applyBorder="1" applyAlignment="1">
      <alignment horizontal="right" vertical="top"/>
    </xf>
    <xf numFmtId="0" fontId="92" fillId="3" borderId="47" xfId="0" applyFont="1" applyFill="1" applyBorder="1"/>
    <xf numFmtId="172" fontId="91" fillId="3" borderId="47" xfId="0" applyNumberFormat="1" applyFont="1" applyFill="1" applyBorder="1" applyAlignment="1">
      <alignment horizontal="right" vertical="top"/>
    </xf>
    <xf numFmtId="172" fontId="92" fillId="0" borderId="57" xfId="0" applyNumberFormat="1" applyFont="1" applyBorder="1" applyAlignment="1">
      <alignment horizontal="right" vertical="top"/>
    </xf>
    <xf numFmtId="174" fontId="173" fillId="2" borderId="47" xfId="0" applyNumberFormat="1" applyFont="1" applyFill="1" applyBorder="1" applyAlignment="1">
      <alignment horizontal="center" vertical="top"/>
    </xf>
    <xf numFmtId="172" fontId="173" fillId="2" borderId="47" xfId="0" applyNumberFormat="1" applyFont="1" applyFill="1" applyBorder="1" applyAlignment="1">
      <alignment horizontal="center" vertical="top"/>
    </xf>
    <xf numFmtId="0" fontId="105" fillId="0" borderId="0" xfId="0" applyFont="1" applyAlignment="1">
      <alignment horizontal="center"/>
    </xf>
    <xf numFmtId="221" fontId="90" fillId="0" borderId="55" xfId="11" applyNumberFormat="1" applyFont="1" applyFill="1" applyBorder="1" applyAlignment="1" applyProtection="1">
      <alignment horizontal="right"/>
    </xf>
    <xf numFmtId="0" fontId="92" fillId="64" borderId="13" xfId="0" applyFont="1" applyFill="1" applyBorder="1"/>
    <xf numFmtId="0" fontId="92" fillId="64" borderId="11" xfId="0" applyFont="1" applyFill="1" applyBorder="1"/>
    <xf numFmtId="0" fontId="92" fillId="64" borderId="12" xfId="0" applyFont="1" applyFill="1" applyBorder="1"/>
    <xf numFmtId="0" fontId="92" fillId="64" borderId="10" xfId="0" applyFont="1" applyFill="1" applyBorder="1"/>
    <xf numFmtId="0" fontId="92" fillId="64" borderId="9" xfId="0" applyFont="1" applyFill="1" applyBorder="1"/>
    <xf numFmtId="172" fontId="173" fillId="2" borderId="0" xfId="0" applyNumberFormat="1" applyFont="1" applyFill="1" applyProtection="1">
      <protection locked="0"/>
    </xf>
    <xf numFmtId="172" fontId="91" fillId="0" borderId="57" xfId="0" applyNumberFormat="1" applyFont="1" applyBorder="1" applyProtection="1">
      <protection locked="0"/>
    </xf>
    <xf numFmtId="172" fontId="92" fillId="0" borderId="57" xfId="0" applyNumberFormat="1" applyFont="1" applyBorder="1" applyProtection="1">
      <protection locked="0"/>
    </xf>
    <xf numFmtId="172" fontId="92" fillId="0" borderId="57" xfId="0" applyNumberFormat="1" applyFont="1" applyBorder="1"/>
    <xf numFmtId="172" fontId="91" fillId="0" borderId="65" xfId="0" applyNumberFormat="1" applyFont="1" applyBorder="1"/>
    <xf numFmtId="0" fontId="102" fillId="64" borderId="1" xfId="0" applyFont="1" applyFill="1" applyBorder="1"/>
    <xf numFmtId="211" fontId="91" fillId="64" borderId="1" xfId="33110" applyNumberFormat="1" applyFont="1" applyFill="1" applyBorder="1"/>
    <xf numFmtId="183" fontId="92" fillId="64" borderId="1" xfId="4" applyNumberFormat="1" applyFont="1" applyFill="1" applyBorder="1"/>
    <xf numFmtId="183" fontId="92" fillId="64" borderId="1" xfId="4" applyNumberFormat="1" applyFont="1" applyFill="1" applyBorder="1" applyAlignment="1">
      <alignment horizontal="center"/>
    </xf>
    <xf numFmtId="0" fontId="181" fillId="62" borderId="47" xfId="7" applyFont="1" applyFill="1" applyBorder="1" applyAlignment="1" applyProtection="1">
      <alignment horizontal="left" vertical="center"/>
    </xf>
    <xf numFmtId="0" fontId="181" fillId="0" borderId="47" xfId="7" applyFont="1" applyBorder="1" applyAlignment="1" applyProtection="1">
      <alignment horizontal="left" vertical="center"/>
    </xf>
    <xf numFmtId="0" fontId="181" fillId="0" borderId="47" xfId="7" applyFont="1" applyBorder="1" applyAlignment="1" applyProtection="1">
      <alignment horizontal="left" vertical="center" wrapText="1"/>
    </xf>
    <xf numFmtId="0" fontId="186" fillId="0" borderId="47" xfId="7" applyFont="1" applyBorder="1" applyAlignment="1" applyProtection="1"/>
    <xf numFmtId="174" fontId="90" fillId="0" borderId="47" xfId="9" applyNumberFormat="1" applyFont="1" applyFill="1" applyBorder="1" applyAlignment="1" applyProtection="1">
      <alignment horizontal="right" vertical="top"/>
      <protection locked="0"/>
    </xf>
    <xf numFmtId="174" fontId="90" fillId="0" borderId="47" xfId="9" applyNumberFormat="1" applyFont="1" applyFill="1" applyBorder="1" applyAlignment="1" applyProtection="1">
      <alignment horizontal="right" vertical="top"/>
    </xf>
    <xf numFmtId="174" fontId="91" fillId="0" borderId="47" xfId="9" applyNumberFormat="1" applyFont="1" applyFill="1" applyBorder="1" applyAlignment="1" applyProtection="1">
      <alignment horizontal="right" vertical="top"/>
      <protection locked="0"/>
    </xf>
    <xf numFmtId="172" fontId="90" fillId="0" borderId="50" xfId="13330" applyNumberFormat="1" applyFont="1" applyFill="1" applyBorder="1" applyAlignment="1">
      <alignment horizontal="right" vertical="top"/>
    </xf>
    <xf numFmtId="172" fontId="90" fillId="0" borderId="51" xfId="9" applyNumberFormat="1" applyFont="1" applyFill="1" applyBorder="1" applyAlignment="1" applyProtection="1">
      <alignment horizontal="right" vertical="top"/>
    </xf>
    <xf numFmtId="9" fontId="90" fillId="0" borderId="47" xfId="9" applyFont="1" applyFill="1" applyBorder="1" applyAlignment="1" applyProtection="1">
      <alignment horizontal="right" vertical="top"/>
      <protection locked="0"/>
    </xf>
    <xf numFmtId="172" fontId="96" fillId="0" borderId="47" xfId="9" applyNumberFormat="1" applyFont="1" applyFill="1" applyBorder="1" applyAlignment="1" applyProtection="1">
      <alignment horizontal="right" vertical="top"/>
      <protection locked="0"/>
    </xf>
    <xf numFmtId="0" fontId="187" fillId="0" borderId="57" xfId="0" applyFont="1" applyBorder="1"/>
    <xf numFmtId="0" fontId="96" fillId="2" borderId="124" xfId="0" applyFont="1" applyFill="1" applyBorder="1" applyProtection="1">
      <protection locked="0"/>
    </xf>
    <xf numFmtId="0" fontId="96" fillId="2" borderId="52" xfId="0" applyFont="1" applyFill="1" applyBorder="1" applyProtection="1">
      <protection locked="0"/>
    </xf>
    <xf numFmtId="0" fontId="96" fillId="2" borderId="125" xfId="0" applyFont="1" applyFill="1" applyBorder="1" applyProtection="1">
      <protection locked="0"/>
    </xf>
    <xf numFmtId="0" fontId="96" fillId="2" borderId="56" xfId="0" applyFont="1" applyFill="1" applyBorder="1" applyProtection="1">
      <protection locked="0"/>
    </xf>
    <xf numFmtId="0" fontId="96" fillId="2" borderId="126" xfId="0" applyFont="1" applyFill="1" applyBorder="1" applyProtection="1">
      <protection locked="0"/>
    </xf>
    <xf numFmtId="174" fontId="96" fillId="2" borderId="59" xfId="33110" applyNumberFormat="1" applyFont="1" applyFill="1" applyBorder="1" applyProtection="1">
      <protection locked="0"/>
    </xf>
    <xf numFmtId="174" fontId="96" fillId="2" borderId="58" xfId="33110" applyNumberFormat="1" applyFont="1" applyFill="1" applyBorder="1" applyProtection="1">
      <protection locked="0"/>
    </xf>
    <xf numFmtId="172" fontId="96" fillId="2" borderId="56" xfId="33110" applyNumberFormat="1" applyFont="1" applyFill="1" applyBorder="1" applyProtection="1">
      <protection locked="0"/>
    </xf>
    <xf numFmtId="172" fontId="96" fillId="2" borderId="126" xfId="33110" applyNumberFormat="1" applyFont="1" applyFill="1" applyBorder="1" applyProtection="1">
      <protection locked="0"/>
    </xf>
    <xf numFmtId="164" fontId="0" fillId="0" borderId="0" xfId="0" applyNumberFormat="1"/>
    <xf numFmtId="0" fontId="0" fillId="0" borderId="40" xfId="0" applyBorder="1"/>
    <xf numFmtId="164" fontId="0" fillId="0" borderId="40" xfId="0" applyNumberFormat="1" applyBorder="1"/>
    <xf numFmtId="0" fontId="0" fillId="0" borderId="148" xfId="0" applyBorder="1"/>
    <xf numFmtId="42" fontId="0" fillId="0" borderId="148" xfId="0" applyNumberFormat="1" applyBorder="1"/>
    <xf numFmtId="44" fontId="0" fillId="0" borderId="148" xfId="0" applyNumberFormat="1" applyBorder="1"/>
    <xf numFmtId="164" fontId="0" fillId="0" borderId="148" xfId="0" applyNumberFormat="1" applyBorder="1"/>
    <xf numFmtId="0" fontId="0" fillId="0" borderId="149" xfId="0" applyBorder="1"/>
    <xf numFmtId="0" fontId="0" fillId="0" borderId="150" xfId="0" applyBorder="1"/>
    <xf numFmtId="44" fontId="0" fillId="0" borderId="150" xfId="0" applyNumberFormat="1" applyBorder="1"/>
    <xf numFmtId="164" fontId="0" fillId="0" borderId="150" xfId="0" applyNumberFormat="1" applyBorder="1"/>
    <xf numFmtId="0" fontId="0" fillId="0" borderId="151" xfId="0" applyBorder="1"/>
    <xf numFmtId="0" fontId="0" fillId="0" borderId="7" xfId="0" applyBorder="1"/>
    <xf numFmtId="0" fontId="0" fillId="0" borderId="152" xfId="0" applyBorder="1"/>
    <xf numFmtId="0" fontId="11" fillId="0" borderId="40" xfId="0" applyFont="1" applyBorder="1"/>
    <xf numFmtId="164" fontId="11" fillId="0" borderId="40" xfId="0" applyNumberFormat="1" applyFont="1" applyBorder="1"/>
    <xf numFmtId="0" fontId="190" fillId="0" borderId="0" xfId="33112" applyFont="1" applyAlignment="1">
      <alignment horizontal="center"/>
    </xf>
    <xf numFmtId="49" fontId="189" fillId="0" borderId="0" xfId="33112" applyNumberFormat="1" applyAlignment="1">
      <alignment horizontal="right"/>
    </xf>
    <xf numFmtId="0" fontId="189" fillId="0" borderId="0" xfId="33112"/>
    <xf numFmtId="0" fontId="191" fillId="0" borderId="0" xfId="33112" applyFont="1"/>
    <xf numFmtId="0" fontId="192" fillId="0" borderId="153" xfId="33112" applyFont="1" applyBorder="1"/>
    <xf numFmtId="0" fontId="189" fillId="0" borderId="153" xfId="33112" applyBorder="1" applyAlignment="1">
      <alignment horizontal="left"/>
    </xf>
    <xf numFmtId="0" fontId="189" fillId="0" borderId="153" xfId="33112" applyBorder="1"/>
    <xf numFmtId="0" fontId="15" fillId="0" borderId="0" xfId="33112" applyFont="1"/>
    <xf numFmtId="0" fontId="15" fillId="0" borderId="0" xfId="33112" applyFont="1" applyAlignment="1">
      <alignment horizontal="right"/>
    </xf>
    <xf numFmtId="0" fontId="189" fillId="0" borderId="1" xfId="33112" applyBorder="1" applyAlignment="1">
      <alignment horizontal="left"/>
    </xf>
    <xf numFmtId="0" fontId="189" fillId="0" borderId="1" xfId="33112" applyBorder="1"/>
    <xf numFmtId="0" fontId="15" fillId="0" borderId="1" xfId="33112" applyFont="1" applyBorder="1"/>
    <xf numFmtId="0" fontId="15" fillId="0" borderId="1" xfId="33112" applyFont="1" applyBorder="1" applyAlignment="1">
      <alignment horizontal="right"/>
    </xf>
    <xf numFmtId="0" fontId="11" fillId="0" borderId="1" xfId="33112" applyFont="1" applyBorder="1" applyAlignment="1">
      <alignment horizontal="left"/>
    </xf>
    <xf numFmtId="222" fontId="98" fillId="2" borderId="0" xfId="33112" applyNumberFormat="1" applyFont="1" applyFill="1" applyAlignment="1">
      <alignment horizontal="center"/>
    </xf>
    <xf numFmtId="222" fontId="194" fillId="0" borderId="0" xfId="33112" applyNumberFormat="1" applyFont="1" applyAlignment="1">
      <alignment horizontal="center"/>
    </xf>
    <xf numFmtId="0" fontId="2" fillId="0" borderId="154" xfId="33112" applyFont="1" applyBorder="1" applyAlignment="1">
      <alignment horizontal="right"/>
    </xf>
    <xf numFmtId="0" fontId="189" fillId="0" borderId="29" xfId="33112" applyBorder="1" applyAlignment="1">
      <alignment horizontal="center"/>
    </xf>
    <xf numFmtId="0" fontId="189" fillId="0" borderId="0" xfId="33112" applyAlignment="1">
      <alignment horizontal="left"/>
    </xf>
    <xf numFmtId="0" fontId="2" fillId="0" borderId="17" xfId="33112" applyFont="1" applyBorder="1" applyAlignment="1">
      <alignment horizontal="right"/>
    </xf>
    <xf numFmtId="0" fontId="15" fillId="0" borderId="29" xfId="33112" applyFont="1" applyBorder="1" applyAlignment="1">
      <alignment horizontal="center"/>
    </xf>
    <xf numFmtId="0" fontId="98" fillId="2" borderId="55" xfId="33112" applyFont="1" applyFill="1" applyBorder="1" applyAlignment="1" applyProtection="1">
      <alignment horizontal="center"/>
      <protection locked="0"/>
    </xf>
    <xf numFmtId="0" fontId="92" fillId="0" borderId="0" xfId="33112" applyFont="1" applyAlignment="1">
      <alignment horizontal="left"/>
    </xf>
    <xf numFmtId="0" fontId="95" fillId="0" borderId="0" xfId="33112" applyFont="1" applyAlignment="1">
      <alignment horizontal="left" indent="1"/>
    </xf>
    <xf numFmtId="0" fontId="95" fillId="0" borderId="0" xfId="33112" applyFont="1"/>
    <xf numFmtId="172" fontId="189" fillId="0" borderId="0" xfId="33112" applyNumberFormat="1"/>
    <xf numFmtId="172" fontId="2" fillId="0" borderId="0" xfId="33112" quotePrefix="1" applyNumberFormat="1" applyFont="1"/>
    <xf numFmtId="0" fontId="95" fillId="0" borderId="0" xfId="33112" applyFont="1" applyAlignment="1">
      <alignment horizontal="left"/>
    </xf>
    <xf numFmtId="0" fontId="91" fillId="0" borderId="0" xfId="33112" applyFont="1"/>
    <xf numFmtId="0" fontId="92" fillId="0" borderId="158" xfId="33112" applyFont="1" applyBorder="1" applyAlignment="1">
      <alignment horizontal="left"/>
    </xf>
    <xf numFmtId="223" fontId="94" fillId="2" borderId="103" xfId="33112" applyNumberFormat="1" applyFont="1" applyFill="1" applyBorder="1" applyAlignment="1" applyProtection="1">
      <alignment horizontal="center"/>
      <protection locked="0"/>
    </xf>
    <xf numFmtId="0" fontId="95" fillId="0" borderId="153" xfId="33112" applyFont="1" applyBorder="1" applyAlignment="1">
      <alignment horizontal="left"/>
    </xf>
    <xf numFmtId="0" fontId="95" fillId="0" borderId="153" xfId="33112" applyFont="1" applyBorder="1"/>
    <xf numFmtId="0" fontId="95" fillId="0" borderId="159" xfId="33112" applyFont="1" applyBorder="1"/>
    <xf numFmtId="0" fontId="92" fillId="0" borderId="15" xfId="33112" applyFont="1" applyBorder="1" applyAlignment="1">
      <alignment horizontal="left"/>
    </xf>
    <xf numFmtId="224" fontId="94" fillId="0" borderId="112" xfId="33112" applyNumberFormat="1" applyFont="1" applyBorder="1" applyAlignment="1" applyProtection="1">
      <alignment horizontal="center"/>
      <protection locked="0"/>
    </xf>
    <xf numFmtId="0" fontId="95" fillId="0" borderId="1" xfId="33112" applyFont="1" applyBorder="1" applyAlignment="1">
      <alignment horizontal="left"/>
    </xf>
    <xf numFmtId="0" fontId="95" fillId="0" borderId="1" xfId="33112" applyFont="1" applyBorder="1"/>
    <xf numFmtId="0" fontId="95" fillId="0" borderId="14" xfId="33112" applyFont="1" applyBorder="1"/>
    <xf numFmtId="0" fontId="95" fillId="2" borderId="153" xfId="33112" applyFont="1" applyFill="1" applyBorder="1" applyAlignment="1">
      <alignment horizontal="left"/>
    </xf>
    <xf numFmtId="0" fontId="91" fillId="2" borderId="153" xfId="33112" applyFont="1" applyFill="1" applyBorder="1"/>
    <xf numFmtId="0" fontId="95" fillId="2" borderId="153" xfId="33112" applyFont="1" applyFill="1" applyBorder="1"/>
    <xf numFmtId="0" fontId="95" fillId="2" borderId="159" xfId="33112" applyFont="1" applyFill="1" applyBorder="1"/>
    <xf numFmtId="0" fontId="91" fillId="0" borderId="1" xfId="33112" applyFont="1" applyBorder="1"/>
    <xf numFmtId="49" fontId="6" fillId="0" borderId="0" xfId="33112" applyNumberFormat="1" applyFont="1" applyAlignment="1">
      <alignment horizontal="right"/>
    </xf>
    <xf numFmtId="0" fontId="94" fillId="0" borderId="1" xfId="33112" applyFont="1" applyBorder="1" applyAlignment="1">
      <alignment horizontal="left"/>
    </xf>
    <xf numFmtId="0" fontId="192" fillId="0" borderId="0" xfId="33112" applyFont="1"/>
    <xf numFmtId="0" fontId="2" fillId="75" borderId="0" xfId="33112" applyFont="1" applyFill="1"/>
    <xf numFmtId="0" fontId="95" fillId="2" borderId="153" xfId="33112" quotePrefix="1" applyFont="1" applyFill="1" applyBorder="1" applyAlignment="1">
      <alignment horizontal="left"/>
    </xf>
    <xf numFmtId="0" fontId="95" fillId="2" borderId="153" xfId="33112" applyFont="1" applyFill="1" applyBorder="1" applyAlignment="1">
      <alignment horizontal="right"/>
    </xf>
    <xf numFmtId="0" fontId="95" fillId="64" borderId="0" xfId="33112" applyFont="1" applyFill="1" applyAlignment="1">
      <alignment horizontal="left"/>
    </xf>
    <xf numFmtId="0" fontId="95" fillId="64" borderId="0" xfId="33112" applyFont="1" applyFill="1" applyAlignment="1">
      <alignment horizontal="right"/>
    </xf>
    <xf numFmtId="0" fontId="91" fillId="64" borderId="0" xfId="33112" applyFont="1" applyFill="1"/>
    <xf numFmtId="0" fontId="189" fillId="75" borderId="0" xfId="33112" applyFill="1"/>
    <xf numFmtId="172" fontId="15" fillId="0" borderId="158" xfId="33112" applyNumberFormat="1" applyFont="1" applyBorder="1" applyAlignment="1">
      <alignment horizontal="left"/>
    </xf>
    <xf numFmtId="172" fontId="95" fillId="0" borderId="159" xfId="33112" applyNumberFormat="1" applyFont="1" applyBorder="1" applyAlignment="1">
      <alignment horizontal="center"/>
    </xf>
    <xf numFmtId="172" fontId="94" fillId="0" borderId="155" xfId="33112" applyNumberFormat="1" applyFont="1" applyBorder="1" applyAlignment="1">
      <alignment horizontal="left"/>
    </xf>
    <xf numFmtId="0" fontId="95" fillId="0" borderId="156" xfId="33112" applyFont="1" applyBorder="1"/>
    <xf numFmtId="172" fontId="95" fillId="0" borderId="157" xfId="33112" applyNumberFormat="1" applyFont="1" applyBorder="1" applyAlignment="1">
      <alignment horizontal="center"/>
    </xf>
    <xf numFmtId="172" fontId="15" fillId="0" borderId="123" xfId="33112" applyNumberFormat="1" applyFont="1" applyBorder="1" applyAlignment="1">
      <alignment horizontal="left"/>
    </xf>
    <xf numFmtId="0" fontId="95" fillId="0" borderId="75" xfId="33112" applyFont="1" applyBorder="1"/>
    <xf numFmtId="172" fontId="95" fillId="0" borderId="142" xfId="33112" applyNumberFormat="1" applyFont="1" applyBorder="1" applyAlignment="1">
      <alignment horizontal="center"/>
    </xf>
    <xf numFmtId="172" fontId="95" fillId="0" borderId="0" xfId="33112" applyNumberFormat="1" applyFont="1" applyAlignment="1">
      <alignment horizontal="right"/>
    </xf>
    <xf numFmtId="0" fontId="64" fillId="62" borderId="156" xfId="33112" applyFont="1" applyFill="1" applyBorder="1" applyAlignment="1">
      <alignment horizontal="left"/>
    </xf>
    <xf numFmtId="1" fontId="2" fillId="0" borderId="0" xfId="33112" applyNumberFormat="1" applyFont="1" applyAlignment="1">
      <alignment horizontal="center"/>
    </xf>
    <xf numFmtId="0" fontId="16" fillId="63" borderId="1" xfId="33112" applyFont="1" applyFill="1" applyBorder="1"/>
    <xf numFmtId="175" fontId="95" fillId="0" borderId="0" xfId="33112" applyNumberFormat="1" applyFont="1" applyAlignment="1">
      <alignment horizontal="right"/>
    </xf>
    <xf numFmtId="0" fontId="189" fillId="0" borderId="0" xfId="33112" applyAlignment="1">
      <alignment horizontal="right"/>
    </xf>
    <xf numFmtId="0" fontId="15" fillId="75" borderId="1" xfId="33112" applyFont="1" applyFill="1" applyBorder="1"/>
    <xf numFmtId="0" fontId="189" fillId="68" borderId="1" xfId="33112" applyFill="1" applyBorder="1"/>
    <xf numFmtId="172" fontId="95" fillId="2" borderId="103" xfId="33112" applyNumberFormat="1" applyFont="1" applyFill="1" applyBorder="1" applyAlignment="1" applyProtection="1">
      <alignment horizontal="right" vertical="center"/>
      <protection locked="0"/>
    </xf>
    <xf numFmtId="0" fontId="14" fillId="75" borderId="0" xfId="33112" applyFont="1" applyFill="1"/>
    <xf numFmtId="175" fontId="189" fillId="0" borderId="0" xfId="33112" applyNumberFormat="1"/>
    <xf numFmtId="172" fontId="95" fillId="2" borderId="55" xfId="33112" applyNumberFormat="1" applyFont="1" applyFill="1" applyBorder="1" applyAlignment="1" applyProtection="1">
      <alignment horizontal="right" vertical="center"/>
      <protection locked="0"/>
    </xf>
    <xf numFmtId="1" fontId="95" fillId="0" borderId="0" xfId="33112" quotePrefix="1" applyNumberFormat="1" applyFont="1" applyAlignment="1">
      <alignment horizontal="left"/>
    </xf>
    <xf numFmtId="175" fontId="95" fillId="0" borderId="153" xfId="33112" applyNumberFormat="1" applyFont="1" applyBorder="1" applyAlignment="1">
      <alignment horizontal="right"/>
    </xf>
    <xf numFmtId="1" fontId="95" fillId="0" borderId="0" xfId="33112" quotePrefix="1" applyNumberFormat="1" applyFont="1" applyAlignment="1">
      <alignment horizontal="left" indent="1"/>
    </xf>
    <xf numFmtId="1" fontId="94" fillId="0" borderId="0" xfId="33112" quotePrefix="1" applyNumberFormat="1" applyFont="1" applyAlignment="1">
      <alignment horizontal="left"/>
    </xf>
    <xf numFmtId="175" fontId="95" fillId="0" borderId="66" xfId="33112" applyNumberFormat="1" applyFont="1" applyBorder="1" applyAlignment="1">
      <alignment horizontal="right" vertical="center"/>
    </xf>
    <xf numFmtId="172" fontId="95" fillId="2" borderId="102" xfId="33112" applyNumberFormat="1" applyFont="1" applyFill="1" applyBorder="1" applyAlignment="1" applyProtection="1">
      <alignment horizontal="right" vertical="center"/>
      <protection locked="0"/>
    </xf>
    <xf numFmtId="1" fontId="2" fillId="0" borderId="0" xfId="33112" quotePrefix="1" applyNumberFormat="1" applyFont="1" applyAlignment="1">
      <alignment horizontal="left" indent="1"/>
    </xf>
    <xf numFmtId="1" fontId="64" fillId="0" borderId="1" xfId="33112" quotePrefix="1" applyNumberFormat="1" applyFont="1" applyBorder="1" applyAlignment="1">
      <alignment horizontal="left"/>
    </xf>
    <xf numFmtId="0" fontId="95" fillId="0" borderId="1" xfId="33112" applyFont="1" applyBorder="1" applyAlignment="1">
      <alignment horizontal="right"/>
    </xf>
    <xf numFmtId="1" fontId="189" fillId="0" borderId="0" xfId="33112" applyNumberFormat="1" applyAlignment="1">
      <alignment horizontal="center"/>
    </xf>
    <xf numFmtId="0" fontId="11" fillId="63" borderId="0" xfId="33112" applyFont="1" applyFill="1"/>
    <xf numFmtId="174" fontId="189" fillId="0" borderId="0" xfId="33112" applyNumberFormat="1" applyAlignment="1">
      <alignment horizontal="right"/>
    </xf>
    <xf numFmtId="0" fontId="94" fillId="63" borderId="1" xfId="33112" applyFont="1" applyFill="1" applyBorder="1"/>
    <xf numFmtId="0" fontId="189" fillId="63" borderId="1" xfId="33112" applyFill="1" applyBorder="1"/>
    <xf numFmtId="174" fontId="95" fillId="2" borderId="55" xfId="33112" applyNumberFormat="1" applyFont="1" applyFill="1" applyBorder="1" applyAlignment="1" applyProtection="1">
      <alignment horizontal="right"/>
      <protection locked="0"/>
    </xf>
    <xf numFmtId="175" fontId="95" fillId="0" borderId="0" xfId="33112" applyNumberFormat="1" applyFont="1"/>
    <xf numFmtId="172" fontId="95" fillId="2" borderId="102" xfId="33112" applyNumberFormat="1" applyFont="1" applyFill="1" applyBorder="1" applyAlignment="1" applyProtection="1">
      <alignment horizontal="right"/>
      <protection locked="0"/>
    </xf>
    <xf numFmtId="0" fontId="92" fillId="0" borderId="0" xfId="33112" applyFont="1"/>
    <xf numFmtId="174" fontId="95" fillId="0" borderId="153" xfId="33112" applyNumberFormat="1" applyFont="1" applyBorder="1" applyAlignment="1">
      <alignment horizontal="right"/>
    </xf>
    <xf numFmtId="175" fontId="94" fillId="0" borderId="153" xfId="33112" applyNumberFormat="1" applyFont="1" applyBorder="1"/>
    <xf numFmtId="174" fontId="95" fillId="0" borderId="0" xfId="33112" applyNumberFormat="1" applyFont="1" applyAlignment="1">
      <alignment horizontal="right"/>
    </xf>
    <xf numFmtId="175" fontId="94" fillId="0" borderId="0" xfId="33112" applyNumberFormat="1" applyFont="1"/>
    <xf numFmtId="0" fontId="95" fillId="0" borderId="0" xfId="33112" applyFont="1" applyAlignment="1">
      <alignment horizontal="right"/>
    </xf>
    <xf numFmtId="175" fontId="95" fillId="0" borderId="0" xfId="33112" quotePrefix="1" applyNumberFormat="1" applyFont="1" applyAlignment="1">
      <alignment horizontal="right"/>
    </xf>
    <xf numFmtId="0" fontId="14" fillId="75" borderId="0" xfId="33112" applyFont="1" applyFill="1" applyAlignment="1">
      <alignment wrapText="1"/>
    </xf>
    <xf numFmtId="174" fontId="95" fillId="2" borderId="102" xfId="33112" applyNumberFormat="1" applyFont="1" applyFill="1" applyBorder="1" applyAlignment="1" applyProtection="1">
      <alignment horizontal="right"/>
      <protection locked="0"/>
    </xf>
    <xf numFmtId="174" fontId="95" fillId="0" borderId="103" xfId="33112" applyNumberFormat="1" applyFont="1" applyBorder="1" applyAlignment="1">
      <alignment horizontal="right"/>
    </xf>
    <xf numFmtId="175" fontId="95" fillId="0" borderId="153" xfId="33112" applyNumberFormat="1" applyFont="1" applyBorder="1"/>
    <xf numFmtId="0" fontId="195" fillId="0" borderId="0" xfId="33112" applyFont="1"/>
    <xf numFmtId="0" fontId="32" fillId="0" borderId="0" xfId="33112" applyFont="1"/>
    <xf numFmtId="225" fontId="95" fillId="0" borderId="0" xfId="13118" applyNumberFormat="1" applyFont="1" applyFill="1" applyAlignment="1">
      <alignment horizontal="right"/>
    </xf>
    <xf numFmtId="0" fontId="95" fillId="2" borderId="0" xfId="33112" quotePrefix="1" applyFont="1" applyFill="1" applyAlignment="1" applyProtection="1">
      <alignment horizontal="left"/>
      <protection locked="0"/>
    </xf>
    <xf numFmtId="0" fontId="94" fillId="0" borderId="0" xfId="33112" applyFont="1"/>
    <xf numFmtId="172" fontId="95" fillId="2" borderId="55" xfId="33112" applyNumberFormat="1" applyFont="1" applyFill="1" applyBorder="1" applyAlignment="1" applyProtection="1">
      <alignment horizontal="right"/>
      <protection locked="0"/>
    </xf>
    <xf numFmtId="172" fontId="95" fillId="64" borderId="102" xfId="33112" applyNumberFormat="1" applyFont="1" applyFill="1" applyBorder="1" applyAlignment="1" applyProtection="1">
      <alignment horizontal="right"/>
      <protection locked="0"/>
    </xf>
    <xf numFmtId="174" fontId="91" fillId="0" borderId="153" xfId="33112" applyNumberFormat="1" applyFont="1" applyBorder="1"/>
    <xf numFmtId="172" fontId="95" fillId="64" borderId="55" xfId="33112" applyNumberFormat="1" applyFont="1" applyFill="1" applyBorder="1" applyAlignment="1" applyProtection="1">
      <alignment horizontal="right"/>
      <protection locked="0"/>
    </xf>
    <xf numFmtId="0" fontId="14" fillId="75" borderId="0" xfId="33112" quotePrefix="1" applyFont="1" applyFill="1"/>
    <xf numFmtId="174" fontId="94" fillId="0" borderId="153" xfId="33112" applyNumberFormat="1" applyFont="1" applyBorder="1" applyAlignment="1">
      <alignment horizontal="right"/>
    </xf>
    <xf numFmtId="174" fontId="15" fillId="0" borderId="0" xfId="33112" applyNumberFormat="1" applyFont="1" applyAlignment="1">
      <alignment horizontal="right"/>
    </xf>
    <xf numFmtId="172" fontId="95" fillId="0" borderId="53" xfId="33112" applyNumberFormat="1" applyFont="1" applyBorder="1" applyAlignment="1">
      <alignment horizontal="right"/>
    </xf>
    <xf numFmtId="175" fontId="94" fillId="0" borderId="53" xfId="33112" applyNumberFormat="1" applyFont="1" applyBorder="1"/>
    <xf numFmtId="174" fontId="94" fillId="0" borderId="53" xfId="33112" applyNumberFormat="1" applyFont="1" applyBorder="1" applyAlignment="1">
      <alignment horizontal="right"/>
    </xf>
    <xf numFmtId="0" fontId="95" fillId="0" borderId="0" xfId="33112" quotePrefix="1" applyFont="1" applyAlignment="1">
      <alignment horizontal="right"/>
    </xf>
    <xf numFmtId="0" fontId="190" fillId="0" borderId="0" xfId="33112" applyFont="1" applyAlignment="1">
      <alignment horizontal="center" vertical="center"/>
    </xf>
    <xf numFmtId="0" fontId="95" fillId="0" borderId="0" xfId="33112" applyFont="1" applyAlignment="1">
      <alignment vertical="center"/>
    </xf>
    <xf numFmtId="174" fontId="95" fillId="64" borderId="102" xfId="33112" applyNumberFormat="1" applyFont="1" applyFill="1" applyBorder="1" applyAlignment="1" applyProtection="1">
      <alignment vertical="center"/>
      <protection locked="0"/>
    </xf>
    <xf numFmtId="174" fontId="95" fillId="64" borderId="102" xfId="33112" applyNumberFormat="1" applyFont="1" applyFill="1" applyBorder="1" applyAlignment="1" applyProtection="1">
      <alignment horizontal="right" vertical="center"/>
      <protection locked="0"/>
    </xf>
    <xf numFmtId="172" fontId="95" fillId="64" borderId="102" xfId="33112" applyNumberFormat="1" applyFont="1" applyFill="1" applyBorder="1" applyAlignment="1" applyProtection="1">
      <alignment horizontal="right" vertical="center"/>
      <protection locked="0"/>
    </xf>
    <xf numFmtId="0" fontId="92" fillId="0" borderId="0" xfId="33112" applyFont="1" applyAlignment="1">
      <alignment wrapText="1"/>
    </xf>
    <xf numFmtId="174" fontId="95" fillId="64" borderId="55" xfId="33112" applyNumberFormat="1" applyFont="1" applyFill="1" applyBorder="1" applyAlignment="1" applyProtection="1">
      <alignment horizontal="right" vertical="center"/>
      <protection locked="0"/>
    </xf>
    <xf numFmtId="0" fontId="196" fillId="2" borderId="47" xfId="33112" applyFont="1" applyFill="1" applyBorder="1" applyAlignment="1" applyProtection="1">
      <alignment horizontal="right"/>
      <protection locked="0"/>
    </xf>
    <xf numFmtId="0" fontId="196" fillId="2" borderId="50" xfId="33112" applyFont="1" applyFill="1" applyBorder="1" applyAlignment="1" applyProtection="1">
      <alignment horizontal="right"/>
      <protection locked="0"/>
    </xf>
    <xf numFmtId="0" fontId="95" fillId="0" borderId="0" xfId="33112" quotePrefix="1" applyFont="1"/>
    <xf numFmtId="175" fontId="95" fillId="2" borderId="55" xfId="33112" applyNumberFormat="1" applyFont="1" applyFill="1" applyBorder="1" applyAlignment="1" applyProtection="1">
      <alignment horizontal="right"/>
      <protection locked="0"/>
    </xf>
    <xf numFmtId="1" fontId="95" fillId="0" borderId="0" xfId="33112" applyNumberFormat="1" applyFont="1" applyAlignment="1">
      <alignment horizontal="center"/>
    </xf>
    <xf numFmtId="1" fontId="15" fillId="0" borderId="1" xfId="33112" applyNumberFormat="1" applyFont="1" applyBorder="1" applyAlignment="1">
      <alignment horizontal="left"/>
    </xf>
    <xf numFmtId="0" fontId="91" fillId="0" borderId="0" xfId="33112" applyFont="1" applyAlignment="1">
      <alignment vertical="center"/>
    </xf>
    <xf numFmtId="0" fontId="91" fillId="0" borderId="0" xfId="33112" applyFont="1" applyAlignment="1">
      <alignment horizontal="left" indent="1"/>
    </xf>
    <xf numFmtId="0" fontId="197" fillId="75" borderId="0" xfId="33112" applyFont="1" applyFill="1"/>
    <xf numFmtId="174" fontId="94" fillId="0" borderId="0" xfId="33112" applyNumberFormat="1" applyFont="1" applyAlignment="1">
      <alignment horizontal="right"/>
    </xf>
    <xf numFmtId="0" fontId="11" fillId="0" borderId="0" xfId="33112" applyFont="1"/>
    <xf numFmtId="174" fontId="95" fillId="64" borderId="55" xfId="33112" applyNumberFormat="1" applyFont="1" applyFill="1" applyBorder="1" applyAlignment="1" applyProtection="1">
      <alignment horizontal="right"/>
      <protection locked="0"/>
    </xf>
    <xf numFmtId="0" fontId="11" fillId="0" borderId="0" xfId="33112" applyFont="1" applyAlignment="1">
      <alignment horizontal="left" indent="1"/>
    </xf>
    <xf numFmtId="1" fontId="91" fillId="0" borderId="0" xfId="33112" quotePrefix="1" applyNumberFormat="1" applyFont="1" applyAlignment="1">
      <alignment horizontal="left" indent="1"/>
    </xf>
    <xf numFmtId="174" fontId="95" fillId="0" borderId="53" xfId="33112" applyNumberFormat="1" applyFont="1" applyBorder="1" applyAlignment="1">
      <alignment horizontal="right"/>
    </xf>
    <xf numFmtId="0" fontId="11" fillId="0" borderId="153" xfId="33112" applyFont="1" applyBorder="1"/>
    <xf numFmtId="174" fontId="95" fillId="64" borderId="121" xfId="33112" applyNumberFormat="1" applyFont="1" applyFill="1" applyBorder="1" applyAlignment="1" applyProtection="1">
      <alignment horizontal="right"/>
      <protection locked="0"/>
    </xf>
    <xf numFmtId="174" fontId="95" fillId="0" borderId="153" xfId="33112" applyNumberFormat="1" applyFont="1" applyBorder="1" applyAlignment="1">
      <alignment horizontal="left"/>
    </xf>
    <xf numFmtId="0" fontId="11" fillId="0" borderId="1" xfId="33112" applyFont="1" applyBorder="1"/>
    <xf numFmtId="0" fontId="95" fillId="2" borderId="55" xfId="33112" applyFont="1" applyFill="1" applyBorder="1" applyAlignment="1" applyProtection="1">
      <alignment horizontal="right"/>
      <protection locked="0"/>
    </xf>
    <xf numFmtId="0" fontId="198" fillId="75" borderId="0" xfId="33112" applyFont="1" applyFill="1"/>
    <xf numFmtId="172" fontId="95" fillId="0" borderId="102" xfId="33112" applyNumberFormat="1" applyFont="1" applyBorder="1" applyAlignment="1">
      <alignment horizontal="right"/>
    </xf>
    <xf numFmtId="0" fontId="11" fillId="0" borderId="159" xfId="33112" applyFont="1" applyBorder="1"/>
    <xf numFmtId="174" fontId="95" fillId="64" borderId="29" xfId="33112" applyNumberFormat="1" applyFont="1" applyFill="1" applyBorder="1" applyAlignment="1" applyProtection="1">
      <alignment horizontal="right"/>
      <protection locked="0"/>
    </xf>
    <xf numFmtId="174" fontId="95" fillId="64" borderId="153" xfId="33112" applyNumberFormat="1" applyFont="1" applyFill="1" applyBorder="1" applyAlignment="1" applyProtection="1">
      <alignment horizontal="right"/>
      <protection locked="0"/>
    </xf>
    <xf numFmtId="174" fontId="94" fillId="64" borderId="153" xfId="33112" applyNumberFormat="1" applyFont="1" applyFill="1" applyBorder="1" applyAlignment="1" applyProtection="1">
      <alignment horizontal="right"/>
      <protection locked="0"/>
    </xf>
    <xf numFmtId="174" fontId="95" fillId="0" borderId="0" xfId="33112" applyNumberFormat="1" applyFont="1"/>
    <xf numFmtId="174" fontId="94" fillId="64" borderId="0" xfId="33112" applyNumberFormat="1" applyFont="1" applyFill="1" applyAlignment="1" applyProtection="1">
      <alignment horizontal="right"/>
      <protection locked="0"/>
    </xf>
    <xf numFmtId="0" fontId="200" fillId="0" borderId="0" xfId="33112" applyFont="1"/>
    <xf numFmtId="0" fontId="197" fillId="75" borderId="0" xfId="33112" applyFont="1" applyFill="1" applyAlignment="1">
      <alignment horizontal="left" indent="1"/>
    </xf>
    <xf numFmtId="0" fontId="64" fillId="0" borderId="0" xfId="33112" applyFont="1" applyAlignment="1">
      <alignment horizontal="left"/>
    </xf>
    <xf numFmtId="1" fontId="15" fillId="62" borderId="156" xfId="33112" applyNumberFormat="1" applyFont="1" applyFill="1" applyBorder="1" applyAlignment="1">
      <alignment horizontal="center"/>
    </xf>
    <xf numFmtId="0" fontId="189" fillId="62" borderId="156" xfId="33112" applyFill="1" applyBorder="1"/>
    <xf numFmtId="0" fontId="15" fillId="62" borderId="156" xfId="33112" applyFont="1" applyFill="1" applyBorder="1"/>
    <xf numFmtId="0" fontId="192" fillId="62" borderId="156" xfId="33112" applyFont="1" applyFill="1" applyBorder="1"/>
    <xf numFmtId="0" fontId="189" fillId="62" borderId="156" xfId="33112" applyFill="1" applyBorder="1" applyAlignment="1">
      <alignment horizontal="left"/>
    </xf>
    <xf numFmtId="226" fontId="200" fillId="0" borderId="0" xfId="33112" applyNumberFormat="1" applyFont="1" applyAlignment="1">
      <alignment horizontal="center"/>
    </xf>
    <xf numFmtId="172" fontId="189" fillId="0" borderId="0" xfId="33112" applyNumberFormat="1" applyAlignment="1">
      <alignment horizontal="right"/>
    </xf>
    <xf numFmtId="1" fontId="94" fillId="0" borderId="0" xfId="33112" applyNumberFormat="1" applyFont="1" applyAlignment="1">
      <alignment horizontal="center"/>
    </xf>
    <xf numFmtId="0" fontId="94" fillId="0" borderId="53" xfId="33112" applyFont="1" applyBorder="1"/>
    <xf numFmtId="227" fontId="94" fillId="0" borderId="53" xfId="33112" applyNumberFormat="1" applyFont="1" applyBorder="1" applyAlignment="1">
      <alignment horizontal="right"/>
    </xf>
    <xf numFmtId="228" fontId="94" fillId="0" borderId="53" xfId="33112" applyNumberFormat="1" applyFont="1" applyBorder="1" applyAlignment="1">
      <alignment horizontal="right"/>
    </xf>
    <xf numFmtId="173" fontId="15" fillId="0" borderId="0" xfId="33112" applyNumberFormat="1" applyFont="1" applyAlignment="1">
      <alignment horizontal="right"/>
    </xf>
    <xf numFmtId="227" fontId="94" fillId="0" borderId="0" xfId="33112" applyNumberFormat="1" applyFont="1" applyAlignment="1">
      <alignment horizontal="right"/>
    </xf>
    <xf numFmtId="229" fontId="200" fillId="0" borderId="0" xfId="33112" applyNumberFormat="1" applyFont="1" applyAlignment="1">
      <alignment horizontal="right"/>
    </xf>
    <xf numFmtId="172" fontId="95" fillId="0" borderId="52" xfId="33112" applyNumberFormat="1" applyFont="1" applyBorder="1" applyAlignment="1">
      <alignment horizontal="right"/>
    </xf>
    <xf numFmtId="173" fontId="189" fillId="0" borderId="0" xfId="33112" applyNumberFormat="1" applyAlignment="1">
      <alignment horizontal="right"/>
    </xf>
    <xf numFmtId="1" fontId="94" fillId="0" borderId="0" xfId="33112" applyNumberFormat="1" applyFont="1"/>
    <xf numFmtId="0" fontId="189" fillId="62" borderId="156" xfId="33112" applyFill="1" applyBorder="1" applyAlignment="1">
      <alignment horizontal="right"/>
    </xf>
    <xf numFmtId="229" fontId="94" fillId="0" borderId="53" xfId="33112" applyNumberFormat="1" applyFont="1" applyBorder="1" applyAlignment="1">
      <alignment horizontal="right"/>
    </xf>
    <xf numFmtId="230" fontId="94" fillId="0" borderId="53" xfId="33112" applyNumberFormat="1" applyFont="1" applyBorder="1" applyAlignment="1">
      <alignment horizontal="right"/>
    </xf>
    <xf numFmtId="230" fontId="15" fillId="0" borderId="0" xfId="33112" applyNumberFormat="1" applyFont="1" applyAlignment="1">
      <alignment horizontal="right"/>
    </xf>
    <xf numFmtId="0" fontId="94" fillId="0" borderId="0" xfId="33112" applyFont="1" applyAlignment="1">
      <alignment horizontal="left" indent="3"/>
    </xf>
    <xf numFmtId="0" fontId="94" fillId="0" borderId="0" xfId="33112" applyFont="1" applyAlignment="1">
      <alignment horizontal="left" indent="1"/>
    </xf>
    <xf numFmtId="172" fontId="95" fillId="0" borderId="52" xfId="8" applyNumberFormat="1" applyFont="1" applyBorder="1" applyAlignment="1">
      <alignment horizontal="right"/>
    </xf>
    <xf numFmtId="172" fontId="95" fillId="0" borderId="153" xfId="8" applyNumberFormat="1" applyFont="1" applyBorder="1" applyAlignment="1">
      <alignment horizontal="right"/>
    </xf>
    <xf numFmtId="49" fontId="95" fillId="0" borderId="0" xfId="33112" applyNumberFormat="1" applyFont="1" applyAlignment="1">
      <alignment horizontal="right"/>
    </xf>
    <xf numFmtId="0" fontId="189" fillId="62" borderId="153" xfId="33112" applyFill="1" applyBorder="1" applyAlignment="1">
      <alignment horizontal="right"/>
    </xf>
    <xf numFmtId="0" fontId="189" fillId="2" borderId="47" xfId="33112" applyFill="1" applyBorder="1"/>
    <xf numFmtId="172" fontId="95" fillId="0" borderId="153" xfId="33112" applyNumberFormat="1" applyFont="1" applyBorder="1" applyAlignment="1">
      <alignment horizontal="right"/>
    </xf>
    <xf numFmtId="0" fontId="2" fillId="2" borderId="47" xfId="33112" quotePrefix="1" applyFont="1" applyFill="1" applyBorder="1"/>
    <xf numFmtId="172" fontId="95" fillId="0" borderId="1" xfId="33112" applyNumberFormat="1" applyFont="1" applyBorder="1" applyAlignment="1">
      <alignment horizontal="right"/>
    </xf>
    <xf numFmtId="175" fontId="94" fillId="0" borderId="164" xfId="10336" applyNumberFormat="1" applyFont="1" applyFill="1" applyBorder="1" applyAlignment="1">
      <alignment horizontal="right"/>
    </xf>
    <xf numFmtId="1" fontId="15" fillId="70" borderId="156" xfId="33112" applyNumberFormat="1" applyFont="1" applyFill="1" applyBorder="1" applyAlignment="1">
      <alignment horizontal="center"/>
    </xf>
    <xf numFmtId="0" fontId="189" fillId="70" borderId="156" xfId="33112" applyFill="1" applyBorder="1"/>
    <xf numFmtId="0" fontId="15" fillId="70" borderId="156" xfId="33112" applyFont="1" applyFill="1" applyBorder="1"/>
    <xf numFmtId="0" fontId="189" fillId="70" borderId="153" xfId="33112" applyFill="1" applyBorder="1" applyAlignment="1">
      <alignment horizontal="right"/>
    </xf>
    <xf numFmtId="175" fontId="15" fillId="0" borderId="0" xfId="10336" applyNumberFormat="1" applyFont="1" applyFill="1" applyBorder="1" applyAlignment="1">
      <alignment horizontal="right"/>
    </xf>
    <xf numFmtId="1" fontId="15" fillId="68" borderId="156" xfId="33112" applyNumberFormat="1" applyFont="1" applyFill="1" applyBorder="1" applyAlignment="1">
      <alignment horizontal="center"/>
    </xf>
    <xf numFmtId="0" fontId="189" fillId="68" borderId="156" xfId="33112" applyFill="1" applyBorder="1"/>
    <xf numFmtId="0" fontId="15" fillId="68" borderId="156" xfId="33112" applyFont="1" applyFill="1" applyBorder="1"/>
    <xf numFmtId="0" fontId="189" fillId="68" borderId="153" xfId="33112" applyFill="1" applyBorder="1" applyAlignment="1">
      <alignment horizontal="right"/>
    </xf>
    <xf numFmtId="196" fontId="14" fillId="75" borderId="0" xfId="10336" applyNumberFormat="1" applyFont="1" applyFill="1" applyProtection="1"/>
    <xf numFmtId="0" fontId="94" fillId="0" borderId="0" xfId="33112" applyFont="1" applyAlignment="1">
      <alignment horizontal="right"/>
    </xf>
    <xf numFmtId="1" fontId="201" fillId="0" borderId="0" xfId="33112" applyNumberFormat="1" applyFont="1" applyAlignment="1">
      <alignment horizontal="center"/>
    </xf>
    <xf numFmtId="231" fontId="94" fillId="0" borderId="53" xfId="33112" applyNumberFormat="1" applyFont="1" applyBorder="1" applyAlignment="1">
      <alignment horizontal="right"/>
    </xf>
    <xf numFmtId="180" fontId="15" fillId="0" borderId="0" xfId="33112" applyNumberFormat="1" applyFont="1" applyAlignment="1">
      <alignment horizontal="right"/>
    </xf>
    <xf numFmtId="0" fontId="2" fillId="0" borderId="0" xfId="33112" applyFont="1"/>
    <xf numFmtId="0" fontId="94" fillId="0" borderId="1" xfId="33112" quotePrefix="1" applyFont="1" applyBorder="1" applyAlignment="1">
      <alignment horizontal="right"/>
    </xf>
    <xf numFmtId="0" fontId="15" fillId="0" borderId="0" xfId="33112" quotePrefix="1" applyFont="1" applyAlignment="1">
      <alignment horizontal="right"/>
    </xf>
    <xf numFmtId="0" fontId="95" fillId="0" borderId="153" xfId="33112" applyFont="1" applyBorder="1" applyAlignment="1">
      <alignment horizontal="left" indent="1"/>
    </xf>
    <xf numFmtId="172" fontId="95" fillId="68" borderId="0" xfId="33112" applyNumberFormat="1" applyFont="1" applyFill="1" applyAlignment="1">
      <alignment horizontal="right"/>
    </xf>
    <xf numFmtId="0" fontId="189" fillId="62" borderId="0" xfId="33112" applyFill="1" applyAlignment="1">
      <alignment horizontal="right"/>
    </xf>
    <xf numFmtId="180" fontId="94" fillId="0" borderId="53" xfId="33112" applyNumberFormat="1" applyFont="1" applyBorder="1" applyAlignment="1">
      <alignment horizontal="right"/>
    </xf>
    <xf numFmtId="0" fontId="97" fillId="0" borderId="0" xfId="33112" applyFont="1"/>
    <xf numFmtId="0" fontId="94" fillId="0" borderId="1" xfId="33112" applyFont="1" applyBorder="1"/>
    <xf numFmtId="174" fontId="95" fillId="0" borderId="1" xfId="33112" applyNumberFormat="1" applyFont="1" applyBorder="1" applyAlignment="1">
      <alignment horizontal="right"/>
    </xf>
    <xf numFmtId="174" fontId="94" fillId="0" borderId="1" xfId="33112" applyNumberFormat="1" applyFont="1" applyBorder="1" applyAlignment="1">
      <alignment horizontal="right"/>
    </xf>
    <xf numFmtId="172" fontId="200" fillId="0" borderId="0" xfId="33112" applyNumberFormat="1" applyFont="1" applyAlignment="1">
      <alignment horizontal="right"/>
    </xf>
    <xf numFmtId="226" fontId="95" fillId="0" borderId="0" xfId="33112" applyNumberFormat="1" applyFont="1" applyAlignment="1">
      <alignment horizontal="center"/>
    </xf>
    <xf numFmtId="203" fontId="94" fillId="0" borderId="53" xfId="33112" applyNumberFormat="1" applyFont="1" applyBorder="1" applyAlignment="1">
      <alignment horizontal="right"/>
    </xf>
    <xf numFmtId="203" fontId="15" fillId="0" borderId="0" xfId="33112" applyNumberFormat="1" applyFont="1" applyAlignment="1">
      <alignment horizontal="right"/>
    </xf>
    <xf numFmtId="0" fontId="189" fillId="6" borderId="0" xfId="33112" applyFill="1"/>
    <xf numFmtId="2" fontId="202" fillId="0" borderId="0" xfId="33112" quotePrefix="1" applyNumberFormat="1" applyFont="1" applyAlignment="1">
      <alignment horizontal="left"/>
    </xf>
    <xf numFmtId="49" fontId="2" fillId="0" borderId="0" xfId="33112" applyNumberFormat="1" applyFont="1" applyAlignment="1">
      <alignment horizontal="right"/>
    </xf>
    <xf numFmtId="49" fontId="189" fillId="61" borderId="0" xfId="33112" applyNumberFormat="1" applyFill="1" applyAlignment="1">
      <alignment horizontal="right"/>
    </xf>
    <xf numFmtId="0" fontId="189" fillId="61" borderId="0" xfId="33112" applyFill="1"/>
    <xf numFmtId="0" fontId="203" fillId="61" borderId="0" xfId="33112" applyFont="1" applyFill="1"/>
    <xf numFmtId="0" fontId="189" fillId="61" borderId="0" xfId="33112" applyFill="1" applyAlignment="1">
      <alignment horizontal="left"/>
    </xf>
    <xf numFmtId="0" fontId="2" fillId="67" borderId="0" xfId="33112" applyFont="1" applyFill="1"/>
    <xf numFmtId="0" fontId="94" fillId="0" borderId="0" xfId="33112" applyFont="1" applyAlignment="1">
      <alignment horizontal="left"/>
    </xf>
    <xf numFmtId="0" fontId="197" fillId="0" borderId="0" xfId="33112" applyFont="1"/>
    <xf numFmtId="0" fontId="94" fillId="62" borderId="0" xfId="33112" applyFont="1" applyFill="1"/>
    <xf numFmtId="0" fontId="95" fillId="62" borderId="0" xfId="33112" applyFont="1" applyFill="1" applyAlignment="1">
      <alignment horizontal="left"/>
    </xf>
    <xf numFmtId="0" fontId="189" fillId="62" borderId="0" xfId="33112" applyFill="1"/>
    <xf numFmtId="0" fontId="14" fillId="0" borderId="0" xfId="33112" applyFont="1"/>
    <xf numFmtId="203" fontId="95" fillId="0" borderId="0" xfId="33112" applyNumberFormat="1" applyFont="1" applyAlignment="1">
      <alignment horizontal="right"/>
    </xf>
    <xf numFmtId="0" fontId="94" fillId="63" borderId="0" xfId="33112" applyFont="1" applyFill="1"/>
    <xf numFmtId="173" fontId="95" fillId="0" borderId="0" xfId="33112" applyNumberFormat="1" applyFont="1" applyAlignment="1">
      <alignment horizontal="left"/>
    </xf>
    <xf numFmtId="0" fontId="95" fillId="63" borderId="0" xfId="33112" applyFont="1" applyFill="1"/>
    <xf numFmtId="172" fontId="95" fillId="73" borderId="0" xfId="33112" applyNumberFormat="1" applyFont="1" applyFill="1" applyAlignment="1">
      <alignment horizontal="center"/>
    </xf>
    <xf numFmtId="0" fontId="95" fillId="2" borderId="0" xfId="33112" applyFont="1" applyFill="1"/>
    <xf numFmtId="172" fontId="95" fillId="61" borderId="0" xfId="33112" applyNumberFormat="1" applyFont="1" applyFill="1" applyAlignment="1">
      <alignment horizontal="center"/>
    </xf>
    <xf numFmtId="172" fontId="95" fillId="61" borderId="0" xfId="33112" quotePrefix="1" applyNumberFormat="1" applyFont="1" applyFill="1" applyAlignment="1">
      <alignment horizontal="center"/>
    </xf>
    <xf numFmtId="0" fontId="95" fillId="60" borderId="0" xfId="33112" applyFont="1" applyFill="1"/>
    <xf numFmtId="172" fontId="95" fillId="67" borderId="0" xfId="33112" applyNumberFormat="1" applyFont="1" applyFill="1" applyAlignment="1">
      <alignment horizontal="center"/>
    </xf>
    <xf numFmtId="0" fontId="95" fillId="0" borderId="0" xfId="33112" quotePrefix="1" applyFont="1" applyAlignment="1">
      <alignment horizontal="left"/>
    </xf>
    <xf numFmtId="0" fontId="94" fillId="62" borderId="0" xfId="33112" applyFont="1" applyFill="1" applyAlignment="1">
      <alignment horizontal="left"/>
    </xf>
    <xf numFmtId="0" fontId="15" fillId="62" borderId="0" xfId="33112" applyFont="1" applyFill="1"/>
    <xf numFmtId="172" fontId="95" fillId="0" borderId="0" xfId="33112" applyNumberFormat="1" applyFont="1" applyAlignment="1">
      <alignment horizontal="center"/>
    </xf>
    <xf numFmtId="172" fontId="95" fillId="0" borderId="0" xfId="33112" applyNumberFormat="1" applyFont="1"/>
    <xf numFmtId="172" fontId="95" fillId="0" borderId="0" xfId="33112" quotePrefix="1" applyNumberFormat="1" applyFont="1" applyAlignment="1">
      <alignment horizontal="center"/>
    </xf>
    <xf numFmtId="172" fontId="2" fillId="0" borderId="153" xfId="8" applyNumberFormat="1" applyBorder="1" applyAlignment="1">
      <alignment horizontal="center"/>
    </xf>
    <xf numFmtId="172" fontId="95" fillId="0" borderId="0" xfId="8" applyNumberFormat="1" applyFont="1" applyAlignment="1">
      <alignment horizontal="right"/>
    </xf>
    <xf numFmtId="172" fontId="95" fillId="0" borderId="0" xfId="33112" quotePrefix="1" applyNumberFormat="1" applyFont="1" applyAlignment="1">
      <alignment horizontal="right"/>
    </xf>
    <xf numFmtId="49" fontId="2" fillId="0" borderId="0" xfId="33112" applyNumberFormat="1" applyFont="1" applyAlignment="1">
      <alignment horizontal="left"/>
    </xf>
    <xf numFmtId="172" fontId="2" fillId="0" borderId="0" xfId="33112" applyNumberFormat="1" applyFont="1" applyAlignment="1">
      <alignment horizontal="right"/>
    </xf>
    <xf numFmtId="172" fontId="189" fillId="0" borderId="153" xfId="33112" applyNumberFormat="1" applyBorder="1" applyAlignment="1">
      <alignment horizontal="right"/>
    </xf>
    <xf numFmtId="0" fontId="94" fillId="73" borderId="0" xfId="33112" applyFont="1" applyFill="1"/>
    <xf numFmtId="0" fontId="95" fillId="73" borderId="0" xfId="33112" applyFont="1" applyFill="1" applyAlignment="1">
      <alignment horizontal="left"/>
    </xf>
    <xf numFmtId="0" fontId="189" fillId="73" borderId="0" xfId="33112" applyFill="1"/>
    <xf numFmtId="0" fontId="2" fillId="73" borderId="0" xfId="33112" applyFont="1" applyFill="1"/>
    <xf numFmtId="223" fontId="94" fillId="73" borderId="0" xfId="33112" applyNumberFormat="1" applyFont="1" applyFill="1"/>
    <xf numFmtId="195" fontId="95" fillId="73" borderId="0" xfId="33112" applyNumberFormat="1" applyFont="1" applyFill="1" applyAlignment="1">
      <alignment horizontal="right"/>
    </xf>
    <xf numFmtId="222" fontId="95" fillId="73" borderId="0" xfId="33112" applyNumberFormat="1" applyFont="1" applyFill="1" applyAlignment="1">
      <alignment horizontal="right"/>
    </xf>
    <xf numFmtId="222" fontId="95" fillId="73" borderId="0" xfId="33112" quotePrefix="1" applyNumberFormat="1" applyFont="1" applyFill="1" applyAlignment="1">
      <alignment horizontal="right"/>
    </xf>
    <xf numFmtId="222" fontId="95" fillId="6" borderId="0" xfId="33112" applyNumberFormat="1" applyFont="1" applyFill="1" applyAlignment="1">
      <alignment horizontal="right"/>
    </xf>
    <xf numFmtId="223" fontId="94" fillId="73" borderId="156" xfId="33112" applyNumberFormat="1" applyFont="1" applyFill="1" applyBorder="1"/>
    <xf numFmtId="0" fontId="95" fillId="73" borderId="0" xfId="33112" applyFont="1" applyFill="1" applyAlignment="1">
      <alignment horizontal="right"/>
    </xf>
    <xf numFmtId="172" fontId="95" fillId="73" borderId="0" xfId="33112" applyNumberFormat="1" applyFont="1" applyFill="1" applyAlignment="1">
      <alignment horizontal="right"/>
    </xf>
    <xf numFmtId="0" fontId="2" fillId="6" borderId="0" xfId="33112" applyFont="1" applyFill="1"/>
    <xf numFmtId="0" fontId="2" fillId="73" borderId="1" xfId="33112" applyFont="1" applyFill="1" applyBorder="1"/>
    <xf numFmtId="172" fontId="95" fillId="73" borderId="1" xfId="33112" applyNumberFormat="1" applyFont="1" applyFill="1" applyBorder="1" applyAlignment="1">
      <alignment horizontal="right"/>
    </xf>
    <xf numFmtId="172" fontId="189" fillId="73" borderId="1" xfId="33112" applyNumberFormat="1" applyFill="1" applyBorder="1" applyAlignment="1">
      <alignment horizontal="right"/>
    </xf>
    <xf numFmtId="172" fontId="2" fillId="6" borderId="0" xfId="33112" applyNumberFormat="1" applyFont="1" applyFill="1" applyAlignment="1">
      <alignment horizontal="right"/>
    </xf>
    <xf numFmtId="172" fontId="2" fillId="63" borderId="0" xfId="33112" quotePrefix="1" applyNumberFormat="1" applyFont="1" applyFill="1" applyAlignment="1">
      <alignment horizontal="right"/>
    </xf>
    <xf numFmtId="172" fontId="189" fillId="63" borderId="0" xfId="33112" quotePrefix="1" applyNumberFormat="1" applyFill="1" applyAlignment="1">
      <alignment horizontal="right"/>
    </xf>
    <xf numFmtId="0" fontId="45" fillId="6" borderId="0" xfId="33112" applyFont="1" applyFill="1" applyAlignment="1">
      <alignment horizontal="right"/>
    </xf>
    <xf numFmtId="172" fontId="2" fillId="63" borderId="0" xfId="33112" applyNumberFormat="1" applyFont="1" applyFill="1" applyAlignment="1">
      <alignment horizontal="right"/>
    </xf>
    <xf numFmtId="172" fontId="189" fillId="63" borderId="0" xfId="33112" applyNumberFormat="1" applyFill="1" applyAlignment="1">
      <alignment horizontal="right"/>
    </xf>
    <xf numFmtId="0" fontId="2" fillId="6" borderId="0" xfId="33112" applyFont="1" applyFill="1" applyAlignment="1">
      <alignment horizontal="right"/>
    </xf>
    <xf numFmtId="172" fontId="2" fillId="62" borderId="0" xfId="33112" applyNumberFormat="1" applyFont="1" applyFill="1" applyAlignment="1">
      <alignment horizontal="right"/>
    </xf>
    <xf numFmtId="0" fontId="2" fillId="67" borderId="1" xfId="33112" applyFont="1" applyFill="1" applyBorder="1"/>
    <xf numFmtId="172" fontId="189" fillId="67" borderId="1" xfId="33112" applyNumberFormat="1" applyFill="1" applyBorder="1" applyAlignment="1">
      <alignment horizontal="right"/>
    </xf>
    <xf numFmtId="172" fontId="189" fillId="67" borderId="0" xfId="33112" applyNumberFormat="1" applyFill="1" applyAlignment="1">
      <alignment horizontal="right"/>
    </xf>
    <xf numFmtId="0" fontId="2" fillId="60" borderId="0" xfId="33112" applyFont="1" applyFill="1"/>
    <xf numFmtId="172" fontId="189" fillId="60" borderId="0" xfId="33112" applyNumberFormat="1" applyFill="1" applyAlignment="1">
      <alignment horizontal="right"/>
    </xf>
    <xf numFmtId="0" fontId="2" fillId="0" borderId="0" xfId="33112" quotePrefix="1" applyFont="1"/>
    <xf numFmtId="172" fontId="189" fillId="67" borderId="0" xfId="33112" quotePrefix="1" applyNumberFormat="1" applyFill="1" applyAlignment="1">
      <alignment horizontal="right"/>
    </xf>
    <xf numFmtId="0" fontId="189" fillId="0" borderId="0" xfId="33112" quotePrefix="1" applyAlignment="1">
      <alignment wrapText="1"/>
    </xf>
    <xf numFmtId="172" fontId="189" fillId="6" borderId="0" xfId="33112" applyNumberFormat="1" applyFill="1" applyAlignment="1">
      <alignment horizontal="right"/>
    </xf>
    <xf numFmtId="172" fontId="2" fillId="6" borderId="0" xfId="33112" quotePrefix="1" applyNumberFormat="1" applyFont="1" applyFill="1" applyAlignment="1">
      <alignment horizontal="right"/>
    </xf>
    <xf numFmtId="172" fontId="2" fillId="67" borderId="0" xfId="33112" quotePrefix="1" applyNumberFormat="1" applyFont="1" applyFill="1" applyAlignment="1">
      <alignment horizontal="right"/>
    </xf>
    <xf numFmtId="0" fontId="2" fillId="67" borderId="0" xfId="33112" applyFont="1" applyFill="1" applyAlignment="1">
      <alignment wrapText="1"/>
    </xf>
    <xf numFmtId="0" fontId="189" fillId="0" borderId="0" xfId="33112" quotePrefix="1"/>
    <xf numFmtId="0" fontId="2" fillId="67" borderId="153" xfId="33112" applyFont="1" applyFill="1" applyBorder="1"/>
    <xf numFmtId="203" fontId="2" fillId="0" borderId="153" xfId="33112" quotePrefix="1" applyNumberFormat="1" applyFont="1" applyBorder="1" applyAlignment="1">
      <alignment horizontal="right"/>
    </xf>
    <xf numFmtId="0" fontId="15" fillId="67" borderId="0" xfId="33112" quotePrefix="1" applyFont="1" applyFill="1"/>
    <xf numFmtId="0" fontId="2" fillId="62" borderId="0" xfId="33112" applyFont="1" applyFill="1"/>
    <xf numFmtId="0" fontId="194" fillId="0" borderId="0" xfId="33112" applyFont="1" applyAlignment="1">
      <alignment vertical="center"/>
    </xf>
    <xf numFmtId="0" fontId="2" fillId="0" borderId="153" xfId="33112" applyFont="1" applyBorder="1"/>
    <xf numFmtId="0" fontId="204" fillId="0" borderId="0" xfId="33112" applyFont="1" applyAlignment="1">
      <alignment vertical="center"/>
    </xf>
    <xf numFmtId="0" fontId="192" fillId="0" borderId="0" xfId="33112" applyFont="1" applyAlignment="1">
      <alignment vertical="center"/>
    </xf>
    <xf numFmtId="0" fontId="189" fillId="0" borderId="165" xfId="33112" applyBorder="1" applyAlignment="1">
      <alignment horizontal="center" vertical="center"/>
    </xf>
    <xf numFmtId="0" fontId="206" fillId="0" borderId="166" xfId="33112" quotePrefix="1" applyFont="1" applyBorder="1" applyAlignment="1">
      <alignment horizontal="left" vertical="center"/>
    </xf>
    <xf numFmtId="0" fontId="189" fillId="0" borderId="167" xfId="33112" applyBorder="1" applyAlignment="1">
      <alignment horizontal="center" vertical="center"/>
    </xf>
    <xf numFmtId="0" fontId="206" fillId="0" borderId="29" xfId="33112" quotePrefix="1" applyFont="1" applyBorder="1" applyAlignment="1">
      <alignment horizontal="left" vertical="center"/>
    </xf>
    <xf numFmtId="0" fontId="11" fillId="77" borderId="167" xfId="33112" applyFont="1" applyFill="1" applyBorder="1" applyAlignment="1">
      <alignment horizontal="right" vertical="center"/>
    </xf>
    <xf numFmtId="0" fontId="189" fillId="77" borderId="167" xfId="33112" applyFill="1" applyBorder="1" applyAlignment="1">
      <alignment horizontal="right" vertical="center"/>
    </xf>
    <xf numFmtId="0" fontId="189" fillId="0" borderId="168" xfId="33112" applyBorder="1" applyAlignment="1">
      <alignment vertical="center"/>
    </xf>
    <xf numFmtId="0" fontId="206" fillId="0" borderId="169" xfId="33112" quotePrefix="1" applyFont="1" applyBorder="1" applyAlignment="1">
      <alignment horizontal="left" vertical="center"/>
    </xf>
    <xf numFmtId="0" fontId="11" fillId="0" borderId="0" xfId="33112" applyFont="1" applyAlignment="1">
      <alignment horizontal="left" vertical="center" wrapText="1"/>
    </xf>
    <xf numFmtId="0" fontId="207" fillId="78" borderId="156" xfId="33112" applyFont="1" applyFill="1" applyBorder="1" applyAlignment="1">
      <alignment horizontal="center" vertical="center"/>
    </xf>
    <xf numFmtId="0" fontId="207" fillId="78" borderId="156" xfId="33112" applyFont="1" applyFill="1" applyBorder="1" applyAlignment="1">
      <alignment horizontal="left" vertical="center"/>
    </xf>
    <xf numFmtId="0" fontId="189" fillId="0" borderId="0" xfId="33112" applyAlignment="1">
      <alignment horizontal="right" vertical="center"/>
    </xf>
    <xf numFmtId="0" fontId="189" fillId="0" borderId="0" xfId="33112" applyAlignment="1">
      <alignment horizontal="left" vertical="center"/>
    </xf>
    <xf numFmtId="0" fontId="189" fillId="0" borderId="158" xfId="33112" applyBorder="1" applyAlignment="1">
      <alignment horizontal="left" vertical="center" wrapText="1"/>
    </xf>
    <xf numFmtId="0" fontId="189" fillId="0" borderId="153" xfId="33112" applyBorder="1" applyAlignment="1">
      <alignment horizontal="left" vertical="center" wrapText="1"/>
    </xf>
    <xf numFmtId="0" fontId="189" fillId="0" borderId="15" xfId="33112" applyBorder="1" applyAlignment="1">
      <alignment horizontal="left" vertical="center" wrapText="1"/>
    </xf>
    <xf numFmtId="0" fontId="189" fillId="0" borderId="1" xfId="33112" applyBorder="1" applyAlignment="1">
      <alignment horizontal="left" vertical="center" wrapText="1"/>
    </xf>
    <xf numFmtId="0" fontId="189" fillId="0" borderId="0" xfId="33112" quotePrefix="1" applyAlignment="1">
      <alignment horizontal="center" vertical="center" wrapText="1"/>
    </xf>
    <xf numFmtId="0" fontId="189" fillId="0" borderId="0" xfId="33112" quotePrefix="1" applyAlignment="1">
      <alignment horizontal="left" vertical="center"/>
    </xf>
    <xf numFmtId="0" fontId="189" fillId="0" borderId="0" xfId="33112" quotePrefix="1" applyAlignment="1">
      <alignment horizontal="right" vertical="center" wrapText="1"/>
    </xf>
    <xf numFmtId="0" fontId="208" fillId="0" borderId="0" xfId="33112" applyFont="1" applyAlignment="1">
      <alignment horizontal="left" vertical="center"/>
    </xf>
    <xf numFmtId="0" fontId="11" fillId="0" borderId="167" xfId="33112" applyFont="1" applyBorder="1" applyAlignment="1">
      <alignment horizontal="right" vertical="center"/>
    </xf>
    <xf numFmtId="0" fontId="189" fillId="0" borderId="168" xfId="33112" applyBorder="1" applyAlignment="1">
      <alignment horizontal="right" vertical="center"/>
    </xf>
    <xf numFmtId="0" fontId="189" fillId="0" borderId="170" xfId="33112" applyBorder="1" applyAlignment="1">
      <alignment horizontal="left" vertical="center"/>
    </xf>
    <xf numFmtId="0" fontId="189" fillId="0" borderId="1" xfId="33112" applyBorder="1" applyAlignment="1">
      <alignment vertical="center"/>
    </xf>
    <xf numFmtId="0" fontId="189" fillId="0" borderId="0" xfId="33112" applyAlignment="1">
      <alignment horizontal="left" vertical="top"/>
    </xf>
    <xf numFmtId="0" fontId="209" fillId="0" borderId="0" xfId="33112" applyFont="1" applyAlignment="1">
      <alignment horizontal="center" vertical="center" wrapText="1"/>
    </xf>
    <xf numFmtId="0" fontId="209" fillId="0" borderId="0" xfId="33112" applyFont="1" applyAlignment="1">
      <alignment horizontal="center" vertical="center"/>
    </xf>
    <xf numFmtId="0" fontId="209" fillId="0" borderId="0" xfId="33112" applyFont="1" applyAlignment="1">
      <alignment horizontal="left" vertical="center"/>
    </xf>
    <xf numFmtId="0" fontId="207" fillId="0" borderId="0" xfId="33112" applyFont="1" applyAlignment="1">
      <alignment horizontal="center" vertical="center"/>
    </xf>
    <xf numFmtId="0" fontId="207" fillId="0" borderId="0" xfId="33112" applyFont="1" applyAlignment="1">
      <alignment horizontal="left" vertical="center"/>
    </xf>
    <xf numFmtId="0" fontId="189" fillId="0" borderId="167" xfId="33112" applyBorder="1" applyAlignment="1">
      <alignment vertical="center"/>
    </xf>
    <xf numFmtId="0" fontId="189" fillId="0" borderId="0" xfId="33112" applyAlignment="1">
      <alignment horizontal="left" vertical="top" wrapText="1"/>
    </xf>
    <xf numFmtId="0" fontId="189" fillId="0" borderId="165" xfId="33112" applyBorder="1" applyAlignment="1">
      <alignment horizontal="right" vertical="top"/>
    </xf>
    <xf numFmtId="0" fontId="189" fillId="0" borderId="167" xfId="33112" applyBorder="1" applyAlignment="1">
      <alignment horizontal="center" vertical="top"/>
    </xf>
    <xf numFmtId="0" fontId="162" fillId="79" borderId="156" xfId="33112" applyFont="1" applyFill="1" applyBorder="1" applyAlignment="1">
      <alignment horizontal="center" vertical="center"/>
    </xf>
    <xf numFmtId="0" fontId="162" fillId="79" borderId="156" xfId="33112" applyFont="1" applyFill="1" applyBorder="1" applyAlignment="1">
      <alignment horizontal="left" vertical="center"/>
    </xf>
    <xf numFmtId="0" fontId="207" fillId="80" borderId="156" xfId="33112" applyFont="1" applyFill="1" applyBorder="1" applyAlignment="1">
      <alignment horizontal="center" vertical="center"/>
    </xf>
    <xf numFmtId="0" fontId="207" fillId="80" borderId="156" xfId="33112" applyFont="1" applyFill="1" applyBorder="1" applyAlignment="1">
      <alignment horizontal="left" vertical="center"/>
    </xf>
    <xf numFmtId="0" fontId="189" fillId="0" borderId="0" xfId="33112" quotePrefix="1" applyAlignment="1">
      <alignment horizontal="left"/>
    </xf>
    <xf numFmtId="0" fontId="207" fillId="77" borderId="167" xfId="33112" applyFont="1" applyFill="1" applyBorder="1" applyAlignment="1">
      <alignment horizontal="right" vertical="center"/>
    </xf>
    <xf numFmtId="0" fontId="11" fillId="77" borderId="168" xfId="33112" applyFont="1" applyFill="1" applyBorder="1" applyAlignment="1">
      <alignment horizontal="right" vertical="center"/>
    </xf>
    <xf numFmtId="0" fontId="189" fillId="0" borderId="1" xfId="33112" applyBorder="1" applyAlignment="1">
      <alignment horizontal="left" vertical="center"/>
    </xf>
    <xf numFmtId="0" fontId="189" fillId="0" borderId="18" xfId="33112" applyBorder="1" applyAlignment="1">
      <alignment horizontal="left" vertical="center" wrapText="1"/>
    </xf>
    <xf numFmtId="0" fontId="189" fillId="0" borderId="0" xfId="33112" applyAlignment="1">
      <alignment horizontal="left" vertical="center" wrapText="1"/>
    </xf>
    <xf numFmtId="0" fontId="210" fillId="0" borderId="0" xfId="33112" applyFont="1" applyAlignment="1">
      <alignment horizontal="center" vertical="center"/>
    </xf>
    <xf numFmtId="0" fontId="189" fillId="0" borderId="0" xfId="33112" applyAlignment="1">
      <alignment horizontal="center"/>
    </xf>
    <xf numFmtId="0" fontId="189" fillId="0" borderId="0" xfId="33112" applyAlignment="1">
      <alignment horizontal="center" vertical="center"/>
    </xf>
    <xf numFmtId="0" fontId="189" fillId="0" borderId="0" xfId="33112" applyAlignment="1">
      <alignment horizontal="center" vertical="center" wrapText="1"/>
    </xf>
    <xf numFmtId="0" fontId="189" fillId="0" borderId="0" xfId="33112" applyAlignment="1">
      <alignment vertical="center"/>
    </xf>
    <xf numFmtId="0" fontId="206" fillId="0" borderId="17" xfId="33112" quotePrefix="1" applyFont="1" applyBorder="1" applyAlignment="1">
      <alignment horizontal="left" vertical="center"/>
    </xf>
    <xf numFmtId="16" fontId="0" fillId="0" borderId="0" xfId="0" quotePrefix="1" applyNumberFormat="1" applyAlignment="1">
      <alignment horizontal="right"/>
    </xf>
    <xf numFmtId="0" fontId="118" fillId="2" borderId="47" xfId="0" applyFont="1" applyFill="1" applyBorder="1" applyAlignment="1" applyProtection="1">
      <alignment horizontal="left"/>
      <protection locked="0"/>
    </xf>
    <xf numFmtId="0" fontId="127" fillId="2" borderId="52" xfId="0" applyFont="1" applyFill="1" applyBorder="1" applyAlignment="1" applyProtection="1">
      <alignment horizontal="center"/>
      <protection locked="0"/>
    </xf>
    <xf numFmtId="0" fontId="92" fillId="0" borderId="1" xfId="0" applyFont="1" applyBorder="1" applyAlignment="1">
      <alignment wrapText="1"/>
    </xf>
    <xf numFmtId="0" fontId="92" fillId="0" borderId="1" xfId="0" applyFont="1" applyBorder="1"/>
    <xf numFmtId="0" fontId="96" fillId="2" borderId="52" xfId="0" applyFont="1" applyFill="1" applyBorder="1" applyAlignment="1" applyProtection="1">
      <alignment horizontal="left"/>
      <protection locked="0"/>
    </xf>
    <xf numFmtId="0" fontId="91" fillId="2" borderId="52" xfId="7" applyFont="1" applyFill="1" applyBorder="1" applyAlignment="1" applyProtection="1">
      <alignment horizontal="left" wrapText="1"/>
      <protection locked="0"/>
    </xf>
    <xf numFmtId="0" fontId="96" fillId="2" borderId="47" xfId="0" applyFont="1" applyFill="1" applyBorder="1" applyAlignment="1" applyProtection="1">
      <alignment horizontal="left"/>
      <protection locked="0"/>
    </xf>
    <xf numFmtId="0" fontId="91" fillId="2" borderId="47" xfId="7" applyFont="1" applyFill="1" applyBorder="1" applyAlignment="1" applyProtection="1">
      <alignment horizontal="left" wrapText="1"/>
      <protection locked="0"/>
    </xf>
    <xf numFmtId="0" fontId="118" fillId="2" borderId="52" xfId="0" applyFont="1" applyFill="1" applyBorder="1" applyAlignment="1" applyProtection="1">
      <alignment horizontal="left"/>
      <protection locked="0"/>
    </xf>
    <xf numFmtId="0" fontId="107" fillId="0" borderId="136" xfId="0" applyFont="1" applyBorder="1" applyAlignment="1">
      <alignment horizontal="left" vertical="center" wrapText="1"/>
    </xf>
    <xf numFmtId="0" fontId="107" fillId="0" borderId="47" xfId="0" applyFont="1" applyBorder="1" applyAlignment="1">
      <alignment horizontal="left" vertical="center" wrapText="1"/>
    </xf>
    <xf numFmtId="0" fontId="92" fillId="63" borderId="57" xfId="0" applyFont="1" applyFill="1" applyBorder="1" applyAlignment="1">
      <alignment wrapText="1"/>
    </xf>
    <xf numFmtId="0" fontId="92" fillId="63" borderId="65" xfId="0" applyFont="1" applyFill="1" applyBorder="1" applyAlignment="1">
      <alignment wrapText="1"/>
    </xf>
    <xf numFmtId="0" fontId="96" fillId="2" borderId="52" xfId="0" applyFont="1" applyFill="1" applyBorder="1" applyProtection="1">
      <protection locked="0"/>
    </xf>
    <xf numFmtId="0" fontId="96" fillId="2" borderId="47" xfId="0" applyFont="1" applyFill="1" applyBorder="1" applyProtection="1">
      <protection locked="0"/>
    </xf>
    <xf numFmtId="0" fontId="96" fillId="2" borderId="50" xfId="0" applyFont="1" applyFill="1" applyBorder="1" applyProtection="1">
      <protection locked="0"/>
    </xf>
    <xf numFmtId="0" fontId="89" fillId="60" borderId="69" xfId="0" applyFont="1" applyFill="1" applyBorder="1" applyAlignment="1">
      <alignment horizontal="center" vertical="center" wrapText="1"/>
    </xf>
    <xf numFmtId="0" fontId="89" fillId="60" borderId="65" xfId="0" applyFont="1" applyFill="1" applyBorder="1" applyAlignment="1">
      <alignment horizontal="center" vertical="center" wrapText="1"/>
    </xf>
    <xf numFmtId="0" fontId="89" fillId="60" borderId="63" xfId="0" applyFont="1" applyFill="1" applyBorder="1" applyAlignment="1">
      <alignment horizontal="center" vertical="center" wrapText="1"/>
    </xf>
    <xf numFmtId="0" fontId="96" fillId="2" borderId="108" xfId="0" applyFont="1" applyFill="1" applyBorder="1" applyProtection="1">
      <protection locked="0"/>
    </xf>
    <xf numFmtId="0" fontId="89" fillId="0" borderId="57" xfId="0" applyFont="1" applyBorder="1" applyAlignment="1">
      <alignment horizontal="left"/>
    </xf>
    <xf numFmtId="0" fontId="89" fillId="0" borderId="65" xfId="0" applyFont="1" applyBorder="1" applyAlignment="1">
      <alignment horizontal="left"/>
    </xf>
    <xf numFmtId="0" fontId="100" fillId="0" borderId="1" xfId="7" applyFont="1" applyFill="1" applyBorder="1" applyAlignment="1" applyProtection="1">
      <alignment horizontal="right" wrapText="1" indent="1"/>
    </xf>
    <xf numFmtId="0" fontId="100" fillId="0" borderId="14" xfId="7" applyFont="1" applyFill="1" applyBorder="1" applyAlignment="1" applyProtection="1">
      <alignment horizontal="right" wrapText="1" indent="1"/>
    </xf>
    <xf numFmtId="0" fontId="91" fillId="0" borderId="0" xfId="0" applyFont="1"/>
    <xf numFmtId="0" fontId="109" fillId="65" borderId="0" xfId="0" applyFont="1" applyFill="1" applyAlignment="1">
      <alignment wrapText="1"/>
    </xf>
    <xf numFmtId="0" fontId="102" fillId="64" borderId="0" xfId="0" applyFont="1" applyFill="1" applyAlignment="1">
      <alignment horizontal="left"/>
    </xf>
    <xf numFmtId="0" fontId="113" fillId="65" borderId="0" xfId="0" quotePrefix="1" applyFont="1" applyFill="1" applyAlignment="1">
      <alignment wrapText="1"/>
    </xf>
    <xf numFmtId="0" fontId="92" fillId="0" borderId="69" xfId="0" applyFont="1" applyBorder="1" applyAlignment="1">
      <alignment horizontal="center"/>
    </xf>
    <xf numFmtId="0" fontId="92" fillId="0" borderId="65" xfId="0" applyFont="1" applyBorder="1" applyAlignment="1">
      <alignment horizontal="center"/>
    </xf>
    <xf numFmtId="0" fontId="92" fillId="0" borderId="63" xfId="0" applyFont="1" applyBorder="1" applyAlignment="1">
      <alignment horizontal="center"/>
    </xf>
    <xf numFmtId="0" fontId="184" fillId="66" borderId="69" xfId="0" quotePrefix="1" applyFont="1" applyFill="1" applyBorder="1" applyAlignment="1">
      <alignment wrapText="1"/>
    </xf>
    <xf numFmtId="0" fontId="184" fillId="66" borderId="65" xfId="0" applyFont="1" applyFill="1" applyBorder="1"/>
    <xf numFmtId="0" fontId="64" fillId="6" borderId="0" xfId="0" applyFont="1" applyFill="1"/>
    <xf numFmtId="0" fontId="64" fillId="0" borderId="0" xfId="8" applyFont="1" applyAlignment="1">
      <alignment horizontal="center"/>
    </xf>
    <xf numFmtId="0" fontId="135" fillId="0" borderId="0" xfId="0" applyFont="1" applyAlignment="1">
      <alignment horizontal="center"/>
    </xf>
    <xf numFmtId="0" fontId="64" fillId="62" borderId="98" xfId="33111" applyFont="1" applyFill="1" applyBorder="1" applyAlignment="1" applyProtection="1">
      <alignment horizontal="center" vertical="top" wrapText="1"/>
      <protection locked="0"/>
    </xf>
    <xf numFmtId="0" fontId="64" fillId="62" borderId="99" xfId="33111" applyFont="1" applyFill="1" applyBorder="1" applyAlignment="1" applyProtection="1">
      <alignment horizontal="center" vertical="top" wrapText="1"/>
      <protection locked="0"/>
    </xf>
    <xf numFmtId="172" fontId="15" fillId="0" borderId="57" xfId="6628" applyNumberFormat="1" applyFont="1" applyBorder="1" applyAlignment="1">
      <alignment horizontal="center"/>
    </xf>
    <xf numFmtId="0" fontId="11" fillId="0" borderId="59" xfId="0" applyFont="1" applyBorder="1" applyAlignment="1">
      <alignment horizontal="center"/>
    </xf>
    <xf numFmtId="0" fontId="11" fillId="0" borderId="57" xfId="0" applyFont="1" applyBorder="1" applyAlignment="1">
      <alignment horizontal="center"/>
    </xf>
    <xf numFmtId="0" fontId="11" fillId="0" borderId="58" xfId="0" applyFont="1" applyBorder="1" applyAlignment="1">
      <alignment horizontal="center"/>
    </xf>
    <xf numFmtId="0" fontId="95" fillId="2" borderId="47" xfId="33112" applyFont="1" applyFill="1" applyBorder="1" applyProtection="1">
      <protection locked="0"/>
    </xf>
    <xf numFmtId="0" fontId="95" fillId="2" borderId="47" xfId="33112" quotePrefix="1" applyFont="1" applyFill="1" applyBorder="1" applyProtection="1">
      <protection locked="0"/>
    </xf>
    <xf numFmtId="0" fontId="95" fillId="2" borderId="51" xfId="33112" applyFont="1" applyFill="1" applyBorder="1" applyAlignment="1" applyProtection="1">
      <alignment horizontal="left"/>
      <protection locked="0"/>
    </xf>
    <xf numFmtId="0" fontId="116" fillId="76" borderId="160" xfId="33112" applyFont="1" applyFill="1" applyBorder="1" applyAlignment="1" applyProtection="1">
      <alignment horizontal="left"/>
      <protection locked="0"/>
    </xf>
    <xf numFmtId="0" fontId="116" fillId="0" borderId="160" xfId="33112" applyFont="1" applyBorder="1" applyProtection="1">
      <protection locked="0"/>
    </xf>
    <xf numFmtId="0" fontId="116" fillId="76" borderId="161" xfId="33112" applyFont="1" applyFill="1" applyBorder="1" applyAlignment="1" applyProtection="1">
      <alignment horizontal="left"/>
      <protection locked="0"/>
    </xf>
    <xf numFmtId="0" fontId="116" fillId="0" borderId="161" xfId="33112" applyFont="1" applyBorder="1" applyProtection="1">
      <protection locked="0"/>
    </xf>
    <xf numFmtId="0" fontId="116" fillId="76" borderId="162" xfId="33112" applyFont="1" applyFill="1" applyBorder="1" applyAlignment="1" applyProtection="1">
      <alignment horizontal="center"/>
      <protection locked="0"/>
    </xf>
    <xf numFmtId="0" fontId="116" fillId="0" borderId="163" xfId="33112" applyFont="1" applyBorder="1" applyProtection="1">
      <protection locked="0"/>
    </xf>
    <xf numFmtId="0" fontId="116" fillId="2" borderId="55" xfId="33112" applyFont="1" applyFill="1" applyBorder="1" applyAlignment="1" applyProtection="1">
      <alignment horizontal="center"/>
      <protection locked="0"/>
    </xf>
    <xf numFmtId="0" fontId="95" fillId="2" borderId="51" xfId="33112" applyFont="1" applyFill="1" applyBorder="1" applyProtection="1">
      <protection locked="0"/>
    </xf>
    <xf numFmtId="0" fontId="116" fillId="2" borderId="1" xfId="33113" quotePrefix="1" applyFont="1" applyFill="1" applyBorder="1" applyAlignment="1" applyProtection="1">
      <alignment horizontal="left"/>
      <protection locked="0"/>
    </xf>
    <xf numFmtId="0" fontId="116" fillId="2" borderId="1" xfId="33112" applyFont="1" applyFill="1" applyBorder="1" applyAlignment="1" applyProtection="1">
      <alignment horizontal="left"/>
      <protection locked="0"/>
    </xf>
    <xf numFmtId="0" fontId="116" fillId="2" borderId="47" xfId="33112" applyFont="1" applyFill="1" applyBorder="1" applyAlignment="1" applyProtection="1">
      <alignment horizontal="left"/>
      <protection locked="0"/>
    </xf>
    <xf numFmtId="0" fontId="95" fillId="2" borderId="0" xfId="33112" applyFont="1" applyFill="1" applyAlignment="1" applyProtection="1">
      <alignment horizontal="left"/>
      <protection locked="0"/>
    </xf>
    <xf numFmtId="0" fontId="95" fillId="2" borderId="47" xfId="33112" applyFont="1" applyFill="1" applyBorder="1" applyAlignment="1" applyProtection="1">
      <alignment horizontal="left"/>
      <protection locked="0"/>
    </xf>
    <xf numFmtId="0" fontId="95" fillId="2" borderId="0" xfId="33112" quotePrefix="1" applyFont="1" applyFill="1" applyAlignment="1" applyProtection="1">
      <alignment horizontal="left"/>
      <protection locked="0"/>
    </xf>
    <xf numFmtId="0" fontId="193" fillId="0" borderId="1" xfId="33112" applyFont="1" applyBorder="1" applyAlignment="1">
      <alignment horizontal="left"/>
    </xf>
    <xf numFmtId="0" fontId="95" fillId="2" borderId="155" xfId="33112" applyFont="1" applyFill="1" applyBorder="1" applyAlignment="1" applyProtection="1">
      <alignment horizontal="left"/>
      <protection locked="0"/>
    </xf>
    <xf numFmtId="0" fontId="95" fillId="2" borderId="156" xfId="33112" applyFont="1" applyFill="1" applyBorder="1" applyAlignment="1" applyProtection="1">
      <alignment horizontal="left"/>
      <protection locked="0"/>
    </xf>
    <xf numFmtId="0" fontId="95" fillId="2" borderId="157" xfId="33112" applyFont="1" applyFill="1" applyBorder="1" applyAlignment="1" applyProtection="1">
      <alignment horizontal="left"/>
      <protection locked="0"/>
    </xf>
    <xf numFmtId="0" fontId="95" fillId="2" borderId="136" xfId="33112" applyFont="1" applyFill="1" applyBorder="1" applyAlignment="1" applyProtection="1">
      <alignment horizontal="left"/>
      <protection locked="0"/>
    </xf>
    <xf numFmtId="0" fontId="95" fillId="2" borderId="67" xfId="33112" applyFont="1" applyFill="1" applyBorder="1" applyAlignment="1" applyProtection="1">
      <alignment horizontal="left"/>
      <protection locked="0"/>
    </xf>
  </cellXfs>
  <cellStyles count="33114">
    <cellStyle name="20% - Accent1" xfId="28" builtinId="30" customBuiltin="1"/>
    <cellStyle name="20% - Accent1 10" xfId="53" xr:uid="{00000000-0005-0000-0000-000001000000}"/>
    <cellStyle name="20% - Accent1 10 2" xfId="54" xr:uid="{00000000-0005-0000-0000-000002000000}"/>
    <cellStyle name="20% - Accent1 10 2 2" xfId="55" xr:uid="{00000000-0005-0000-0000-000003000000}"/>
    <cellStyle name="20% - Accent1 10 2 2 2" xfId="12454" xr:uid="{00000000-0005-0000-0000-000004000000}"/>
    <cellStyle name="20% - Accent1 10 2 2 2 2" xfId="26166" xr:uid="{00000000-0005-0000-0000-000005000000}"/>
    <cellStyle name="20% - Accent1 10 2 2 3" xfId="17378" xr:uid="{00000000-0005-0000-0000-000006000000}"/>
    <cellStyle name="20% - Accent1 10 2 3" xfId="56" xr:uid="{00000000-0005-0000-0000-000007000000}"/>
    <cellStyle name="20% - Accent1 10 2 3 2" xfId="14599" xr:uid="{00000000-0005-0000-0000-000008000000}"/>
    <cellStyle name="20% - Accent1 10 2 3 2 2" xfId="28148" xr:uid="{00000000-0005-0000-0000-000009000000}"/>
    <cellStyle name="20% - Accent1 10 2 3 3" xfId="17379" xr:uid="{00000000-0005-0000-0000-00000A000000}"/>
    <cellStyle name="20% - Accent1 10 2 4" xfId="10546" xr:uid="{00000000-0005-0000-0000-00000B000000}"/>
    <cellStyle name="20% - Accent1 10 2 4 2" xfId="24488" xr:uid="{00000000-0005-0000-0000-00000C000000}"/>
    <cellStyle name="20% - Accent1 10 2 5" xfId="17377" xr:uid="{00000000-0005-0000-0000-00000D000000}"/>
    <cellStyle name="20% - Accent1 10 3" xfId="57" xr:uid="{00000000-0005-0000-0000-00000E000000}"/>
    <cellStyle name="20% - Accent1 10 3 2" xfId="12413" xr:uid="{00000000-0005-0000-0000-00000F000000}"/>
    <cellStyle name="20% - Accent1 10 3 2 2" xfId="26125" xr:uid="{00000000-0005-0000-0000-000010000000}"/>
    <cellStyle name="20% - Accent1 10 3 3" xfId="17380" xr:uid="{00000000-0005-0000-0000-000011000000}"/>
    <cellStyle name="20% - Accent1 10 4" xfId="58" xr:uid="{00000000-0005-0000-0000-000012000000}"/>
    <cellStyle name="20% - Accent1 10 4 2" xfId="14600" xr:uid="{00000000-0005-0000-0000-000013000000}"/>
    <cellStyle name="20% - Accent1 10 4 2 2" xfId="28149" xr:uid="{00000000-0005-0000-0000-000014000000}"/>
    <cellStyle name="20% - Accent1 10 4 3" xfId="17381" xr:uid="{00000000-0005-0000-0000-000015000000}"/>
    <cellStyle name="20% - Accent1 10 5" xfId="59" xr:uid="{00000000-0005-0000-0000-000016000000}"/>
    <cellStyle name="20% - Accent1 10 5 2" xfId="17185" xr:uid="{00000000-0005-0000-0000-000017000000}"/>
    <cellStyle name="20% - Accent1 10 5 2 2" xfId="30544" xr:uid="{00000000-0005-0000-0000-000018000000}"/>
    <cellStyle name="20% - Accent1 10 5 3" xfId="17382" xr:uid="{00000000-0005-0000-0000-000019000000}"/>
    <cellStyle name="20% - Accent1 10 6" xfId="8821" xr:uid="{00000000-0005-0000-0000-00001A000000}"/>
    <cellStyle name="20% - Accent1 10 6 2" xfId="23296" xr:uid="{00000000-0005-0000-0000-00001B000000}"/>
    <cellStyle name="20% - Accent1 10 7" xfId="17376" xr:uid="{00000000-0005-0000-0000-00001C000000}"/>
    <cellStyle name="20% - Accent1 11" xfId="60" xr:uid="{00000000-0005-0000-0000-00001D000000}"/>
    <cellStyle name="20% - Accent1 11 2" xfId="61" xr:uid="{00000000-0005-0000-0000-00001E000000}"/>
    <cellStyle name="20% - Accent1 11 2 2" xfId="10547" xr:uid="{00000000-0005-0000-0000-00001F000000}"/>
    <cellStyle name="20% - Accent1 11 2 2 2" xfId="24489" xr:uid="{00000000-0005-0000-0000-000020000000}"/>
    <cellStyle name="20% - Accent1 11 2 3" xfId="17384" xr:uid="{00000000-0005-0000-0000-000021000000}"/>
    <cellStyle name="20% - Accent1 11 3" xfId="62" xr:uid="{00000000-0005-0000-0000-000022000000}"/>
    <cellStyle name="20% - Accent1 11 3 2" xfId="12645" xr:uid="{00000000-0005-0000-0000-000023000000}"/>
    <cellStyle name="20% - Accent1 11 3 2 2" xfId="26357" xr:uid="{00000000-0005-0000-0000-000024000000}"/>
    <cellStyle name="20% - Accent1 11 3 3" xfId="17385" xr:uid="{00000000-0005-0000-0000-000025000000}"/>
    <cellStyle name="20% - Accent1 11 4" xfId="63" xr:uid="{00000000-0005-0000-0000-000026000000}"/>
    <cellStyle name="20% - Accent1 11 4 2" xfId="14598" xr:uid="{00000000-0005-0000-0000-000027000000}"/>
    <cellStyle name="20% - Accent1 11 4 2 2" xfId="28147" xr:uid="{00000000-0005-0000-0000-000028000000}"/>
    <cellStyle name="20% - Accent1 11 4 3" xfId="17386" xr:uid="{00000000-0005-0000-0000-000029000000}"/>
    <cellStyle name="20% - Accent1 11 5" xfId="64" xr:uid="{00000000-0005-0000-0000-00002A000000}"/>
    <cellStyle name="20% - Accent1 11 5 2" xfId="17274" xr:uid="{00000000-0005-0000-0000-00002B000000}"/>
    <cellStyle name="20% - Accent1 11 5 2 2" xfId="30633" xr:uid="{00000000-0005-0000-0000-00002C000000}"/>
    <cellStyle name="20% - Accent1 11 5 3" xfId="17387" xr:uid="{00000000-0005-0000-0000-00002D000000}"/>
    <cellStyle name="20% - Accent1 11 6" xfId="8822" xr:uid="{00000000-0005-0000-0000-00002E000000}"/>
    <cellStyle name="20% - Accent1 11 6 2" xfId="23297" xr:uid="{00000000-0005-0000-0000-00002F000000}"/>
    <cellStyle name="20% - Accent1 11 7" xfId="17383" xr:uid="{00000000-0005-0000-0000-000030000000}"/>
    <cellStyle name="20% - Accent1 12" xfId="65" xr:uid="{00000000-0005-0000-0000-000031000000}"/>
    <cellStyle name="20% - Accent1 12 2" xfId="66" xr:uid="{00000000-0005-0000-0000-000032000000}"/>
    <cellStyle name="20% - Accent1 12 2 2" xfId="67" xr:uid="{00000000-0005-0000-0000-000033000000}"/>
    <cellStyle name="20% - Accent1 12 2 2 2" xfId="10549" xr:uid="{00000000-0005-0000-0000-000034000000}"/>
    <cellStyle name="20% - Accent1 12 2 2 2 2" xfId="24491" xr:uid="{00000000-0005-0000-0000-000035000000}"/>
    <cellStyle name="20% - Accent1 12 2 2 3" xfId="17390" xr:uid="{00000000-0005-0000-0000-000036000000}"/>
    <cellStyle name="20% - Accent1 12 2 3" xfId="68" xr:uid="{00000000-0005-0000-0000-000037000000}"/>
    <cellStyle name="20% - Accent1 12 2 3 2" xfId="12765" xr:uid="{00000000-0005-0000-0000-000038000000}"/>
    <cellStyle name="20% - Accent1 12 2 3 2 2" xfId="26477" xr:uid="{00000000-0005-0000-0000-000039000000}"/>
    <cellStyle name="20% - Accent1 12 2 3 3" xfId="17391" xr:uid="{00000000-0005-0000-0000-00003A000000}"/>
    <cellStyle name="20% - Accent1 12 2 4" xfId="69" xr:uid="{00000000-0005-0000-0000-00003B000000}"/>
    <cellStyle name="20% - Accent1 12 2 4 2" xfId="14596" xr:uid="{00000000-0005-0000-0000-00003C000000}"/>
    <cellStyle name="20% - Accent1 12 2 4 2 2" xfId="28145" xr:uid="{00000000-0005-0000-0000-00003D000000}"/>
    <cellStyle name="20% - Accent1 12 2 4 3" xfId="17392" xr:uid="{00000000-0005-0000-0000-00003E000000}"/>
    <cellStyle name="20% - Accent1 12 2 5" xfId="8824" xr:uid="{00000000-0005-0000-0000-00003F000000}"/>
    <cellStyle name="20% - Accent1 12 2 5 2" xfId="23299" xr:uid="{00000000-0005-0000-0000-000040000000}"/>
    <cellStyle name="20% - Accent1 12 2 6" xfId="17389" xr:uid="{00000000-0005-0000-0000-000041000000}"/>
    <cellStyle name="20% - Accent1 12 3" xfId="70" xr:uid="{00000000-0005-0000-0000-000042000000}"/>
    <cellStyle name="20% - Accent1 12 3 2" xfId="10548" xr:uid="{00000000-0005-0000-0000-000043000000}"/>
    <cellStyle name="20% - Accent1 12 3 2 2" xfId="24490" xr:uid="{00000000-0005-0000-0000-000044000000}"/>
    <cellStyle name="20% - Accent1 12 3 3" xfId="17393" xr:uid="{00000000-0005-0000-0000-000045000000}"/>
    <cellStyle name="20% - Accent1 12 4" xfId="71" xr:uid="{00000000-0005-0000-0000-000046000000}"/>
    <cellStyle name="20% - Accent1 12 4 2" xfId="12433" xr:uid="{00000000-0005-0000-0000-000047000000}"/>
    <cellStyle name="20% - Accent1 12 4 2 2" xfId="26145" xr:uid="{00000000-0005-0000-0000-000048000000}"/>
    <cellStyle name="20% - Accent1 12 4 3" xfId="17394" xr:uid="{00000000-0005-0000-0000-000049000000}"/>
    <cellStyle name="20% - Accent1 12 5" xfId="72" xr:uid="{00000000-0005-0000-0000-00004A000000}"/>
    <cellStyle name="20% - Accent1 12 5 2" xfId="14597" xr:uid="{00000000-0005-0000-0000-00004B000000}"/>
    <cellStyle name="20% - Accent1 12 5 2 2" xfId="28146" xr:uid="{00000000-0005-0000-0000-00004C000000}"/>
    <cellStyle name="20% - Accent1 12 5 3" xfId="17395" xr:uid="{00000000-0005-0000-0000-00004D000000}"/>
    <cellStyle name="20% - Accent1 12 6" xfId="73" xr:uid="{00000000-0005-0000-0000-00004E000000}"/>
    <cellStyle name="20% - Accent1 12 6 2" xfId="16426" xr:uid="{00000000-0005-0000-0000-00004F000000}"/>
    <cellStyle name="20% - Accent1 12 6 2 2" xfId="29833" xr:uid="{00000000-0005-0000-0000-000050000000}"/>
    <cellStyle name="20% - Accent1 12 6 3" xfId="17396" xr:uid="{00000000-0005-0000-0000-000051000000}"/>
    <cellStyle name="20% - Accent1 12 7" xfId="8823" xr:uid="{00000000-0005-0000-0000-000052000000}"/>
    <cellStyle name="20% - Accent1 12 7 2" xfId="23298" xr:uid="{00000000-0005-0000-0000-000053000000}"/>
    <cellStyle name="20% - Accent1 12 8" xfId="17388" xr:uid="{00000000-0005-0000-0000-000054000000}"/>
    <cellStyle name="20% - Accent1 13" xfId="74" xr:uid="{00000000-0005-0000-0000-000055000000}"/>
    <cellStyle name="20% - Accent1 13 2" xfId="75" xr:uid="{00000000-0005-0000-0000-000056000000}"/>
    <cellStyle name="20% - Accent1 13 2 2" xfId="10550" xr:uid="{00000000-0005-0000-0000-000057000000}"/>
    <cellStyle name="20% - Accent1 13 2 2 2" xfId="24492" xr:uid="{00000000-0005-0000-0000-000058000000}"/>
    <cellStyle name="20% - Accent1 13 2 3" xfId="17398" xr:uid="{00000000-0005-0000-0000-000059000000}"/>
    <cellStyle name="20% - Accent1 13 3" xfId="76" xr:uid="{00000000-0005-0000-0000-00005A000000}"/>
    <cellStyle name="20% - Accent1 13 3 2" xfId="12634" xr:uid="{00000000-0005-0000-0000-00005B000000}"/>
    <cellStyle name="20% - Accent1 13 3 2 2" xfId="26346" xr:uid="{00000000-0005-0000-0000-00005C000000}"/>
    <cellStyle name="20% - Accent1 13 3 3" xfId="17399" xr:uid="{00000000-0005-0000-0000-00005D000000}"/>
    <cellStyle name="20% - Accent1 13 4" xfId="77" xr:uid="{00000000-0005-0000-0000-00005E000000}"/>
    <cellStyle name="20% - Accent1 13 4 2" xfId="14595" xr:uid="{00000000-0005-0000-0000-00005F000000}"/>
    <cellStyle name="20% - Accent1 13 4 2 2" xfId="28144" xr:uid="{00000000-0005-0000-0000-000060000000}"/>
    <cellStyle name="20% - Accent1 13 4 3" xfId="17400" xr:uid="{00000000-0005-0000-0000-000061000000}"/>
    <cellStyle name="20% - Accent1 13 5" xfId="8825" xr:uid="{00000000-0005-0000-0000-000062000000}"/>
    <cellStyle name="20% - Accent1 13 5 2" xfId="23300" xr:uid="{00000000-0005-0000-0000-000063000000}"/>
    <cellStyle name="20% - Accent1 13 6" xfId="17397" xr:uid="{00000000-0005-0000-0000-000064000000}"/>
    <cellStyle name="20% - Accent1 14" xfId="78" xr:uid="{00000000-0005-0000-0000-000065000000}"/>
    <cellStyle name="20% - Accent1 14 2" xfId="79" xr:uid="{00000000-0005-0000-0000-000066000000}"/>
    <cellStyle name="20% - Accent1 14 2 2" xfId="10551" xr:uid="{00000000-0005-0000-0000-000067000000}"/>
    <cellStyle name="20% - Accent1 14 2 2 2" xfId="24493" xr:uid="{00000000-0005-0000-0000-000068000000}"/>
    <cellStyle name="20% - Accent1 14 2 3" xfId="17402" xr:uid="{00000000-0005-0000-0000-000069000000}"/>
    <cellStyle name="20% - Accent1 14 3" xfId="80" xr:uid="{00000000-0005-0000-0000-00006A000000}"/>
    <cellStyle name="20% - Accent1 14 3 2" xfId="12602" xr:uid="{00000000-0005-0000-0000-00006B000000}"/>
    <cellStyle name="20% - Accent1 14 3 2 2" xfId="26314" xr:uid="{00000000-0005-0000-0000-00006C000000}"/>
    <cellStyle name="20% - Accent1 14 3 3" xfId="17403" xr:uid="{00000000-0005-0000-0000-00006D000000}"/>
    <cellStyle name="20% - Accent1 14 4" xfId="81" xr:uid="{00000000-0005-0000-0000-00006E000000}"/>
    <cellStyle name="20% - Accent1 14 4 2" xfId="14594" xr:uid="{00000000-0005-0000-0000-00006F000000}"/>
    <cellStyle name="20% - Accent1 14 4 2 2" xfId="28143" xr:uid="{00000000-0005-0000-0000-000070000000}"/>
    <cellStyle name="20% - Accent1 14 4 3" xfId="17404" xr:uid="{00000000-0005-0000-0000-000071000000}"/>
    <cellStyle name="20% - Accent1 14 5" xfId="8826" xr:uid="{00000000-0005-0000-0000-000072000000}"/>
    <cellStyle name="20% - Accent1 14 5 2" xfId="23301" xr:uid="{00000000-0005-0000-0000-000073000000}"/>
    <cellStyle name="20% - Accent1 14 6" xfId="17401" xr:uid="{00000000-0005-0000-0000-000074000000}"/>
    <cellStyle name="20% - Accent1 15" xfId="82" xr:uid="{00000000-0005-0000-0000-000075000000}"/>
    <cellStyle name="20% - Accent1 15 2" xfId="83" xr:uid="{00000000-0005-0000-0000-000076000000}"/>
    <cellStyle name="20% - Accent1 15 2 2" xfId="10552" xr:uid="{00000000-0005-0000-0000-000077000000}"/>
    <cellStyle name="20% - Accent1 15 2 2 2" xfId="24494" xr:uid="{00000000-0005-0000-0000-000078000000}"/>
    <cellStyle name="20% - Accent1 15 2 3" xfId="17406" xr:uid="{00000000-0005-0000-0000-000079000000}"/>
    <cellStyle name="20% - Accent1 15 3" xfId="84" xr:uid="{00000000-0005-0000-0000-00007A000000}"/>
    <cellStyle name="20% - Accent1 15 3 2" xfId="12475" xr:uid="{00000000-0005-0000-0000-00007B000000}"/>
    <cellStyle name="20% - Accent1 15 3 2 2" xfId="26187" xr:uid="{00000000-0005-0000-0000-00007C000000}"/>
    <cellStyle name="20% - Accent1 15 3 3" xfId="17407" xr:uid="{00000000-0005-0000-0000-00007D000000}"/>
    <cellStyle name="20% - Accent1 15 4" xfId="85" xr:uid="{00000000-0005-0000-0000-00007E000000}"/>
    <cellStyle name="20% - Accent1 15 4 2" xfId="14593" xr:uid="{00000000-0005-0000-0000-00007F000000}"/>
    <cellStyle name="20% - Accent1 15 4 2 2" xfId="28142" xr:uid="{00000000-0005-0000-0000-000080000000}"/>
    <cellStyle name="20% - Accent1 15 4 3" xfId="17408" xr:uid="{00000000-0005-0000-0000-000081000000}"/>
    <cellStyle name="20% - Accent1 15 5" xfId="8827" xr:uid="{00000000-0005-0000-0000-000082000000}"/>
    <cellStyle name="20% - Accent1 15 5 2" xfId="23302" xr:uid="{00000000-0005-0000-0000-000083000000}"/>
    <cellStyle name="20% - Accent1 15 6" xfId="17405" xr:uid="{00000000-0005-0000-0000-000084000000}"/>
    <cellStyle name="20% - Accent1 16" xfId="86" xr:uid="{00000000-0005-0000-0000-000085000000}"/>
    <cellStyle name="20% - Accent1 16 2" xfId="87" xr:uid="{00000000-0005-0000-0000-000086000000}"/>
    <cellStyle name="20% - Accent1 16 2 2" xfId="10553" xr:uid="{00000000-0005-0000-0000-000087000000}"/>
    <cellStyle name="20% - Accent1 16 2 2 2" xfId="24495" xr:uid="{00000000-0005-0000-0000-000088000000}"/>
    <cellStyle name="20% - Accent1 16 2 3" xfId="17410" xr:uid="{00000000-0005-0000-0000-000089000000}"/>
    <cellStyle name="20% - Accent1 16 3" xfId="88" xr:uid="{00000000-0005-0000-0000-00008A000000}"/>
    <cellStyle name="20% - Accent1 16 3 2" xfId="12498" xr:uid="{00000000-0005-0000-0000-00008B000000}"/>
    <cellStyle name="20% - Accent1 16 3 2 2" xfId="26210" xr:uid="{00000000-0005-0000-0000-00008C000000}"/>
    <cellStyle name="20% - Accent1 16 3 3" xfId="17411" xr:uid="{00000000-0005-0000-0000-00008D000000}"/>
    <cellStyle name="20% - Accent1 16 4" xfId="89" xr:uid="{00000000-0005-0000-0000-00008E000000}"/>
    <cellStyle name="20% - Accent1 16 4 2" xfId="14592" xr:uid="{00000000-0005-0000-0000-00008F000000}"/>
    <cellStyle name="20% - Accent1 16 4 2 2" xfId="28141" xr:uid="{00000000-0005-0000-0000-000090000000}"/>
    <cellStyle name="20% - Accent1 16 4 3" xfId="17412" xr:uid="{00000000-0005-0000-0000-000091000000}"/>
    <cellStyle name="20% - Accent1 16 5" xfId="8828" xr:uid="{00000000-0005-0000-0000-000092000000}"/>
    <cellStyle name="20% - Accent1 16 5 2" xfId="23303" xr:uid="{00000000-0005-0000-0000-000093000000}"/>
    <cellStyle name="20% - Accent1 16 6" xfId="17409" xr:uid="{00000000-0005-0000-0000-000094000000}"/>
    <cellStyle name="20% - Accent1 17" xfId="90" xr:uid="{00000000-0005-0000-0000-000095000000}"/>
    <cellStyle name="20% - Accent1 17 2" xfId="91" xr:uid="{00000000-0005-0000-0000-000096000000}"/>
    <cellStyle name="20% - Accent1 17 2 2" xfId="10554" xr:uid="{00000000-0005-0000-0000-000097000000}"/>
    <cellStyle name="20% - Accent1 17 2 2 2" xfId="24496" xr:uid="{00000000-0005-0000-0000-000098000000}"/>
    <cellStyle name="20% - Accent1 17 2 3" xfId="17414" xr:uid="{00000000-0005-0000-0000-000099000000}"/>
    <cellStyle name="20% - Accent1 17 3" xfId="92" xr:uid="{00000000-0005-0000-0000-00009A000000}"/>
    <cellStyle name="20% - Accent1 17 3 2" xfId="12112" xr:uid="{00000000-0005-0000-0000-00009B000000}"/>
    <cellStyle name="20% - Accent1 17 3 2 2" xfId="25824" xr:uid="{00000000-0005-0000-0000-00009C000000}"/>
    <cellStyle name="20% - Accent1 17 3 3" xfId="17415" xr:uid="{00000000-0005-0000-0000-00009D000000}"/>
    <cellStyle name="20% - Accent1 17 4" xfId="93" xr:uid="{00000000-0005-0000-0000-00009E000000}"/>
    <cellStyle name="20% - Accent1 17 4 2" xfId="14591" xr:uid="{00000000-0005-0000-0000-00009F000000}"/>
    <cellStyle name="20% - Accent1 17 4 2 2" xfId="28140" xr:uid="{00000000-0005-0000-0000-0000A0000000}"/>
    <cellStyle name="20% - Accent1 17 4 3" xfId="17416" xr:uid="{00000000-0005-0000-0000-0000A1000000}"/>
    <cellStyle name="20% - Accent1 17 5" xfId="8829" xr:uid="{00000000-0005-0000-0000-0000A2000000}"/>
    <cellStyle name="20% - Accent1 17 5 2" xfId="23304" xr:uid="{00000000-0005-0000-0000-0000A3000000}"/>
    <cellStyle name="20% - Accent1 17 6" xfId="17413" xr:uid="{00000000-0005-0000-0000-0000A4000000}"/>
    <cellStyle name="20% - Accent1 18" xfId="94" xr:uid="{00000000-0005-0000-0000-0000A5000000}"/>
    <cellStyle name="20% - Accent1 18 2" xfId="95" xr:uid="{00000000-0005-0000-0000-0000A6000000}"/>
    <cellStyle name="20% - Accent1 18 2 2" xfId="10555" xr:uid="{00000000-0005-0000-0000-0000A7000000}"/>
    <cellStyle name="20% - Accent1 18 2 2 2" xfId="24497" xr:uid="{00000000-0005-0000-0000-0000A8000000}"/>
    <cellStyle name="20% - Accent1 18 2 3" xfId="17418" xr:uid="{00000000-0005-0000-0000-0000A9000000}"/>
    <cellStyle name="20% - Accent1 18 3" xfId="96" xr:uid="{00000000-0005-0000-0000-0000AA000000}"/>
    <cellStyle name="20% - Accent1 18 3 2" xfId="12802" xr:uid="{00000000-0005-0000-0000-0000AB000000}"/>
    <cellStyle name="20% - Accent1 18 3 2 2" xfId="26514" xr:uid="{00000000-0005-0000-0000-0000AC000000}"/>
    <cellStyle name="20% - Accent1 18 3 3" xfId="17419" xr:uid="{00000000-0005-0000-0000-0000AD000000}"/>
    <cellStyle name="20% - Accent1 18 4" xfId="97" xr:uid="{00000000-0005-0000-0000-0000AE000000}"/>
    <cellStyle name="20% - Accent1 18 4 2" xfId="14540" xr:uid="{00000000-0005-0000-0000-0000AF000000}"/>
    <cellStyle name="20% - Accent1 18 4 2 2" xfId="28089" xr:uid="{00000000-0005-0000-0000-0000B0000000}"/>
    <cellStyle name="20% - Accent1 18 4 3" xfId="17420" xr:uid="{00000000-0005-0000-0000-0000B1000000}"/>
    <cellStyle name="20% - Accent1 18 5" xfId="8830" xr:uid="{00000000-0005-0000-0000-0000B2000000}"/>
    <cellStyle name="20% - Accent1 18 5 2" xfId="23305" xr:uid="{00000000-0005-0000-0000-0000B3000000}"/>
    <cellStyle name="20% - Accent1 18 6" xfId="17417" xr:uid="{00000000-0005-0000-0000-0000B4000000}"/>
    <cellStyle name="20% - Accent1 19" xfId="98" xr:uid="{00000000-0005-0000-0000-0000B5000000}"/>
    <cellStyle name="20% - Accent1 19 2" xfId="99" xr:uid="{00000000-0005-0000-0000-0000B6000000}"/>
    <cellStyle name="20% - Accent1 19 2 2" xfId="11710" xr:uid="{00000000-0005-0000-0000-0000B7000000}"/>
    <cellStyle name="20% - Accent1 19 2 2 2" xfId="25430" xr:uid="{00000000-0005-0000-0000-0000B8000000}"/>
    <cellStyle name="20% - Accent1 19 2 3" xfId="17422" xr:uid="{00000000-0005-0000-0000-0000B9000000}"/>
    <cellStyle name="20% - Accent1 19 3" xfId="100" xr:uid="{00000000-0005-0000-0000-0000BA000000}"/>
    <cellStyle name="20% - Accent1 19 3 2" xfId="12757" xr:uid="{00000000-0005-0000-0000-0000BB000000}"/>
    <cellStyle name="20% - Accent1 19 3 2 2" xfId="26469" xr:uid="{00000000-0005-0000-0000-0000BC000000}"/>
    <cellStyle name="20% - Accent1 19 3 3" xfId="17423" xr:uid="{00000000-0005-0000-0000-0000BD000000}"/>
    <cellStyle name="20% - Accent1 19 4" xfId="101" xr:uid="{00000000-0005-0000-0000-0000BE000000}"/>
    <cellStyle name="20% - Accent1 19 4 2" xfId="14590" xr:uid="{00000000-0005-0000-0000-0000BF000000}"/>
    <cellStyle name="20% - Accent1 19 4 2 2" xfId="28139" xr:uid="{00000000-0005-0000-0000-0000C0000000}"/>
    <cellStyle name="20% - Accent1 19 4 3" xfId="17424" xr:uid="{00000000-0005-0000-0000-0000C1000000}"/>
    <cellStyle name="20% - Accent1 19 5" xfId="10462" xr:uid="{00000000-0005-0000-0000-0000C2000000}"/>
    <cellStyle name="20% - Accent1 19 5 2" xfId="24421" xr:uid="{00000000-0005-0000-0000-0000C3000000}"/>
    <cellStyle name="20% - Accent1 19 6" xfId="17421" xr:uid="{00000000-0005-0000-0000-0000C4000000}"/>
    <cellStyle name="20% - Accent1 2" xfId="102" xr:uid="{00000000-0005-0000-0000-0000C5000000}"/>
    <cellStyle name="20% - Accent1 2 10" xfId="103" xr:uid="{00000000-0005-0000-0000-0000C6000000}"/>
    <cellStyle name="20% - Accent1 2 10 2" xfId="104" xr:uid="{00000000-0005-0000-0000-0000C7000000}"/>
    <cellStyle name="20% - Accent1 2 10 2 2" xfId="14588" xr:uid="{00000000-0005-0000-0000-0000C8000000}"/>
    <cellStyle name="20% - Accent1 2 10 2 2 2" xfId="28137" xr:uid="{00000000-0005-0000-0000-0000C9000000}"/>
    <cellStyle name="20% - Accent1 2 10 2 3" xfId="17427" xr:uid="{00000000-0005-0000-0000-0000CA000000}"/>
    <cellStyle name="20% - Accent1 2 10 3" xfId="11835" xr:uid="{00000000-0005-0000-0000-0000CB000000}"/>
    <cellStyle name="20% - Accent1 2 10 3 2" xfId="25550" xr:uid="{00000000-0005-0000-0000-0000CC000000}"/>
    <cellStyle name="20% - Accent1 2 10 4" xfId="17426" xr:uid="{00000000-0005-0000-0000-0000CD000000}"/>
    <cellStyle name="20% - Accent1 2 11" xfId="105" xr:uid="{00000000-0005-0000-0000-0000CE000000}"/>
    <cellStyle name="20% - Accent1 2 11 2" xfId="12718" xr:uid="{00000000-0005-0000-0000-0000CF000000}"/>
    <cellStyle name="20% - Accent1 2 11 2 2" xfId="26430" xr:uid="{00000000-0005-0000-0000-0000D0000000}"/>
    <cellStyle name="20% - Accent1 2 11 3" xfId="17428" xr:uid="{00000000-0005-0000-0000-0000D1000000}"/>
    <cellStyle name="20% - Accent1 2 12" xfId="106" xr:uid="{00000000-0005-0000-0000-0000D2000000}"/>
    <cellStyle name="20% - Accent1 2 12 2" xfId="13435" xr:uid="{00000000-0005-0000-0000-0000D3000000}"/>
    <cellStyle name="20% - Accent1 2 12 2 2" xfId="26984" xr:uid="{00000000-0005-0000-0000-0000D4000000}"/>
    <cellStyle name="20% - Accent1 2 12 3" xfId="17429" xr:uid="{00000000-0005-0000-0000-0000D5000000}"/>
    <cellStyle name="20% - Accent1 2 13" xfId="107" xr:uid="{00000000-0005-0000-0000-0000D6000000}"/>
    <cellStyle name="20% - Accent1 2 13 2" xfId="14016" xr:uid="{00000000-0005-0000-0000-0000D7000000}"/>
    <cellStyle name="20% - Accent1 2 13 2 2" xfId="27565" xr:uid="{00000000-0005-0000-0000-0000D8000000}"/>
    <cellStyle name="20% - Accent1 2 13 3" xfId="17430" xr:uid="{00000000-0005-0000-0000-0000D9000000}"/>
    <cellStyle name="20% - Accent1 2 14" xfId="108" xr:uid="{00000000-0005-0000-0000-0000DA000000}"/>
    <cellStyle name="20% - Accent1 2 14 2" xfId="14589" xr:uid="{00000000-0005-0000-0000-0000DB000000}"/>
    <cellStyle name="20% - Accent1 2 14 2 2" xfId="28138" xr:uid="{00000000-0005-0000-0000-0000DC000000}"/>
    <cellStyle name="20% - Accent1 2 14 3" xfId="17431" xr:uid="{00000000-0005-0000-0000-0000DD000000}"/>
    <cellStyle name="20% - Accent1 2 15" xfId="109" xr:uid="{00000000-0005-0000-0000-0000DE000000}"/>
    <cellStyle name="20% - Accent1 2 15 2" xfId="15902" xr:uid="{00000000-0005-0000-0000-0000DF000000}"/>
    <cellStyle name="20% - Accent1 2 15 2 2" xfId="29309" xr:uid="{00000000-0005-0000-0000-0000E0000000}"/>
    <cellStyle name="20% - Accent1 2 15 3" xfId="17432" xr:uid="{00000000-0005-0000-0000-0000E1000000}"/>
    <cellStyle name="20% - Accent1 2 16" xfId="8831" xr:uid="{00000000-0005-0000-0000-0000E2000000}"/>
    <cellStyle name="20% - Accent1 2 16 2" xfId="23306" xr:uid="{00000000-0005-0000-0000-0000E3000000}"/>
    <cellStyle name="20% - Accent1 2 17" xfId="17425" xr:uid="{00000000-0005-0000-0000-0000E4000000}"/>
    <cellStyle name="20% - Accent1 2 18" xfId="33062" xr:uid="{00000000-0005-0000-0000-0000E5000000}"/>
    <cellStyle name="20% - Accent1 2 2" xfId="110" xr:uid="{00000000-0005-0000-0000-0000E6000000}"/>
    <cellStyle name="20% - Accent1 2 2 10" xfId="111" xr:uid="{00000000-0005-0000-0000-0000E7000000}"/>
    <cellStyle name="20% - Accent1 2 2 10 2" xfId="14587" xr:uid="{00000000-0005-0000-0000-0000E8000000}"/>
    <cellStyle name="20% - Accent1 2 2 10 2 2" xfId="28136" xr:uid="{00000000-0005-0000-0000-0000E9000000}"/>
    <cellStyle name="20% - Accent1 2 2 10 3" xfId="17434" xr:uid="{00000000-0005-0000-0000-0000EA000000}"/>
    <cellStyle name="20% - Accent1 2 2 11" xfId="112" xr:uid="{00000000-0005-0000-0000-0000EB000000}"/>
    <cellStyle name="20% - Accent1 2 2 11 2" xfId="15948" xr:uid="{00000000-0005-0000-0000-0000EC000000}"/>
    <cellStyle name="20% - Accent1 2 2 11 2 2" xfId="29355" xr:uid="{00000000-0005-0000-0000-0000ED000000}"/>
    <cellStyle name="20% - Accent1 2 2 11 3" xfId="17435" xr:uid="{00000000-0005-0000-0000-0000EE000000}"/>
    <cellStyle name="20% - Accent1 2 2 12" xfId="8832" xr:uid="{00000000-0005-0000-0000-0000EF000000}"/>
    <cellStyle name="20% - Accent1 2 2 12 2" xfId="23307" xr:uid="{00000000-0005-0000-0000-0000F0000000}"/>
    <cellStyle name="20% - Accent1 2 2 13" xfId="17433" xr:uid="{00000000-0005-0000-0000-0000F1000000}"/>
    <cellStyle name="20% - Accent1 2 2 2" xfId="113" xr:uid="{00000000-0005-0000-0000-0000F2000000}"/>
    <cellStyle name="20% - Accent1 2 2 2 10" xfId="114" xr:uid="{00000000-0005-0000-0000-0000F3000000}"/>
    <cellStyle name="20% - Accent1 2 2 2 10 2" xfId="16091" xr:uid="{00000000-0005-0000-0000-0000F4000000}"/>
    <cellStyle name="20% - Accent1 2 2 2 10 2 2" xfId="29498" xr:uid="{00000000-0005-0000-0000-0000F5000000}"/>
    <cellStyle name="20% - Accent1 2 2 2 10 3" xfId="17437" xr:uid="{00000000-0005-0000-0000-0000F6000000}"/>
    <cellStyle name="20% - Accent1 2 2 2 11" xfId="8833" xr:uid="{00000000-0005-0000-0000-0000F7000000}"/>
    <cellStyle name="20% - Accent1 2 2 2 11 2" xfId="23308" xr:uid="{00000000-0005-0000-0000-0000F8000000}"/>
    <cellStyle name="20% - Accent1 2 2 2 12" xfId="17436" xr:uid="{00000000-0005-0000-0000-0000F9000000}"/>
    <cellStyle name="20% - Accent1 2 2 2 2" xfId="115" xr:uid="{00000000-0005-0000-0000-0000FA000000}"/>
    <cellStyle name="20% - Accent1 2 2 2 2 10" xfId="8834" xr:uid="{00000000-0005-0000-0000-0000FB000000}"/>
    <cellStyle name="20% - Accent1 2 2 2 2 10 2" xfId="23309" xr:uid="{00000000-0005-0000-0000-0000FC000000}"/>
    <cellStyle name="20% - Accent1 2 2 2 2 11" xfId="17438" xr:uid="{00000000-0005-0000-0000-0000FD000000}"/>
    <cellStyle name="20% - Accent1 2 2 2 2 2" xfId="116" xr:uid="{00000000-0005-0000-0000-0000FE000000}"/>
    <cellStyle name="20% - Accent1 2 2 2 2 2 2" xfId="117" xr:uid="{00000000-0005-0000-0000-0000FF000000}"/>
    <cellStyle name="20% - Accent1 2 2 2 2 2 2 2" xfId="10560" xr:uid="{00000000-0005-0000-0000-000000010000}"/>
    <cellStyle name="20% - Accent1 2 2 2 2 2 2 2 2" xfId="24502" xr:uid="{00000000-0005-0000-0000-000001010000}"/>
    <cellStyle name="20% - Accent1 2 2 2 2 2 2 3" xfId="17440" xr:uid="{00000000-0005-0000-0000-000002010000}"/>
    <cellStyle name="20% - Accent1 2 2 2 2 2 3" xfId="118" xr:uid="{00000000-0005-0000-0000-000003010000}"/>
    <cellStyle name="20% - Accent1 2 2 2 2 2 3 2" xfId="12489" xr:uid="{00000000-0005-0000-0000-000004010000}"/>
    <cellStyle name="20% - Accent1 2 2 2 2 2 3 2 2" xfId="26201" xr:uid="{00000000-0005-0000-0000-000005010000}"/>
    <cellStyle name="20% - Accent1 2 2 2 2 2 3 3" xfId="17441" xr:uid="{00000000-0005-0000-0000-000006010000}"/>
    <cellStyle name="20% - Accent1 2 2 2 2 2 4" xfId="119" xr:uid="{00000000-0005-0000-0000-000007010000}"/>
    <cellStyle name="20% - Accent1 2 2 2 2 2 4 2" xfId="14584" xr:uid="{00000000-0005-0000-0000-000008010000}"/>
    <cellStyle name="20% - Accent1 2 2 2 2 2 4 2 2" xfId="28133" xr:uid="{00000000-0005-0000-0000-000009010000}"/>
    <cellStyle name="20% - Accent1 2 2 2 2 2 4 3" xfId="17442" xr:uid="{00000000-0005-0000-0000-00000A010000}"/>
    <cellStyle name="20% - Accent1 2 2 2 2 2 5" xfId="120" xr:uid="{00000000-0005-0000-0000-00000B010000}"/>
    <cellStyle name="20% - Accent1 2 2 2 2 2 5 2" xfId="16961" xr:uid="{00000000-0005-0000-0000-00000C010000}"/>
    <cellStyle name="20% - Accent1 2 2 2 2 2 5 2 2" xfId="30368" xr:uid="{00000000-0005-0000-0000-00000D010000}"/>
    <cellStyle name="20% - Accent1 2 2 2 2 2 5 3" xfId="17443" xr:uid="{00000000-0005-0000-0000-00000E010000}"/>
    <cellStyle name="20% - Accent1 2 2 2 2 2 6" xfId="8835" xr:uid="{00000000-0005-0000-0000-00000F010000}"/>
    <cellStyle name="20% - Accent1 2 2 2 2 2 6 2" xfId="23310" xr:uid="{00000000-0005-0000-0000-000010010000}"/>
    <cellStyle name="20% - Accent1 2 2 2 2 2 7" xfId="17439" xr:uid="{00000000-0005-0000-0000-000011010000}"/>
    <cellStyle name="20% - Accent1 2 2 2 2 3" xfId="121" xr:uid="{00000000-0005-0000-0000-000012010000}"/>
    <cellStyle name="20% - Accent1 2 2 2 2 3 2" xfId="122" xr:uid="{00000000-0005-0000-0000-000013010000}"/>
    <cellStyle name="20% - Accent1 2 2 2 2 3 2 2" xfId="14583" xr:uid="{00000000-0005-0000-0000-000014010000}"/>
    <cellStyle name="20% - Accent1 2 2 2 2 3 2 2 2" xfId="28132" xr:uid="{00000000-0005-0000-0000-000015010000}"/>
    <cellStyle name="20% - Accent1 2 2 2 2 3 2 3" xfId="17445" xr:uid="{00000000-0005-0000-0000-000016010000}"/>
    <cellStyle name="20% - Accent1 2 2 2 2 3 3" xfId="10559" xr:uid="{00000000-0005-0000-0000-000017010000}"/>
    <cellStyle name="20% - Accent1 2 2 2 2 3 3 2" xfId="24501" xr:uid="{00000000-0005-0000-0000-000018010000}"/>
    <cellStyle name="20% - Accent1 2 2 2 2 3 4" xfId="17444" xr:uid="{00000000-0005-0000-0000-000019010000}"/>
    <cellStyle name="20% - Accent1 2 2 2 2 4" xfId="123" xr:uid="{00000000-0005-0000-0000-00001A010000}"/>
    <cellStyle name="20% - Accent1 2 2 2 2 4 2" xfId="12349" xr:uid="{00000000-0005-0000-0000-00001B010000}"/>
    <cellStyle name="20% - Accent1 2 2 2 2 4 2 2" xfId="26061" xr:uid="{00000000-0005-0000-0000-00001C010000}"/>
    <cellStyle name="20% - Accent1 2 2 2 2 4 3" xfId="17446" xr:uid="{00000000-0005-0000-0000-00001D010000}"/>
    <cellStyle name="20% - Accent1 2 2 2 2 5" xfId="124" xr:uid="{00000000-0005-0000-0000-00001E010000}"/>
    <cellStyle name="20% - Accent1 2 2 2 2 5 2" xfId="12777" xr:uid="{00000000-0005-0000-0000-00001F010000}"/>
    <cellStyle name="20% - Accent1 2 2 2 2 5 2 2" xfId="26489" xr:uid="{00000000-0005-0000-0000-000020010000}"/>
    <cellStyle name="20% - Accent1 2 2 2 2 5 3" xfId="17447" xr:uid="{00000000-0005-0000-0000-000021010000}"/>
    <cellStyle name="20% - Accent1 2 2 2 2 6" xfId="125" xr:uid="{00000000-0005-0000-0000-000022010000}"/>
    <cellStyle name="20% - Accent1 2 2 2 2 6 2" xfId="13913" xr:uid="{00000000-0005-0000-0000-000023010000}"/>
    <cellStyle name="20% - Accent1 2 2 2 2 6 2 2" xfId="27462" xr:uid="{00000000-0005-0000-0000-000024010000}"/>
    <cellStyle name="20% - Accent1 2 2 2 2 6 3" xfId="17448" xr:uid="{00000000-0005-0000-0000-000025010000}"/>
    <cellStyle name="20% - Accent1 2 2 2 2 7" xfId="126" xr:uid="{00000000-0005-0000-0000-000026010000}"/>
    <cellStyle name="20% - Accent1 2 2 2 2 7 2" xfId="14494" xr:uid="{00000000-0005-0000-0000-000027010000}"/>
    <cellStyle name="20% - Accent1 2 2 2 2 7 2 2" xfId="28043" xr:uid="{00000000-0005-0000-0000-000028010000}"/>
    <cellStyle name="20% - Accent1 2 2 2 2 7 3" xfId="17449" xr:uid="{00000000-0005-0000-0000-000029010000}"/>
    <cellStyle name="20% - Accent1 2 2 2 2 8" xfId="127" xr:uid="{00000000-0005-0000-0000-00002A010000}"/>
    <cellStyle name="20% - Accent1 2 2 2 2 8 2" xfId="14585" xr:uid="{00000000-0005-0000-0000-00002B010000}"/>
    <cellStyle name="20% - Accent1 2 2 2 2 8 2 2" xfId="28134" xr:uid="{00000000-0005-0000-0000-00002C010000}"/>
    <cellStyle name="20% - Accent1 2 2 2 2 8 3" xfId="17450" xr:uid="{00000000-0005-0000-0000-00002D010000}"/>
    <cellStyle name="20% - Accent1 2 2 2 2 9" xfId="128" xr:uid="{00000000-0005-0000-0000-00002E010000}"/>
    <cellStyle name="20% - Accent1 2 2 2 2 9 2" xfId="16380" xr:uid="{00000000-0005-0000-0000-00002F010000}"/>
    <cellStyle name="20% - Accent1 2 2 2 2 9 2 2" xfId="29787" xr:uid="{00000000-0005-0000-0000-000030010000}"/>
    <cellStyle name="20% - Accent1 2 2 2 2 9 3" xfId="17451" xr:uid="{00000000-0005-0000-0000-000031010000}"/>
    <cellStyle name="20% - Accent1 2 2 2 3" xfId="129" xr:uid="{00000000-0005-0000-0000-000032010000}"/>
    <cellStyle name="20% - Accent1 2 2 2 3 2" xfId="130" xr:uid="{00000000-0005-0000-0000-000033010000}"/>
    <cellStyle name="20% - Accent1 2 2 2 3 2 2" xfId="10561" xr:uid="{00000000-0005-0000-0000-000034010000}"/>
    <cellStyle name="20% - Accent1 2 2 2 3 2 2 2" xfId="24503" xr:uid="{00000000-0005-0000-0000-000035010000}"/>
    <cellStyle name="20% - Accent1 2 2 2 3 2 3" xfId="17453" xr:uid="{00000000-0005-0000-0000-000036010000}"/>
    <cellStyle name="20% - Accent1 2 2 2 3 3" xfId="131" xr:uid="{00000000-0005-0000-0000-000037010000}"/>
    <cellStyle name="20% - Accent1 2 2 2 3 3 2" xfId="11776" xr:uid="{00000000-0005-0000-0000-000038010000}"/>
    <cellStyle name="20% - Accent1 2 2 2 3 3 2 2" xfId="25491" xr:uid="{00000000-0005-0000-0000-000039010000}"/>
    <cellStyle name="20% - Accent1 2 2 2 3 3 3" xfId="17454" xr:uid="{00000000-0005-0000-0000-00003A010000}"/>
    <cellStyle name="20% - Accent1 2 2 2 3 4" xfId="132" xr:uid="{00000000-0005-0000-0000-00003B010000}"/>
    <cellStyle name="20% - Accent1 2 2 2 3 4 2" xfId="14582" xr:uid="{00000000-0005-0000-0000-00003C010000}"/>
    <cellStyle name="20% - Accent1 2 2 2 3 4 2 2" xfId="28131" xr:uid="{00000000-0005-0000-0000-00003D010000}"/>
    <cellStyle name="20% - Accent1 2 2 2 3 4 3" xfId="17455" xr:uid="{00000000-0005-0000-0000-00003E010000}"/>
    <cellStyle name="20% - Accent1 2 2 2 3 5" xfId="133" xr:uid="{00000000-0005-0000-0000-00003F010000}"/>
    <cellStyle name="20% - Accent1 2 2 2 3 5 2" xfId="16672" xr:uid="{00000000-0005-0000-0000-000040010000}"/>
    <cellStyle name="20% - Accent1 2 2 2 3 5 2 2" xfId="30079" xr:uid="{00000000-0005-0000-0000-000041010000}"/>
    <cellStyle name="20% - Accent1 2 2 2 3 5 3" xfId="17456" xr:uid="{00000000-0005-0000-0000-000042010000}"/>
    <cellStyle name="20% - Accent1 2 2 2 3 6" xfId="8836" xr:uid="{00000000-0005-0000-0000-000043010000}"/>
    <cellStyle name="20% - Accent1 2 2 2 3 6 2" xfId="23311" xr:uid="{00000000-0005-0000-0000-000044010000}"/>
    <cellStyle name="20% - Accent1 2 2 2 3 7" xfId="17452" xr:uid="{00000000-0005-0000-0000-000045010000}"/>
    <cellStyle name="20% - Accent1 2 2 2 4" xfId="134" xr:uid="{00000000-0005-0000-0000-000046010000}"/>
    <cellStyle name="20% - Accent1 2 2 2 4 2" xfId="135" xr:uid="{00000000-0005-0000-0000-000047010000}"/>
    <cellStyle name="20% - Accent1 2 2 2 4 2 2" xfId="14581" xr:uid="{00000000-0005-0000-0000-000048010000}"/>
    <cellStyle name="20% - Accent1 2 2 2 4 2 2 2" xfId="28130" xr:uid="{00000000-0005-0000-0000-000049010000}"/>
    <cellStyle name="20% - Accent1 2 2 2 4 2 3" xfId="17458" xr:uid="{00000000-0005-0000-0000-00004A010000}"/>
    <cellStyle name="20% - Accent1 2 2 2 4 3" xfId="10558" xr:uid="{00000000-0005-0000-0000-00004B010000}"/>
    <cellStyle name="20% - Accent1 2 2 2 4 3 2" xfId="24500" xr:uid="{00000000-0005-0000-0000-00004C010000}"/>
    <cellStyle name="20% - Accent1 2 2 2 4 4" xfId="17457" xr:uid="{00000000-0005-0000-0000-00004D010000}"/>
    <cellStyle name="20% - Accent1 2 2 2 5" xfId="136" xr:uid="{00000000-0005-0000-0000-00004E010000}"/>
    <cellStyle name="20% - Accent1 2 2 2 5 2" xfId="12049" xr:uid="{00000000-0005-0000-0000-00004F010000}"/>
    <cellStyle name="20% - Accent1 2 2 2 5 2 2" xfId="25764" xr:uid="{00000000-0005-0000-0000-000050010000}"/>
    <cellStyle name="20% - Accent1 2 2 2 5 3" xfId="17459" xr:uid="{00000000-0005-0000-0000-000051010000}"/>
    <cellStyle name="20% - Accent1 2 2 2 6" xfId="137" xr:uid="{00000000-0005-0000-0000-000052010000}"/>
    <cellStyle name="20% - Accent1 2 2 2 6 2" xfId="12750" xr:uid="{00000000-0005-0000-0000-000053010000}"/>
    <cellStyle name="20% - Accent1 2 2 2 6 2 2" xfId="26462" xr:uid="{00000000-0005-0000-0000-000054010000}"/>
    <cellStyle name="20% - Accent1 2 2 2 6 3" xfId="17460" xr:uid="{00000000-0005-0000-0000-000055010000}"/>
    <cellStyle name="20% - Accent1 2 2 2 7" xfId="138" xr:uid="{00000000-0005-0000-0000-000056010000}"/>
    <cellStyle name="20% - Accent1 2 2 2 7 2" xfId="13624" xr:uid="{00000000-0005-0000-0000-000057010000}"/>
    <cellStyle name="20% - Accent1 2 2 2 7 2 2" xfId="27173" xr:uid="{00000000-0005-0000-0000-000058010000}"/>
    <cellStyle name="20% - Accent1 2 2 2 7 3" xfId="17461" xr:uid="{00000000-0005-0000-0000-000059010000}"/>
    <cellStyle name="20% - Accent1 2 2 2 8" xfId="139" xr:uid="{00000000-0005-0000-0000-00005A010000}"/>
    <cellStyle name="20% - Accent1 2 2 2 8 2" xfId="14205" xr:uid="{00000000-0005-0000-0000-00005B010000}"/>
    <cellStyle name="20% - Accent1 2 2 2 8 2 2" xfId="27754" xr:uid="{00000000-0005-0000-0000-00005C010000}"/>
    <cellStyle name="20% - Accent1 2 2 2 8 3" xfId="17462" xr:uid="{00000000-0005-0000-0000-00005D010000}"/>
    <cellStyle name="20% - Accent1 2 2 2 9" xfId="140" xr:uid="{00000000-0005-0000-0000-00005E010000}"/>
    <cellStyle name="20% - Accent1 2 2 2 9 2" xfId="14586" xr:uid="{00000000-0005-0000-0000-00005F010000}"/>
    <cellStyle name="20% - Accent1 2 2 2 9 2 2" xfId="28135" xr:uid="{00000000-0005-0000-0000-000060010000}"/>
    <cellStyle name="20% - Accent1 2 2 2 9 3" xfId="17463" xr:uid="{00000000-0005-0000-0000-000061010000}"/>
    <cellStyle name="20% - Accent1 2 2 3" xfId="141" xr:uid="{00000000-0005-0000-0000-000062010000}"/>
    <cellStyle name="20% - Accent1 2 2 3 10" xfId="8837" xr:uid="{00000000-0005-0000-0000-000063010000}"/>
    <cellStyle name="20% - Accent1 2 2 3 10 2" xfId="23312" xr:uid="{00000000-0005-0000-0000-000064010000}"/>
    <cellStyle name="20% - Accent1 2 2 3 11" xfId="17464" xr:uid="{00000000-0005-0000-0000-000065010000}"/>
    <cellStyle name="20% - Accent1 2 2 3 2" xfId="142" xr:uid="{00000000-0005-0000-0000-000066010000}"/>
    <cellStyle name="20% - Accent1 2 2 3 2 2" xfId="143" xr:uid="{00000000-0005-0000-0000-000067010000}"/>
    <cellStyle name="20% - Accent1 2 2 3 2 2 2" xfId="10563" xr:uid="{00000000-0005-0000-0000-000068010000}"/>
    <cellStyle name="20% - Accent1 2 2 3 2 2 2 2" xfId="24505" xr:uid="{00000000-0005-0000-0000-000069010000}"/>
    <cellStyle name="20% - Accent1 2 2 3 2 2 3" xfId="17466" xr:uid="{00000000-0005-0000-0000-00006A010000}"/>
    <cellStyle name="20% - Accent1 2 2 3 2 3" xfId="144" xr:uid="{00000000-0005-0000-0000-00006B010000}"/>
    <cellStyle name="20% - Accent1 2 2 3 2 3 2" xfId="12713" xr:uid="{00000000-0005-0000-0000-00006C010000}"/>
    <cellStyle name="20% - Accent1 2 2 3 2 3 2 2" xfId="26425" xr:uid="{00000000-0005-0000-0000-00006D010000}"/>
    <cellStyle name="20% - Accent1 2 2 3 2 3 3" xfId="17467" xr:uid="{00000000-0005-0000-0000-00006E010000}"/>
    <cellStyle name="20% - Accent1 2 2 3 2 4" xfId="145" xr:uid="{00000000-0005-0000-0000-00006F010000}"/>
    <cellStyle name="20% - Accent1 2 2 3 2 4 2" xfId="14579" xr:uid="{00000000-0005-0000-0000-000070010000}"/>
    <cellStyle name="20% - Accent1 2 2 3 2 4 2 2" xfId="28128" xr:uid="{00000000-0005-0000-0000-000071010000}"/>
    <cellStyle name="20% - Accent1 2 2 3 2 4 3" xfId="17468" xr:uid="{00000000-0005-0000-0000-000072010000}"/>
    <cellStyle name="20% - Accent1 2 2 3 2 5" xfId="146" xr:uid="{00000000-0005-0000-0000-000073010000}"/>
    <cellStyle name="20% - Accent1 2 2 3 2 5 2" xfId="16818" xr:uid="{00000000-0005-0000-0000-000074010000}"/>
    <cellStyle name="20% - Accent1 2 2 3 2 5 2 2" xfId="30225" xr:uid="{00000000-0005-0000-0000-000075010000}"/>
    <cellStyle name="20% - Accent1 2 2 3 2 5 3" xfId="17469" xr:uid="{00000000-0005-0000-0000-000076010000}"/>
    <cellStyle name="20% - Accent1 2 2 3 2 6" xfId="8838" xr:uid="{00000000-0005-0000-0000-000077010000}"/>
    <cellStyle name="20% - Accent1 2 2 3 2 6 2" xfId="23313" xr:uid="{00000000-0005-0000-0000-000078010000}"/>
    <cellStyle name="20% - Accent1 2 2 3 2 7" xfId="17465" xr:uid="{00000000-0005-0000-0000-000079010000}"/>
    <cellStyle name="20% - Accent1 2 2 3 3" xfId="147" xr:uid="{00000000-0005-0000-0000-00007A010000}"/>
    <cellStyle name="20% - Accent1 2 2 3 3 2" xfId="148" xr:uid="{00000000-0005-0000-0000-00007B010000}"/>
    <cellStyle name="20% - Accent1 2 2 3 3 2 2" xfId="14578" xr:uid="{00000000-0005-0000-0000-00007C010000}"/>
    <cellStyle name="20% - Accent1 2 2 3 3 2 2 2" xfId="28127" xr:uid="{00000000-0005-0000-0000-00007D010000}"/>
    <cellStyle name="20% - Accent1 2 2 3 3 2 3" xfId="17471" xr:uid="{00000000-0005-0000-0000-00007E010000}"/>
    <cellStyle name="20% - Accent1 2 2 3 3 3" xfId="10562" xr:uid="{00000000-0005-0000-0000-00007F010000}"/>
    <cellStyle name="20% - Accent1 2 2 3 3 3 2" xfId="24504" xr:uid="{00000000-0005-0000-0000-000080010000}"/>
    <cellStyle name="20% - Accent1 2 2 3 3 4" xfId="17470" xr:uid="{00000000-0005-0000-0000-000081010000}"/>
    <cellStyle name="20% - Accent1 2 2 3 4" xfId="149" xr:uid="{00000000-0005-0000-0000-000082010000}"/>
    <cellStyle name="20% - Accent1 2 2 3 4 2" xfId="12206" xr:uid="{00000000-0005-0000-0000-000083010000}"/>
    <cellStyle name="20% - Accent1 2 2 3 4 2 2" xfId="25918" xr:uid="{00000000-0005-0000-0000-000084010000}"/>
    <cellStyle name="20% - Accent1 2 2 3 4 3" xfId="17472" xr:uid="{00000000-0005-0000-0000-000085010000}"/>
    <cellStyle name="20% - Accent1 2 2 3 5" xfId="150" xr:uid="{00000000-0005-0000-0000-000086010000}"/>
    <cellStyle name="20% - Accent1 2 2 3 5 2" xfId="12579" xr:uid="{00000000-0005-0000-0000-000087010000}"/>
    <cellStyle name="20% - Accent1 2 2 3 5 2 2" xfId="26291" xr:uid="{00000000-0005-0000-0000-000088010000}"/>
    <cellStyle name="20% - Accent1 2 2 3 5 3" xfId="17473" xr:uid="{00000000-0005-0000-0000-000089010000}"/>
    <cellStyle name="20% - Accent1 2 2 3 6" xfId="151" xr:uid="{00000000-0005-0000-0000-00008A010000}"/>
    <cellStyle name="20% - Accent1 2 2 3 6 2" xfId="13770" xr:uid="{00000000-0005-0000-0000-00008B010000}"/>
    <cellStyle name="20% - Accent1 2 2 3 6 2 2" xfId="27319" xr:uid="{00000000-0005-0000-0000-00008C010000}"/>
    <cellStyle name="20% - Accent1 2 2 3 6 3" xfId="17474" xr:uid="{00000000-0005-0000-0000-00008D010000}"/>
    <cellStyle name="20% - Accent1 2 2 3 7" xfId="152" xr:uid="{00000000-0005-0000-0000-00008E010000}"/>
    <cellStyle name="20% - Accent1 2 2 3 7 2" xfId="14351" xr:uid="{00000000-0005-0000-0000-00008F010000}"/>
    <cellStyle name="20% - Accent1 2 2 3 7 2 2" xfId="27900" xr:uid="{00000000-0005-0000-0000-000090010000}"/>
    <cellStyle name="20% - Accent1 2 2 3 7 3" xfId="17475" xr:uid="{00000000-0005-0000-0000-000091010000}"/>
    <cellStyle name="20% - Accent1 2 2 3 8" xfId="153" xr:uid="{00000000-0005-0000-0000-000092010000}"/>
    <cellStyle name="20% - Accent1 2 2 3 8 2" xfId="14580" xr:uid="{00000000-0005-0000-0000-000093010000}"/>
    <cellStyle name="20% - Accent1 2 2 3 8 2 2" xfId="28129" xr:uid="{00000000-0005-0000-0000-000094010000}"/>
    <cellStyle name="20% - Accent1 2 2 3 8 3" xfId="17476" xr:uid="{00000000-0005-0000-0000-000095010000}"/>
    <cellStyle name="20% - Accent1 2 2 3 9" xfId="154" xr:uid="{00000000-0005-0000-0000-000096010000}"/>
    <cellStyle name="20% - Accent1 2 2 3 9 2" xfId="16237" xr:uid="{00000000-0005-0000-0000-000097010000}"/>
    <cellStyle name="20% - Accent1 2 2 3 9 2 2" xfId="29644" xr:uid="{00000000-0005-0000-0000-000098010000}"/>
    <cellStyle name="20% - Accent1 2 2 3 9 3" xfId="17477" xr:uid="{00000000-0005-0000-0000-000099010000}"/>
    <cellStyle name="20% - Accent1 2 2 4" xfId="155" xr:uid="{00000000-0005-0000-0000-00009A010000}"/>
    <cellStyle name="20% - Accent1 2 2 4 2" xfId="156" xr:uid="{00000000-0005-0000-0000-00009B010000}"/>
    <cellStyle name="20% - Accent1 2 2 4 2 2" xfId="10564" xr:uid="{00000000-0005-0000-0000-00009C010000}"/>
    <cellStyle name="20% - Accent1 2 2 4 2 2 2" xfId="24506" xr:uid="{00000000-0005-0000-0000-00009D010000}"/>
    <cellStyle name="20% - Accent1 2 2 4 2 3" xfId="17479" xr:uid="{00000000-0005-0000-0000-00009E010000}"/>
    <cellStyle name="20% - Accent1 2 2 4 3" xfId="157" xr:uid="{00000000-0005-0000-0000-00009F010000}"/>
    <cellStyle name="20% - Accent1 2 2 4 3 2" xfId="12115" xr:uid="{00000000-0005-0000-0000-0000A0010000}"/>
    <cellStyle name="20% - Accent1 2 2 4 3 2 2" xfId="25827" xr:uid="{00000000-0005-0000-0000-0000A1010000}"/>
    <cellStyle name="20% - Accent1 2 2 4 3 3" xfId="17480" xr:uid="{00000000-0005-0000-0000-0000A2010000}"/>
    <cellStyle name="20% - Accent1 2 2 4 4" xfId="158" xr:uid="{00000000-0005-0000-0000-0000A3010000}"/>
    <cellStyle name="20% - Accent1 2 2 4 4 2" xfId="14577" xr:uid="{00000000-0005-0000-0000-0000A4010000}"/>
    <cellStyle name="20% - Accent1 2 2 4 4 2 2" xfId="28126" xr:uid="{00000000-0005-0000-0000-0000A5010000}"/>
    <cellStyle name="20% - Accent1 2 2 4 4 3" xfId="17481" xr:uid="{00000000-0005-0000-0000-0000A6010000}"/>
    <cellStyle name="20% - Accent1 2 2 4 5" xfId="159" xr:uid="{00000000-0005-0000-0000-0000A7010000}"/>
    <cellStyle name="20% - Accent1 2 2 4 5 2" xfId="17165" xr:uid="{00000000-0005-0000-0000-0000A8010000}"/>
    <cellStyle name="20% - Accent1 2 2 4 5 2 2" xfId="30524" xr:uid="{00000000-0005-0000-0000-0000A9010000}"/>
    <cellStyle name="20% - Accent1 2 2 4 5 3" xfId="17482" xr:uid="{00000000-0005-0000-0000-0000AA010000}"/>
    <cellStyle name="20% - Accent1 2 2 4 6" xfId="8839" xr:uid="{00000000-0005-0000-0000-0000AB010000}"/>
    <cellStyle name="20% - Accent1 2 2 4 6 2" xfId="23314" xr:uid="{00000000-0005-0000-0000-0000AC010000}"/>
    <cellStyle name="20% - Accent1 2 2 4 7" xfId="17478" xr:uid="{00000000-0005-0000-0000-0000AD010000}"/>
    <cellStyle name="20% - Accent1 2 2 5" xfId="160" xr:uid="{00000000-0005-0000-0000-0000AE010000}"/>
    <cellStyle name="20% - Accent1 2 2 5 2" xfId="161" xr:uid="{00000000-0005-0000-0000-0000AF010000}"/>
    <cellStyle name="20% - Accent1 2 2 5 2 2" xfId="14576" xr:uid="{00000000-0005-0000-0000-0000B0010000}"/>
    <cellStyle name="20% - Accent1 2 2 5 2 2 2" xfId="28125" xr:uid="{00000000-0005-0000-0000-0000B1010000}"/>
    <cellStyle name="20% - Accent1 2 2 5 2 3" xfId="17484" xr:uid="{00000000-0005-0000-0000-0000B2010000}"/>
    <cellStyle name="20% - Accent1 2 2 5 3" xfId="162" xr:uid="{00000000-0005-0000-0000-0000B3010000}"/>
    <cellStyle name="20% - Accent1 2 2 5 3 2" xfId="17254" xr:uid="{00000000-0005-0000-0000-0000B4010000}"/>
    <cellStyle name="20% - Accent1 2 2 5 3 2 2" xfId="30613" xr:uid="{00000000-0005-0000-0000-0000B5010000}"/>
    <cellStyle name="20% - Accent1 2 2 5 3 3" xfId="17485" xr:uid="{00000000-0005-0000-0000-0000B6010000}"/>
    <cellStyle name="20% - Accent1 2 2 5 4" xfId="10557" xr:uid="{00000000-0005-0000-0000-0000B7010000}"/>
    <cellStyle name="20% - Accent1 2 2 5 4 2" xfId="24499" xr:uid="{00000000-0005-0000-0000-0000B8010000}"/>
    <cellStyle name="20% - Accent1 2 2 5 5" xfId="17483" xr:uid="{00000000-0005-0000-0000-0000B9010000}"/>
    <cellStyle name="20% - Accent1 2 2 6" xfId="163" xr:uid="{00000000-0005-0000-0000-0000BA010000}"/>
    <cellStyle name="20% - Accent1 2 2 6 2" xfId="164" xr:uid="{00000000-0005-0000-0000-0000BB010000}"/>
    <cellStyle name="20% - Accent1 2 2 6 2 2" xfId="16529" xr:uid="{00000000-0005-0000-0000-0000BC010000}"/>
    <cellStyle name="20% - Accent1 2 2 6 2 2 2" xfId="29936" xr:uid="{00000000-0005-0000-0000-0000BD010000}"/>
    <cellStyle name="20% - Accent1 2 2 6 2 3" xfId="17487" xr:uid="{00000000-0005-0000-0000-0000BE010000}"/>
    <cellStyle name="20% - Accent1 2 2 6 3" xfId="11904" xr:uid="{00000000-0005-0000-0000-0000BF010000}"/>
    <cellStyle name="20% - Accent1 2 2 6 3 2" xfId="25619" xr:uid="{00000000-0005-0000-0000-0000C0010000}"/>
    <cellStyle name="20% - Accent1 2 2 6 4" xfId="17486" xr:uid="{00000000-0005-0000-0000-0000C1010000}"/>
    <cellStyle name="20% - Accent1 2 2 7" xfId="165" xr:uid="{00000000-0005-0000-0000-0000C2010000}"/>
    <cellStyle name="20% - Accent1 2 2 7 2" xfId="12416" xr:uid="{00000000-0005-0000-0000-0000C3010000}"/>
    <cellStyle name="20% - Accent1 2 2 7 2 2" xfId="26128" xr:uid="{00000000-0005-0000-0000-0000C4010000}"/>
    <cellStyle name="20% - Accent1 2 2 7 3" xfId="17488" xr:uid="{00000000-0005-0000-0000-0000C5010000}"/>
    <cellStyle name="20% - Accent1 2 2 8" xfId="166" xr:uid="{00000000-0005-0000-0000-0000C6010000}"/>
    <cellStyle name="20% - Accent1 2 2 8 2" xfId="13481" xr:uid="{00000000-0005-0000-0000-0000C7010000}"/>
    <cellStyle name="20% - Accent1 2 2 8 2 2" xfId="27030" xr:uid="{00000000-0005-0000-0000-0000C8010000}"/>
    <cellStyle name="20% - Accent1 2 2 8 3" xfId="17489" xr:uid="{00000000-0005-0000-0000-0000C9010000}"/>
    <cellStyle name="20% - Accent1 2 2 9" xfId="167" xr:uid="{00000000-0005-0000-0000-0000CA010000}"/>
    <cellStyle name="20% - Accent1 2 2 9 2" xfId="14062" xr:uid="{00000000-0005-0000-0000-0000CB010000}"/>
    <cellStyle name="20% - Accent1 2 2 9 2 2" xfId="27611" xr:uid="{00000000-0005-0000-0000-0000CC010000}"/>
    <cellStyle name="20% - Accent1 2 2 9 3" xfId="17490" xr:uid="{00000000-0005-0000-0000-0000CD010000}"/>
    <cellStyle name="20% - Accent1 2 3" xfId="168" xr:uid="{00000000-0005-0000-0000-0000CE010000}"/>
    <cellStyle name="20% - Accent1 2 3 10" xfId="169" xr:uid="{00000000-0005-0000-0000-0000CF010000}"/>
    <cellStyle name="20% - Accent1 2 3 10 2" xfId="16045" xr:uid="{00000000-0005-0000-0000-0000D0010000}"/>
    <cellStyle name="20% - Accent1 2 3 10 2 2" xfId="29452" xr:uid="{00000000-0005-0000-0000-0000D1010000}"/>
    <cellStyle name="20% - Accent1 2 3 10 3" xfId="17492" xr:uid="{00000000-0005-0000-0000-0000D2010000}"/>
    <cellStyle name="20% - Accent1 2 3 11" xfId="8840" xr:uid="{00000000-0005-0000-0000-0000D3010000}"/>
    <cellStyle name="20% - Accent1 2 3 11 2" xfId="23315" xr:uid="{00000000-0005-0000-0000-0000D4010000}"/>
    <cellStyle name="20% - Accent1 2 3 12" xfId="17491" xr:uid="{00000000-0005-0000-0000-0000D5010000}"/>
    <cellStyle name="20% - Accent1 2 3 2" xfId="170" xr:uid="{00000000-0005-0000-0000-0000D6010000}"/>
    <cellStyle name="20% - Accent1 2 3 2 10" xfId="8841" xr:uid="{00000000-0005-0000-0000-0000D7010000}"/>
    <cellStyle name="20% - Accent1 2 3 2 10 2" xfId="23316" xr:uid="{00000000-0005-0000-0000-0000D8010000}"/>
    <cellStyle name="20% - Accent1 2 3 2 11" xfId="17493" xr:uid="{00000000-0005-0000-0000-0000D9010000}"/>
    <cellStyle name="20% - Accent1 2 3 2 2" xfId="171" xr:uid="{00000000-0005-0000-0000-0000DA010000}"/>
    <cellStyle name="20% - Accent1 2 3 2 2 2" xfId="172" xr:uid="{00000000-0005-0000-0000-0000DB010000}"/>
    <cellStyle name="20% - Accent1 2 3 2 2 2 2" xfId="10567" xr:uid="{00000000-0005-0000-0000-0000DC010000}"/>
    <cellStyle name="20% - Accent1 2 3 2 2 2 2 2" xfId="24509" xr:uid="{00000000-0005-0000-0000-0000DD010000}"/>
    <cellStyle name="20% - Accent1 2 3 2 2 2 3" xfId="17495" xr:uid="{00000000-0005-0000-0000-0000DE010000}"/>
    <cellStyle name="20% - Accent1 2 3 2 2 3" xfId="173" xr:uid="{00000000-0005-0000-0000-0000DF010000}"/>
    <cellStyle name="20% - Accent1 2 3 2 2 3 2" xfId="12431" xr:uid="{00000000-0005-0000-0000-0000E0010000}"/>
    <cellStyle name="20% - Accent1 2 3 2 2 3 2 2" xfId="26143" xr:uid="{00000000-0005-0000-0000-0000E1010000}"/>
    <cellStyle name="20% - Accent1 2 3 2 2 3 3" xfId="17496" xr:uid="{00000000-0005-0000-0000-0000E2010000}"/>
    <cellStyle name="20% - Accent1 2 3 2 2 4" xfId="174" xr:uid="{00000000-0005-0000-0000-0000E3010000}"/>
    <cellStyle name="20% - Accent1 2 3 2 2 4 2" xfId="14617" xr:uid="{00000000-0005-0000-0000-0000E4010000}"/>
    <cellStyle name="20% - Accent1 2 3 2 2 4 2 2" xfId="28166" xr:uid="{00000000-0005-0000-0000-0000E5010000}"/>
    <cellStyle name="20% - Accent1 2 3 2 2 4 3" xfId="17497" xr:uid="{00000000-0005-0000-0000-0000E6010000}"/>
    <cellStyle name="20% - Accent1 2 3 2 2 5" xfId="175" xr:uid="{00000000-0005-0000-0000-0000E7010000}"/>
    <cellStyle name="20% - Accent1 2 3 2 2 5 2" xfId="16915" xr:uid="{00000000-0005-0000-0000-0000E8010000}"/>
    <cellStyle name="20% - Accent1 2 3 2 2 5 2 2" xfId="30322" xr:uid="{00000000-0005-0000-0000-0000E9010000}"/>
    <cellStyle name="20% - Accent1 2 3 2 2 5 3" xfId="17498" xr:uid="{00000000-0005-0000-0000-0000EA010000}"/>
    <cellStyle name="20% - Accent1 2 3 2 2 6" xfId="8842" xr:uid="{00000000-0005-0000-0000-0000EB010000}"/>
    <cellStyle name="20% - Accent1 2 3 2 2 6 2" xfId="23317" xr:uid="{00000000-0005-0000-0000-0000EC010000}"/>
    <cellStyle name="20% - Accent1 2 3 2 2 7" xfId="17494" xr:uid="{00000000-0005-0000-0000-0000ED010000}"/>
    <cellStyle name="20% - Accent1 2 3 2 3" xfId="176" xr:uid="{00000000-0005-0000-0000-0000EE010000}"/>
    <cellStyle name="20% - Accent1 2 3 2 3 2" xfId="177" xr:uid="{00000000-0005-0000-0000-0000EF010000}"/>
    <cellStyle name="20% - Accent1 2 3 2 3 2 2" xfId="14575" xr:uid="{00000000-0005-0000-0000-0000F0010000}"/>
    <cellStyle name="20% - Accent1 2 3 2 3 2 2 2" xfId="28124" xr:uid="{00000000-0005-0000-0000-0000F1010000}"/>
    <cellStyle name="20% - Accent1 2 3 2 3 2 3" xfId="17500" xr:uid="{00000000-0005-0000-0000-0000F2010000}"/>
    <cellStyle name="20% - Accent1 2 3 2 3 3" xfId="10566" xr:uid="{00000000-0005-0000-0000-0000F3010000}"/>
    <cellStyle name="20% - Accent1 2 3 2 3 3 2" xfId="24508" xr:uid="{00000000-0005-0000-0000-0000F4010000}"/>
    <cellStyle name="20% - Accent1 2 3 2 3 4" xfId="17499" xr:uid="{00000000-0005-0000-0000-0000F5010000}"/>
    <cellStyle name="20% - Accent1 2 3 2 4" xfId="178" xr:uid="{00000000-0005-0000-0000-0000F6010000}"/>
    <cellStyle name="20% - Accent1 2 3 2 4 2" xfId="12303" xr:uid="{00000000-0005-0000-0000-0000F7010000}"/>
    <cellStyle name="20% - Accent1 2 3 2 4 2 2" xfId="26015" xr:uid="{00000000-0005-0000-0000-0000F8010000}"/>
    <cellStyle name="20% - Accent1 2 3 2 4 3" xfId="17501" xr:uid="{00000000-0005-0000-0000-0000F9010000}"/>
    <cellStyle name="20% - Accent1 2 3 2 5" xfId="179" xr:uid="{00000000-0005-0000-0000-0000FA010000}"/>
    <cellStyle name="20% - Accent1 2 3 2 5 2" xfId="12542" xr:uid="{00000000-0005-0000-0000-0000FB010000}"/>
    <cellStyle name="20% - Accent1 2 3 2 5 2 2" xfId="26254" xr:uid="{00000000-0005-0000-0000-0000FC010000}"/>
    <cellStyle name="20% - Accent1 2 3 2 5 3" xfId="17502" xr:uid="{00000000-0005-0000-0000-0000FD010000}"/>
    <cellStyle name="20% - Accent1 2 3 2 6" xfId="180" xr:uid="{00000000-0005-0000-0000-0000FE010000}"/>
    <cellStyle name="20% - Accent1 2 3 2 6 2" xfId="13867" xr:uid="{00000000-0005-0000-0000-0000FF010000}"/>
    <cellStyle name="20% - Accent1 2 3 2 6 2 2" xfId="27416" xr:uid="{00000000-0005-0000-0000-000000020000}"/>
    <cellStyle name="20% - Accent1 2 3 2 6 3" xfId="17503" xr:uid="{00000000-0005-0000-0000-000001020000}"/>
    <cellStyle name="20% - Accent1 2 3 2 7" xfId="181" xr:uid="{00000000-0005-0000-0000-000002020000}"/>
    <cellStyle name="20% - Accent1 2 3 2 7 2" xfId="14448" xr:uid="{00000000-0005-0000-0000-000003020000}"/>
    <cellStyle name="20% - Accent1 2 3 2 7 2 2" xfId="27997" xr:uid="{00000000-0005-0000-0000-000004020000}"/>
    <cellStyle name="20% - Accent1 2 3 2 7 3" xfId="17504" xr:uid="{00000000-0005-0000-0000-000005020000}"/>
    <cellStyle name="20% - Accent1 2 3 2 8" xfId="182" xr:uid="{00000000-0005-0000-0000-000006020000}"/>
    <cellStyle name="20% - Accent1 2 3 2 8 2" xfId="14615" xr:uid="{00000000-0005-0000-0000-000007020000}"/>
    <cellStyle name="20% - Accent1 2 3 2 8 2 2" xfId="28164" xr:uid="{00000000-0005-0000-0000-000008020000}"/>
    <cellStyle name="20% - Accent1 2 3 2 8 3" xfId="17505" xr:uid="{00000000-0005-0000-0000-000009020000}"/>
    <cellStyle name="20% - Accent1 2 3 2 9" xfId="183" xr:uid="{00000000-0005-0000-0000-00000A020000}"/>
    <cellStyle name="20% - Accent1 2 3 2 9 2" xfId="16334" xr:uid="{00000000-0005-0000-0000-00000B020000}"/>
    <cellStyle name="20% - Accent1 2 3 2 9 2 2" xfId="29741" xr:uid="{00000000-0005-0000-0000-00000C020000}"/>
    <cellStyle name="20% - Accent1 2 3 2 9 3" xfId="17506" xr:uid="{00000000-0005-0000-0000-00000D020000}"/>
    <cellStyle name="20% - Accent1 2 3 3" xfId="184" xr:uid="{00000000-0005-0000-0000-00000E020000}"/>
    <cellStyle name="20% - Accent1 2 3 3 2" xfId="185" xr:uid="{00000000-0005-0000-0000-00000F020000}"/>
    <cellStyle name="20% - Accent1 2 3 3 2 2" xfId="10568" xr:uid="{00000000-0005-0000-0000-000010020000}"/>
    <cellStyle name="20% - Accent1 2 3 3 2 2 2" xfId="24510" xr:uid="{00000000-0005-0000-0000-000011020000}"/>
    <cellStyle name="20% - Accent1 2 3 3 2 3" xfId="17508" xr:uid="{00000000-0005-0000-0000-000012020000}"/>
    <cellStyle name="20% - Accent1 2 3 3 3" xfId="186" xr:uid="{00000000-0005-0000-0000-000013020000}"/>
    <cellStyle name="20% - Accent1 2 3 3 3 2" xfId="11852" xr:uid="{00000000-0005-0000-0000-000014020000}"/>
    <cellStyle name="20% - Accent1 2 3 3 3 2 2" xfId="25567" xr:uid="{00000000-0005-0000-0000-000015020000}"/>
    <cellStyle name="20% - Accent1 2 3 3 3 3" xfId="17509" xr:uid="{00000000-0005-0000-0000-000016020000}"/>
    <cellStyle name="20% - Accent1 2 3 3 4" xfId="187" xr:uid="{00000000-0005-0000-0000-000017020000}"/>
    <cellStyle name="20% - Accent1 2 3 3 4 2" xfId="14574" xr:uid="{00000000-0005-0000-0000-000018020000}"/>
    <cellStyle name="20% - Accent1 2 3 3 4 2 2" xfId="28123" xr:uid="{00000000-0005-0000-0000-000019020000}"/>
    <cellStyle name="20% - Accent1 2 3 3 4 3" xfId="17510" xr:uid="{00000000-0005-0000-0000-00001A020000}"/>
    <cellStyle name="20% - Accent1 2 3 3 5" xfId="188" xr:uid="{00000000-0005-0000-0000-00001B020000}"/>
    <cellStyle name="20% - Accent1 2 3 3 5 2" xfId="16626" xr:uid="{00000000-0005-0000-0000-00001C020000}"/>
    <cellStyle name="20% - Accent1 2 3 3 5 2 2" xfId="30033" xr:uid="{00000000-0005-0000-0000-00001D020000}"/>
    <cellStyle name="20% - Accent1 2 3 3 5 3" xfId="17511" xr:uid="{00000000-0005-0000-0000-00001E020000}"/>
    <cellStyle name="20% - Accent1 2 3 3 6" xfId="8843" xr:uid="{00000000-0005-0000-0000-00001F020000}"/>
    <cellStyle name="20% - Accent1 2 3 3 6 2" xfId="23318" xr:uid="{00000000-0005-0000-0000-000020020000}"/>
    <cellStyle name="20% - Accent1 2 3 3 7" xfId="17507" xr:uid="{00000000-0005-0000-0000-000021020000}"/>
    <cellStyle name="20% - Accent1 2 3 4" xfId="189" xr:uid="{00000000-0005-0000-0000-000022020000}"/>
    <cellStyle name="20% - Accent1 2 3 4 2" xfId="190" xr:uid="{00000000-0005-0000-0000-000023020000}"/>
    <cellStyle name="20% - Accent1 2 3 4 2 2" xfId="14573" xr:uid="{00000000-0005-0000-0000-000024020000}"/>
    <cellStyle name="20% - Accent1 2 3 4 2 2 2" xfId="28122" xr:uid="{00000000-0005-0000-0000-000025020000}"/>
    <cellStyle name="20% - Accent1 2 3 4 2 3" xfId="17513" xr:uid="{00000000-0005-0000-0000-000026020000}"/>
    <cellStyle name="20% - Accent1 2 3 4 3" xfId="10565" xr:uid="{00000000-0005-0000-0000-000027020000}"/>
    <cellStyle name="20% - Accent1 2 3 4 3 2" xfId="24507" xr:uid="{00000000-0005-0000-0000-000028020000}"/>
    <cellStyle name="20% - Accent1 2 3 4 4" xfId="17512" xr:uid="{00000000-0005-0000-0000-000029020000}"/>
    <cellStyle name="20% - Accent1 2 3 5" xfId="191" xr:uid="{00000000-0005-0000-0000-00002A020000}"/>
    <cellStyle name="20% - Accent1 2 3 5 2" xfId="12003" xr:uid="{00000000-0005-0000-0000-00002B020000}"/>
    <cellStyle name="20% - Accent1 2 3 5 2 2" xfId="25718" xr:uid="{00000000-0005-0000-0000-00002C020000}"/>
    <cellStyle name="20% - Accent1 2 3 5 3" xfId="17514" xr:uid="{00000000-0005-0000-0000-00002D020000}"/>
    <cellStyle name="20% - Accent1 2 3 6" xfId="192" xr:uid="{00000000-0005-0000-0000-00002E020000}"/>
    <cellStyle name="20% - Accent1 2 3 6 2" xfId="12694" xr:uid="{00000000-0005-0000-0000-00002F020000}"/>
    <cellStyle name="20% - Accent1 2 3 6 2 2" xfId="26406" xr:uid="{00000000-0005-0000-0000-000030020000}"/>
    <cellStyle name="20% - Accent1 2 3 6 3" xfId="17515" xr:uid="{00000000-0005-0000-0000-000031020000}"/>
    <cellStyle name="20% - Accent1 2 3 7" xfId="193" xr:uid="{00000000-0005-0000-0000-000032020000}"/>
    <cellStyle name="20% - Accent1 2 3 7 2" xfId="13578" xr:uid="{00000000-0005-0000-0000-000033020000}"/>
    <cellStyle name="20% - Accent1 2 3 7 2 2" xfId="27127" xr:uid="{00000000-0005-0000-0000-000034020000}"/>
    <cellStyle name="20% - Accent1 2 3 7 3" xfId="17516" xr:uid="{00000000-0005-0000-0000-000035020000}"/>
    <cellStyle name="20% - Accent1 2 3 8" xfId="194" xr:uid="{00000000-0005-0000-0000-000036020000}"/>
    <cellStyle name="20% - Accent1 2 3 8 2" xfId="14159" xr:uid="{00000000-0005-0000-0000-000037020000}"/>
    <cellStyle name="20% - Accent1 2 3 8 2 2" xfId="27708" xr:uid="{00000000-0005-0000-0000-000038020000}"/>
    <cellStyle name="20% - Accent1 2 3 8 3" xfId="17517" xr:uid="{00000000-0005-0000-0000-000039020000}"/>
    <cellStyle name="20% - Accent1 2 3 9" xfId="195" xr:uid="{00000000-0005-0000-0000-00003A020000}"/>
    <cellStyle name="20% - Accent1 2 3 9 2" xfId="14616" xr:uid="{00000000-0005-0000-0000-00003B020000}"/>
    <cellStyle name="20% - Accent1 2 3 9 2 2" xfId="28165" xr:uid="{00000000-0005-0000-0000-00003C020000}"/>
    <cellStyle name="20% - Accent1 2 3 9 3" xfId="17518" xr:uid="{00000000-0005-0000-0000-00003D020000}"/>
    <cellStyle name="20% - Accent1 2 4" xfId="196" xr:uid="{00000000-0005-0000-0000-00003E020000}"/>
    <cellStyle name="20% - Accent1 2 4 10" xfId="8844" xr:uid="{00000000-0005-0000-0000-00003F020000}"/>
    <cellStyle name="20% - Accent1 2 4 10 2" xfId="23319" xr:uid="{00000000-0005-0000-0000-000040020000}"/>
    <cellStyle name="20% - Accent1 2 4 11" xfId="17519" xr:uid="{00000000-0005-0000-0000-000041020000}"/>
    <cellStyle name="20% - Accent1 2 4 2" xfId="197" xr:uid="{00000000-0005-0000-0000-000042020000}"/>
    <cellStyle name="20% - Accent1 2 4 2 2" xfId="198" xr:uid="{00000000-0005-0000-0000-000043020000}"/>
    <cellStyle name="20% - Accent1 2 4 2 2 2" xfId="10570" xr:uid="{00000000-0005-0000-0000-000044020000}"/>
    <cellStyle name="20% - Accent1 2 4 2 2 2 2" xfId="24512" xr:uid="{00000000-0005-0000-0000-000045020000}"/>
    <cellStyle name="20% - Accent1 2 4 2 2 3" xfId="17521" xr:uid="{00000000-0005-0000-0000-000046020000}"/>
    <cellStyle name="20% - Accent1 2 4 2 3" xfId="199" xr:uid="{00000000-0005-0000-0000-000047020000}"/>
    <cellStyle name="20% - Accent1 2 4 2 3 2" xfId="11757" xr:uid="{00000000-0005-0000-0000-000048020000}"/>
    <cellStyle name="20% - Accent1 2 4 2 3 2 2" xfId="25472" xr:uid="{00000000-0005-0000-0000-000049020000}"/>
    <cellStyle name="20% - Accent1 2 4 2 3 3" xfId="17522" xr:uid="{00000000-0005-0000-0000-00004A020000}"/>
    <cellStyle name="20% - Accent1 2 4 2 4" xfId="200" xr:uid="{00000000-0005-0000-0000-00004B020000}"/>
    <cellStyle name="20% - Accent1 2 4 2 4 2" xfId="14571" xr:uid="{00000000-0005-0000-0000-00004C020000}"/>
    <cellStyle name="20% - Accent1 2 4 2 4 2 2" xfId="28120" xr:uid="{00000000-0005-0000-0000-00004D020000}"/>
    <cellStyle name="20% - Accent1 2 4 2 4 3" xfId="17523" xr:uid="{00000000-0005-0000-0000-00004E020000}"/>
    <cellStyle name="20% - Accent1 2 4 2 5" xfId="201" xr:uid="{00000000-0005-0000-0000-00004F020000}"/>
    <cellStyle name="20% - Accent1 2 4 2 5 2" xfId="16772" xr:uid="{00000000-0005-0000-0000-000050020000}"/>
    <cellStyle name="20% - Accent1 2 4 2 5 2 2" xfId="30179" xr:uid="{00000000-0005-0000-0000-000051020000}"/>
    <cellStyle name="20% - Accent1 2 4 2 5 3" xfId="17524" xr:uid="{00000000-0005-0000-0000-000052020000}"/>
    <cellStyle name="20% - Accent1 2 4 2 6" xfId="8845" xr:uid="{00000000-0005-0000-0000-000053020000}"/>
    <cellStyle name="20% - Accent1 2 4 2 6 2" xfId="23320" xr:uid="{00000000-0005-0000-0000-000054020000}"/>
    <cellStyle name="20% - Accent1 2 4 2 7" xfId="17520" xr:uid="{00000000-0005-0000-0000-000055020000}"/>
    <cellStyle name="20% - Accent1 2 4 3" xfId="202" xr:uid="{00000000-0005-0000-0000-000056020000}"/>
    <cellStyle name="20% - Accent1 2 4 3 2" xfId="203" xr:uid="{00000000-0005-0000-0000-000057020000}"/>
    <cellStyle name="20% - Accent1 2 4 3 2 2" xfId="14570" xr:uid="{00000000-0005-0000-0000-000058020000}"/>
    <cellStyle name="20% - Accent1 2 4 3 2 2 2" xfId="28119" xr:uid="{00000000-0005-0000-0000-000059020000}"/>
    <cellStyle name="20% - Accent1 2 4 3 2 3" xfId="17526" xr:uid="{00000000-0005-0000-0000-00005A020000}"/>
    <cellStyle name="20% - Accent1 2 4 3 3" xfId="10569" xr:uid="{00000000-0005-0000-0000-00005B020000}"/>
    <cellStyle name="20% - Accent1 2 4 3 3 2" xfId="24511" xr:uid="{00000000-0005-0000-0000-00005C020000}"/>
    <cellStyle name="20% - Accent1 2 4 3 4" xfId="17525" xr:uid="{00000000-0005-0000-0000-00005D020000}"/>
    <cellStyle name="20% - Accent1 2 4 4" xfId="204" xr:uid="{00000000-0005-0000-0000-00005E020000}"/>
    <cellStyle name="20% - Accent1 2 4 4 2" xfId="12160" xr:uid="{00000000-0005-0000-0000-00005F020000}"/>
    <cellStyle name="20% - Accent1 2 4 4 2 2" xfId="25872" xr:uid="{00000000-0005-0000-0000-000060020000}"/>
    <cellStyle name="20% - Accent1 2 4 4 3" xfId="17527" xr:uid="{00000000-0005-0000-0000-000061020000}"/>
    <cellStyle name="20% - Accent1 2 4 5" xfId="205" xr:uid="{00000000-0005-0000-0000-000062020000}"/>
    <cellStyle name="20% - Accent1 2 4 5 2" xfId="12509" xr:uid="{00000000-0005-0000-0000-000063020000}"/>
    <cellStyle name="20% - Accent1 2 4 5 2 2" xfId="26221" xr:uid="{00000000-0005-0000-0000-000064020000}"/>
    <cellStyle name="20% - Accent1 2 4 5 3" xfId="17528" xr:uid="{00000000-0005-0000-0000-000065020000}"/>
    <cellStyle name="20% - Accent1 2 4 6" xfId="206" xr:uid="{00000000-0005-0000-0000-000066020000}"/>
    <cellStyle name="20% - Accent1 2 4 6 2" xfId="13724" xr:uid="{00000000-0005-0000-0000-000067020000}"/>
    <cellStyle name="20% - Accent1 2 4 6 2 2" xfId="27273" xr:uid="{00000000-0005-0000-0000-000068020000}"/>
    <cellStyle name="20% - Accent1 2 4 6 3" xfId="17529" xr:uid="{00000000-0005-0000-0000-000069020000}"/>
    <cellStyle name="20% - Accent1 2 4 7" xfId="207" xr:uid="{00000000-0005-0000-0000-00006A020000}"/>
    <cellStyle name="20% - Accent1 2 4 7 2" xfId="14305" xr:uid="{00000000-0005-0000-0000-00006B020000}"/>
    <cellStyle name="20% - Accent1 2 4 7 2 2" xfId="27854" xr:uid="{00000000-0005-0000-0000-00006C020000}"/>
    <cellStyle name="20% - Accent1 2 4 7 3" xfId="17530" xr:uid="{00000000-0005-0000-0000-00006D020000}"/>
    <cellStyle name="20% - Accent1 2 4 8" xfId="208" xr:uid="{00000000-0005-0000-0000-00006E020000}"/>
    <cellStyle name="20% - Accent1 2 4 8 2" xfId="14572" xr:uid="{00000000-0005-0000-0000-00006F020000}"/>
    <cellStyle name="20% - Accent1 2 4 8 2 2" xfId="28121" xr:uid="{00000000-0005-0000-0000-000070020000}"/>
    <cellStyle name="20% - Accent1 2 4 8 3" xfId="17531" xr:uid="{00000000-0005-0000-0000-000071020000}"/>
    <cellStyle name="20% - Accent1 2 4 9" xfId="209" xr:uid="{00000000-0005-0000-0000-000072020000}"/>
    <cellStyle name="20% - Accent1 2 4 9 2" xfId="16191" xr:uid="{00000000-0005-0000-0000-000073020000}"/>
    <cellStyle name="20% - Accent1 2 4 9 2 2" xfId="29598" xr:uid="{00000000-0005-0000-0000-000074020000}"/>
    <cellStyle name="20% - Accent1 2 4 9 3" xfId="17532" xr:uid="{00000000-0005-0000-0000-000075020000}"/>
    <cellStyle name="20% - Accent1 2 5" xfId="210" xr:uid="{00000000-0005-0000-0000-000076020000}"/>
    <cellStyle name="20% - Accent1 2 5 2" xfId="211" xr:uid="{00000000-0005-0000-0000-000077020000}"/>
    <cellStyle name="20% - Accent1 2 5 2 2" xfId="212" xr:uid="{00000000-0005-0000-0000-000078020000}"/>
    <cellStyle name="20% - Accent1 2 5 2 2 2" xfId="10572" xr:uid="{00000000-0005-0000-0000-000079020000}"/>
    <cellStyle name="20% - Accent1 2 5 2 2 2 2" xfId="24514" xr:uid="{00000000-0005-0000-0000-00007A020000}"/>
    <cellStyle name="20% - Accent1 2 5 2 2 3" xfId="17535" xr:uid="{00000000-0005-0000-0000-00007B020000}"/>
    <cellStyle name="20% - Accent1 2 5 2 3" xfId="213" xr:uid="{00000000-0005-0000-0000-00007C020000}"/>
    <cellStyle name="20% - Accent1 2 5 2 3 2" xfId="12681" xr:uid="{00000000-0005-0000-0000-00007D020000}"/>
    <cellStyle name="20% - Accent1 2 5 2 3 2 2" xfId="26393" xr:uid="{00000000-0005-0000-0000-00007E020000}"/>
    <cellStyle name="20% - Accent1 2 5 2 3 3" xfId="17536" xr:uid="{00000000-0005-0000-0000-00007F020000}"/>
    <cellStyle name="20% - Accent1 2 5 2 4" xfId="214" xr:uid="{00000000-0005-0000-0000-000080020000}"/>
    <cellStyle name="20% - Accent1 2 5 2 4 2" xfId="14568" xr:uid="{00000000-0005-0000-0000-000081020000}"/>
    <cellStyle name="20% - Accent1 2 5 2 4 2 2" xfId="28117" xr:uid="{00000000-0005-0000-0000-000082020000}"/>
    <cellStyle name="20% - Accent1 2 5 2 4 3" xfId="17537" xr:uid="{00000000-0005-0000-0000-000083020000}"/>
    <cellStyle name="20% - Accent1 2 5 2 5" xfId="8847" xr:uid="{00000000-0005-0000-0000-000084020000}"/>
    <cellStyle name="20% - Accent1 2 5 2 5 2" xfId="23322" xr:uid="{00000000-0005-0000-0000-000085020000}"/>
    <cellStyle name="20% - Accent1 2 5 2 6" xfId="17534" xr:uid="{00000000-0005-0000-0000-000086020000}"/>
    <cellStyle name="20% - Accent1 2 5 3" xfId="215" xr:uid="{00000000-0005-0000-0000-000087020000}"/>
    <cellStyle name="20% - Accent1 2 5 3 2" xfId="10571" xr:uid="{00000000-0005-0000-0000-000088020000}"/>
    <cellStyle name="20% - Accent1 2 5 3 2 2" xfId="24513" xr:uid="{00000000-0005-0000-0000-000089020000}"/>
    <cellStyle name="20% - Accent1 2 5 3 3" xfId="17538" xr:uid="{00000000-0005-0000-0000-00008A020000}"/>
    <cellStyle name="20% - Accent1 2 5 4" xfId="216" xr:uid="{00000000-0005-0000-0000-00008B020000}"/>
    <cellStyle name="20% - Accent1 2 5 4 2" xfId="12591" xr:uid="{00000000-0005-0000-0000-00008C020000}"/>
    <cellStyle name="20% - Accent1 2 5 4 2 2" xfId="26303" xr:uid="{00000000-0005-0000-0000-00008D020000}"/>
    <cellStyle name="20% - Accent1 2 5 4 3" xfId="17539" xr:uid="{00000000-0005-0000-0000-00008E020000}"/>
    <cellStyle name="20% - Accent1 2 5 5" xfId="217" xr:uid="{00000000-0005-0000-0000-00008F020000}"/>
    <cellStyle name="20% - Accent1 2 5 5 2" xfId="14569" xr:uid="{00000000-0005-0000-0000-000090020000}"/>
    <cellStyle name="20% - Accent1 2 5 5 2 2" xfId="28118" xr:uid="{00000000-0005-0000-0000-000091020000}"/>
    <cellStyle name="20% - Accent1 2 5 5 3" xfId="17540" xr:uid="{00000000-0005-0000-0000-000092020000}"/>
    <cellStyle name="20% - Accent1 2 5 6" xfId="218" xr:uid="{00000000-0005-0000-0000-000093020000}"/>
    <cellStyle name="20% - Accent1 2 5 6 2" xfId="17007" xr:uid="{00000000-0005-0000-0000-000094020000}"/>
    <cellStyle name="20% - Accent1 2 5 6 2 2" xfId="30414" xr:uid="{00000000-0005-0000-0000-000095020000}"/>
    <cellStyle name="20% - Accent1 2 5 6 3" xfId="17541" xr:uid="{00000000-0005-0000-0000-000096020000}"/>
    <cellStyle name="20% - Accent1 2 5 7" xfId="8846" xr:uid="{00000000-0005-0000-0000-000097020000}"/>
    <cellStyle name="20% - Accent1 2 5 7 2" xfId="23321" xr:uid="{00000000-0005-0000-0000-000098020000}"/>
    <cellStyle name="20% - Accent1 2 5 8" xfId="17533" xr:uid="{00000000-0005-0000-0000-000099020000}"/>
    <cellStyle name="20% - Accent1 2 6" xfId="219" xr:uid="{00000000-0005-0000-0000-00009A020000}"/>
    <cellStyle name="20% - Accent1 2 6 2" xfId="220" xr:uid="{00000000-0005-0000-0000-00009B020000}"/>
    <cellStyle name="20% - Accent1 2 6 2 2" xfId="10573" xr:uid="{00000000-0005-0000-0000-00009C020000}"/>
    <cellStyle name="20% - Accent1 2 6 2 2 2" xfId="24515" xr:uid="{00000000-0005-0000-0000-00009D020000}"/>
    <cellStyle name="20% - Accent1 2 6 2 3" xfId="17543" xr:uid="{00000000-0005-0000-0000-00009E020000}"/>
    <cellStyle name="20% - Accent1 2 6 3" xfId="221" xr:uid="{00000000-0005-0000-0000-00009F020000}"/>
    <cellStyle name="20% - Accent1 2 6 3 2" xfId="11758" xr:uid="{00000000-0005-0000-0000-0000A0020000}"/>
    <cellStyle name="20% - Accent1 2 6 3 2 2" xfId="25473" xr:uid="{00000000-0005-0000-0000-0000A1020000}"/>
    <cellStyle name="20% - Accent1 2 6 3 3" xfId="17544" xr:uid="{00000000-0005-0000-0000-0000A2020000}"/>
    <cellStyle name="20% - Accent1 2 6 4" xfId="222" xr:uid="{00000000-0005-0000-0000-0000A3020000}"/>
    <cellStyle name="20% - Accent1 2 6 4 2" xfId="14567" xr:uid="{00000000-0005-0000-0000-0000A4020000}"/>
    <cellStyle name="20% - Accent1 2 6 4 2 2" xfId="28116" xr:uid="{00000000-0005-0000-0000-0000A5020000}"/>
    <cellStyle name="20% - Accent1 2 6 4 3" xfId="17545" xr:uid="{00000000-0005-0000-0000-0000A6020000}"/>
    <cellStyle name="20% - Accent1 2 6 5" xfId="223" xr:uid="{00000000-0005-0000-0000-0000A7020000}"/>
    <cellStyle name="20% - Accent1 2 6 5 2" xfId="17119" xr:uid="{00000000-0005-0000-0000-0000A8020000}"/>
    <cellStyle name="20% - Accent1 2 6 5 2 2" xfId="30478" xr:uid="{00000000-0005-0000-0000-0000A9020000}"/>
    <cellStyle name="20% - Accent1 2 6 5 3" xfId="17546" xr:uid="{00000000-0005-0000-0000-0000AA020000}"/>
    <cellStyle name="20% - Accent1 2 6 6" xfId="8848" xr:uid="{00000000-0005-0000-0000-0000AB020000}"/>
    <cellStyle name="20% - Accent1 2 6 6 2" xfId="23323" xr:uid="{00000000-0005-0000-0000-0000AC020000}"/>
    <cellStyle name="20% - Accent1 2 6 7" xfId="17542" xr:uid="{00000000-0005-0000-0000-0000AD020000}"/>
    <cellStyle name="20% - Accent1 2 7" xfId="224" xr:uid="{00000000-0005-0000-0000-0000AE020000}"/>
    <cellStyle name="20% - Accent1 2 7 2" xfId="225" xr:uid="{00000000-0005-0000-0000-0000AF020000}"/>
    <cellStyle name="20% - Accent1 2 7 2 2" xfId="10574" xr:uid="{00000000-0005-0000-0000-0000B0020000}"/>
    <cellStyle name="20% - Accent1 2 7 2 2 2" xfId="24516" xr:uid="{00000000-0005-0000-0000-0000B1020000}"/>
    <cellStyle name="20% - Accent1 2 7 2 3" xfId="17548" xr:uid="{00000000-0005-0000-0000-0000B2020000}"/>
    <cellStyle name="20% - Accent1 2 7 3" xfId="226" xr:uid="{00000000-0005-0000-0000-0000B3020000}"/>
    <cellStyle name="20% - Accent1 2 7 3 2" xfId="12419" xr:uid="{00000000-0005-0000-0000-0000B4020000}"/>
    <cellStyle name="20% - Accent1 2 7 3 2 2" xfId="26131" xr:uid="{00000000-0005-0000-0000-0000B5020000}"/>
    <cellStyle name="20% - Accent1 2 7 3 3" xfId="17549" xr:uid="{00000000-0005-0000-0000-0000B6020000}"/>
    <cellStyle name="20% - Accent1 2 7 4" xfId="227" xr:uid="{00000000-0005-0000-0000-0000B7020000}"/>
    <cellStyle name="20% - Accent1 2 7 4 2" xfId="14566" xr:uid="{00000000-0005-0000-0000-0000B8020000}"/>
    <cellStyle name="20% - Accent1 2 7 4 2 2" xfId="28115" xr:uid="{00000000-0005-0000-0000-0000B9020000}"/>
    <cellStyle name="20% - Accent1 2 7 4 3" xfId="17550" xr:uid="{00000000-0005-0000-0000-0000BA020000}"/>
    <cellStyle name="20% - Accent1 2 7 5" xfId="228" xr:uid="{00000000-0005-0000-0000-0000BB020000}"/>
    <cellStyle name="20% - Accent1 2 7 5 2" xfId="17208" xr:uid="{00000000-0005-0000-0000-0000BC020000}"/>
    <cellStyle name="20% - Accent1 2 7 5 2 2" xfId="30567" xr:uid="{00000000-0005-0000-0000-0000BD020000}"/>
    <cellStyle name="20% - Accent1 2 7 5 3" xfId="17551" xr:uid="{00000000-0005-0000-0000-0000BE020000}"/>
    <cellStyle name="20% - Accent1 2 7 6" xfId="8849" xr:uid="{00000000-0005-0000-0000-0000BF020000}"/>
    <cellStyle name="20% - Accent1 2 7 6 2" xfId="23324" xr:uid="{00000000-0005-0000-0000-0000C0020000}"/>
    <cellStyle name="20% - Accent1 2 7 7" xfId="17547" xr:uid="{00000000-0005-0000-0000-0000C1020000}"/>
    <cellStyle name="20% - Accent1 2 8" xfId="229" xr:uid="{00000000-0005-0000-0000-0000C2020000}"/>
    <cellStyle name="20% - Accent1 2 8 2" xfId="230" xr:uid="{00000000-0005-0000-0000-0000C3020000}"/>
    <cellStyle name="20% - Accent1 2 8 2 2" xfId="12482" xr:uid="{00000000-0005-0000-0000-0000C4020000}"/>
    <cellStyle name="20% - Accent1 2 8 2 2 2" xfId="26194" xr:uid="{00000000-0005-0000-0000-0000C5020000}"/>
    <cellStyle name="20% - Accent1 2 8 2 3" xfId="17553" xr:uid="{00000000-0005-0000-0000-0000C6020000}"/>
    <cellStyle name="20% - Accent1 2 8 3" xfId="231" xr:uid="{00000000-0005-0000-0000-0000C7020000}"/>
    <cellStyle name="20% - Accent1 2 8 3 2" xfId="14565" xr:uid="{00000000-0005-0000-0000-0000C8020000}"/>
    <cellStyle name="20% - Accent1 2 8 3 2 2" xfId="28114" xr:uid="{00000000-0005-0000-0000-0000C9020000}"/>
    <cellStyle name="20% - Accent1 2 8 3 3" xfId="17554" xr:uid="{00000000-0005-0000-0000-0000CA020000}"/>
    <cellStyle name="20% - Accent1 2 8 4" xfId="232" xr:uid="{00000000-0005-0000-0000-0000CB020000}"/>
    <cellStyle name="20% - Accent1 2 8 4 2" xfId="16483" xr:uid="{00000000-0005-0000-0000-0000CC020000}"/>
    <cellStyle name="20% - Accent1 2 8 4 2 2" xfId="29890" xr:uid="{00000000-0005-0000-0000-0000CD020000}"/>
    <cellStyle name="20% - Accent1 2 8 4 3" xfId="17555" xr:uid="{00000000-0005-0000-0000-0000CE020000}"/>
    <cellStyle name="20% - Accent1 2 8 5" xfId="10528" xr:uid="{00000000-0005-0000-0000-0000CF020000}"/>
    <cellStyle name="20% - Accent1 2 8 5 2" xfId="24470" xr:uid="{00000000-0005-0000-0000-0000D0020000}"/>
    <cellStyle name="20% - Accent1 2 8 6" xfId="17552" xr:uid="{00000000-0005-0000-0000-0000D1020000}"/>
    <cellStyle name="20% - Accent1 2 9" xfId="233" xr:uid="{00000000-0005-0000-0000-0000D2020000}"/>
    <cellStyle name="20% - Accent1 2 9 2" xfId="234" xr:uid="{00000000-0005-0000-0000-0000D3020000}"/>
    <cellStyle name="20% - Accent1 2 9 2 2" xfId="12644" xr:uid="{00000000-0005-0000-0000-0000D4020000}"/>
    <cellStyle name="20% - Accent1 2 9 2 2 2" xfId="26356" xr:uid="{00000000-0005-0000-0000-0000D5020000}"/>
    <cellStyle name="20% - Accent1 2 9 2 3" xfId="17557" xr:uid="{00000000-0005-0000-0000-0000D6020000}"/>
    <cellStyle name="20% - Accent1 2 9 3" xfId="235" xr:uid="{00000000-0005-0000-0000-0000D7020000}"/>
    <cellStyle name="20% - Accent1 2 9 3 2" xfId="14564" xr:uid="{00000000-0005-0000-0000-0000D8020000}"/>
    <cellStyle name="20% - Accent1 2 9 3 2 2" xfId="28113" xr:uid="{00000000-0005-0000-0000-0000D9020000}"/>
    <cellStyle name="20% - Accent1 2 9 3 3" xfId="17558" xr:uid="{00000000-0005-0000-0000-0000DA020000}"/>
    <cellStyle name="20% - Accent1 2 9 4" xfId="10556" xr:uid="{00000000-0005-0000-0000-0000DB020000}"/>
    <cellStyle name="20% - Accent1 2 9 4 2" xfId="24498" xr:uid="{00000000-0005-0000-0000-0000DC020000}"/>
    <cellStyle name="20% - Accent1 2 9 5" xfId="17556" xr:uid="{00000000-0005-0000-0000-0000DD020000}"/>
    <cellStyle name="20% - Accent1 20" xfId="236" xr:uid="{00000000-0005-0000-0000-0000DE020000}"/>
    <cellStyle name="20% - Accent1 20 2" xfId="237" xr:uid="{00000000-0005-0000-0000-0000DF020000}"/>
    <cellStyle name="20% - Accent1 20 2 2" xfId="12477" xr:uid="{00000000-0005-0000-0000-0000E0020000}"/>
    <cellStyle name="20% - Accent1 20 2 2 2" xfId="26189" xr:uid="{00000000-0005-0000-0000-0000E1020000}"/>
    <cellStyle name="20% - Accent1 20 2 3" xfId="17560" xr:uid="{00000000-0005-0000-0000-0000E2020000}"/>
    <cellStyle name="20% - Accent1 20 3" xfId="238" xr:uid="{00000000-0005-0000-0000-0000E3020000}"/>
    <cellStyle name="20% - Accent1 20 3 2" xfId="14563" xr:uid="{00000000-0005-0000-0000-0000E4020000}"/>
    <cellStyle name="20% - Accent1 20 3 2 2" xfId="28112" xr:uid="{00000000-0005-0000-0000-0000E5020000}"/>
    <cellStyle name="20% - Accent1 20 3 3" xfId="17561" xr:uid="{00000000-0005-0000-0000-0000E6020000}"/>
    <cellStyle name="20% - Accent1 20 4" xfId="10503" xr:uid="{00000000-0005-0000-0000-0000E7020000}"/>
    <cellStyle name="20% - Accent1 20 4 2" xfId="24451" xr:uid="{00000000-0005-0000-0000-0000E8020000}"/>
    <cellStyle name="20% - Accent1 20 5" xfId="17559" xr:uid="{00000000-0005-0000-0000-0000E9020000}"/>
    <cellStyle name="20% - Accent1 21" xfId="239" xr:uid="{00000000-0005-0000-0000-0000EA020000}"/>
    <cellStyle name="20% - Accent1 21 2" xfId="240" xr:uid="{00000000-0005-0000-0000-0000EB020000}"/>
    <cellStyle name="20% - Accent1 21 2 2" xfId="12766" xr:uid="{00000000-0005-0000-0000-0000EC020000}"/>
    <cellStyle name="20% - Accent1 21 2 2 2" xfId="26478" xr:uid="{00000000-0005-0000-0000-0000ED020000}"/>
    <cellStyle name="20% - Accent1 21 2 3" xfId="17563" xr:uid="{00000000-0005-0000-0000-0000EE020000}"/>
    <cellStyle name="20% - Accent1 21 3" xfId="241" xr:uid="{00000000-0005-0000-0000-0000EF020000}"/>
    <cellStyle name="20% - Accent1 21 3 2" xfId="14562" xr:uid="{00000000-0005-0000-0000-0000F0020000}"/>
    <cellStyle name="20% - Accent1 21 3 2 2" xfId="28111" xr:uid="{00000000-0005-0000-0000-0000F1020000}"/>
    <cellStyle name="20% - Accent1 21 3 3" xfId="17564" xr:uid="{00000000-0005-0000-0000-0000F2020000}"/>
    <cellStyle name="20% - Accent1 21 4" xfId="10545" xr:uid="{00000000-0005-0000-0000-0000F3020000}"/>
    <cellStyle name="20% - Accent1 21 4 2" xfId="24487" xr:uid="{00000000-0005-0000-0000-0000F4020000}"/>
    <cellStyle name="20% - Accent1 21 5" xfId="17562" xr:uid="{00000000-0005-0000-0000-0000F5020000}"/>
    <cellStyle name="20% - Accent1 22" xfId="242" xr:uid="{00000000-0005-0000-0000-0000F6020000}"/>
    <cellStyle name="20% - Accent1 22 2" xfId="11739" xr:uid="{00000000-0005-0000-0000-0000F7020000}"/>
    <cellStyle name="20% - Accent1 22 2 2" xfId="25454" xr:uid="{00000000-0005-0000-0000-0000F8020000}"/>
    <cellStyle name="20% - Accent1 22 3" xfId="17565" xr:uid="{00000000-0005-0000-0000-0000F9020000}"/>
    <cellStyle name="20% - Accent1 23" xfId="243" xr:uid="{00000000-0005-0000-0000-0000FA020000}"/>
    <cellStyle name="20% - Accent1 23 2" xfId="12680" xr:uid="{00000000-0005-0000-0000-0000FB020000}"/>
    <cellStyle name="20% - Accent1 23 2 2" xfId="26392" xr:uid="{00000000-0005-0000-0000-0000FC020000}"/>
    <cellStyle name="20% - Accent1 23 3" xfId="17566" xr:uid="{00000000-0005-0000-0000-0000FD020000}"/>
    <cellStyle name="20% - Accent1 24" xfId="244" xr:uid="{00000000-0005-0000-0000-0000FE020000}"/>
    <cellStyle name="20% - Accent1 24 2" xfId="13378" xr:uid="{00000000-0005-0000-0000-0000FF020000}"/>
    <cellStyle name="20% - Accent1 24 2 2" xfId="26927" xr:uid="{00000000-0005-0000-0000-000000030000}"/>
    <cellStyle name="20% - Accent1 24 3" xfId="17567" xr:uid="{00000000-0005-0000-0000-000001030000}"/>
    <cellStyle name="20% - Accent1 25" xfId="245" xr:uid="{00000000-0005-0000-0000-000002030000}"/>
    <cellStyle name="20% - Accent1 25 2" xfId="13959" xr:uid="{00000000-0005-0000-0000-000003030000}"/>
    <cellStyle name="20% - Accent1 25 2 2" xfId="27508" xr:uid="{00000000-0005-0000-0000-000004030000}"/>
    <cellStyle name="20% - Accent1 25 3" xfId="17568" xr:uid="{00000000-0005-0000-0000-000005030000}"/>
    <cellStyle name="20% - Accent1 26" xfId="246" xr:uid="{00000000-0005-0000-0000-000006030000}"/>
    <cellStyle name="20% - Accent1 26 2" xfId="14601" xr:uid="{00000000-0005-0000-0000-000007030000}"/>
    <cellStyle name="20% - Accent1 26 2 2" xfId="28150" xr:uid="{00000000-0005-0000-0000-000008030000}"/>
    <cellStyle name="20% - Accent1 26 3" xfId="17569" xr:uid="{00000000-0005-0000-0000-000009030000}"/>
    <cellStyle name="20% - Accent1 27" xfId="247" xr:uid="{00000000-0005-0000-0000-00000A030000}"/>
    <cellStyle name="20% - Accent1 27 2" xfId="15840" xr:uid="{00000000-0005-0000-0000-00000B030000}"/>
    <cellStyle name="20% - Accent1 27 2 2" xfId="29247" xr:uid="{00000000-0005-0000-0000-00000C030000}"/>
    <cellStyle name="20% - Accent1 27 3" xfId="17570" xr:uid="{00000000-0005-0000-0000-00000D030000}"/>
    <cellStyle name="20% - Accent1 28" xfId="248" xr:uid="{00000000-0005-0000-0000-00000E030000}"/>
    <cellStyle name="20% - Accent1 28 2" xfId="15845" xr:uid="{00000000-0005-0000-0000-00000F030000}"/>
    <cellStyle name="20% - Accent1 28 2 2" xfId="29252" xr:uid="{00000000-0005-0000-0000-000010030000}"/>
    <cellStyle name="20% - Accent1 28 3" xfId="17571" xr:uid="{00000000-0005-0000-0000-000011030000}"/>
    <cellStyle name="20% - Accent1 29" xfId="249" xr:uid="{00000000-0005-0000-0000-000012030000}"/>
    <cellStyle name="20% - Accent1 29 2" xfId="8820" xr:uid="{00000000-0005-0000-0000-000013030000}"/>
    <cellStyle name="20% - Accent1 29 2 2" xfId="23295" xr:uid="{00000000-0005-0000-0000-000014030000}"/>
    <cellStyle name="20% - Accent1 29 3" xfId="17572" xr:uid="{00000000-0005-0000-0000-000015030000}"/>
    <cellStyle name="20% - Accent1 3" xfId="250" xr:uid="{00000000-0005-0000-0000-000016030000}"/>
    <cellStyle name="20% - Accent1 3 10" xfId="251" xr:uid="{00000000-0005-0000-0000-000017030000}"/>
    <cellStyle name="20% - Accent1 3 10 2" xfId="14039" xr:uid="{00000000-0005-0000-0000-000018030000}"/>
    <cellStyle name="20% - Accent1 3 10 2 2" xfId="27588" xr:uid="{00000000-0005-0000-0000-000019030000}"/>
    <cellStyle name="20% - Accent1 3 10 3" xfId="17574" xr:uid="{00000000-0005-0000-0000-00001A030000}"/>
    <cellStyle name="20% - Accent1 3 11" xfId="252" xr:uid="{00000000-0005-0000-0000-00001B030000}"/>
    <cellStyle name="20% - Accent1 3 11 2" xfId="14561" xr:uid="{00000000-0005-0000-0000-00001C030000}"/>
    <cellStyle name="20% - Accent1 3 11 2 2" xfId="28110" xr:uid="{00000000-0005-0000-0000-00001D030000}"/>
    <cellStyle name="20% - Accent1 3 11 3" xfId="17575" xr:uid="{00000000-0005-0000-0000-00001E030000}"/>
    <cellStyle name="20% - Accent1 3 12" xfId="253" xr:uid="{00000000-0005-0000-0000-00001F030000}"/>
    <cellStyle name="20% - Accent1 3 12 2" xfId="15925" xr:uid="{00000000-0005-0000-0000-000020030000}"/>
    <cellStyle name="20% - Accent1 3 12 2 2" xfId="29332" xr:uid="{00000000-0005-0000-0000-000021030000}"/>
    <cellStyle name="20% - Accent1 3 12 3" xfId="17576" xr:uid="{00000000-0005-0000-0000-000022030000}"/>
    <cellStyle name="20% - Accent1 3 13" xfId="8850" xr:uid="{00000000-0005-0000-0000-000023030000}"/>
    <cellStyle name="20% - Accent1 3 13 2" xfId="23325" xr:uid="{00000000-0005-0000-0000-000024030000}"/>
    <cellStyle name="20% - Accent1 3 14" xfId="17573" xr:uid="{00000000-0005-0000-0000-000025030000}"/>
    <cellStyle name="20% - Accent1 3 2" xfId="254" xr:uid="{00000000-0005-0000-0000-000026030000}"/>
    <cellStyle name="20% - Accent1 3 2 10" xfId="255" xr:uid="{00000000-0005-0000-0000-000027030000}"/>
    <cellStyle name="20% - Accent1 3 2 10 2" xfId="16068" xr:uid="{00000000-0005-0000-0000-000028030000}"/>
    <cellStyle name="20% - Accent1 3 2 10 2 2" xfId="29475" xr:uid="{00000000-0005-0000-0000-000029030000}"/>
    <cellStyle name="20% - Accent1 3 2 10 3" xfId="17578" xr:uid="{00000000-0005-0000-0000-00002A030000}"/>
    <cellStyle name="20% - Accent1 3 2 11" xfId="8851" xr:uid="{00000000-0005-0000-0000-00002B030000}"/>
    <cellStyle name="20% - Accent1 3 2 11 2" xfId="23326" xr:uid="{00000000-0005-0000-0000-00002C030000}"/>
    <cellStyle name="20% - Accent1 3 2 12" xfId="17577" xr:uid="{00000000-0005-0000-0000-00002D030000}"/>
    <cellStyle name="20% - Accent1 3 2 2" xfId="256" xr:uid="{00000000-0005-0000-0000-00002E030000}"/>
    <cellStyle name="20% - Accent1 3 2 2 10" xfId="8852" xr:uid="{00000000-0005-0000-0000-00002F030000}"/>
    <cellStyle name="20% - Accent1 3 2 2 10 2" xfId="23327" xr:uid="{00000000-0005-0000-0000-000030030000}"/>
    <cellStyle name="20% - Accent1 3 2 2 11" xfId="17579" xr:uid="{00000000-0005-0000-0000-000031030000}"/>
    <cellStyle name="20% - Accent1 3 2 2 2" xfId="257" xr:uid="{00000000-0005-0000-0000-000032030000}"/>
    <cellStyle name="20% - Accent1 3 2 2 2 2" xfId="258" xr:uid="{00000000-0005-0000-0000-000033030000}"/>
    <cellStyle name="20% - Accent1 3 2 2 2 2 2" xfId="10578" xr:uid="{00000000-0005-0000-0000-000034030000}"/>
    <cellStyle name="20% - Accent1 3 2 2 2 2 2 2" xfId="24520" xr:uid="{00000000-0005-0000-0000-000035030000}"/>
    <cellStyle name="20% - Accent1 3 2 2 2 2 3" xfId="17581" xr:uid="{00000000-0005-0000-0000-000036030000}"/>
    <cellStyle name="20% - Accent1 3 2 2 2 3" xfId="259" xr:uid="{00000000-0005-0000-0000-000037030000}"/>
    <cellStyle name="20% - Accent1 3 2 2 2 3 2" xfId="12594" xr:uid="{00000000-0005-0000-0000-000038030000}"/>
    <cellStyle name="20% - Accent1 3 2 2 2 3 2 2" xfId="26306" xr:uid="{00000000-0005-0000-0000-000039030000}"/>
    <cellStyle name="20% - Accent1 3 2 2 2 3 3" xfId="17582" xr:uid="{00000000-0005-0000-0000-00003A030000}"/>
    <cellStyle name="20% - Accent1 3 2 2 2 4" xfId="260" xr:uid="{00000000-0005-0000-0000-00003B030000}"/>
    <cellStyle name="20% - Accent1 3 2 2 2 4 2" xfId="14558" xr:uid="{00000000-0005-0000-0000-00003C030000}"/>
    <cellStyle name="20% - Accent1 3 2 2 2 4 2 2" xfId="28107" xr:uid="{00000000-0005-0000-0000-00003D030000}"/>
    <cellStyle name="20% - Accent1 3 2 2 2 4 3" xfId="17583" xr:uid="{00000000-0005-0000-0000-00003E030000}"/>
    <cellStyle name="20% - Accent1 3 2 2 2 5" xfId="261" xr:uid="{00000000-0005-0000-0000-00003F030000}"/>
    <cellStyle name="20% - Accent1 3 2 2 2 5 2" xfId="16938" xr:uid="{00000000-0005-0000-0000-000040030000}"/>
    <cellStyle name="20% - Accent1 3 2 2 2 5 2 2" xfId="30345" xr:uid="{00000000-0005-0000-0000-000041030000}"/>
    <cellStyle name="20% - Accent1 3 2 2 2 5 3" xfId="17584" xr:uid="{00000000-0005-0000-0000-000042030000}"/>
    <cellStyle name="20% - Accent1 3 2 2 2 6" xfId="8853" xr:uid="{00000000-0005-0000-0000-000043030000}"/>
    <cellStyle name="20% - Accent1 3 2 2 2 6 2" xfId="23328" xr:uid="{00000000-0005-0000-0000-000044030000}"/>
    <cellStyle name="20% - Accent1 3 2 2 2 7" xfId="17580" xr:uid="{00000000-0005-0000-0000-000045030000}"/>
    <cellStyle name="20% - Accent1 3 2 2 3" xfId="262" xr:uid="{00000000-0005-0000-0000-000046030000}"/>
    <cellStyle name="20% - Accent1 3 2 2 3 2" xfId="263" xr:uid="{00000000-0005-0000-0000-000047030000}"/>
    <cellStyle name="20% - Accent1 3 2 2 3 2 2" xfId="14557" xr:uid="{00000000-0005-0000-0000-000048030000}"/>
    <cellStyle name="20% - Accent1 3 2 2 3 2 2 2" xfId="28106" xr:uid="{00000000-0005-0000-0000-000049030000}"/>
    <cellStyle name="20% - Accent1 3 2 2 3 2 3" xfId="17586" xr:uid="{00000000-0005-0000-0000-00004A030000}"/>
    <cellStyle name="20% - Accent1 3 2 2 3 3" xfId="10577" xr:uid="{00000000-0005-0000-0000-00004B030000}"/>
    <cellStyle name="20% - Accent1 3 2 2 3 3 2" xfId="24519" xr:uid="{00000000-0005-0000-0000-00004C030000}"/>
    <cellStyle name="20% - Accent1 3 2 2 3 4" xfId="17585" xr:uid="{00000000-0005-0000-0000-00004D030000}"/>
    <cellStyle name="20% - Accent1 3 2 2 4" xfId="264" xr:uid="{00000000-0005-0000-0000-00004E030000}"/>
    <cellStyle name="20% - Accent1 3 2 2 4 2" xfId="12326" xr:uid="{00000000-0005-0000-0000-00004F030000}"/>
    <cellStyle name="20% - Accent1 3 2 2 4 2 2" xfId="26038" xr:uid="{00000000-0005-0000-0000-000050030000}"/>
    <cellStyle name="20% - Accent1 3 2 2 4 3" xfId="17587" xr:uid="{00000000-0005-0000-0000-000051030000}"/>
    <cellStyle name="20% - Accent1 3 2 2 5" xfId="265" xr:uid="{00000000-0005-0000-0000-000052030000}"/>
    <cellStyle name="20% - Accent1 3 2 2 5 2" xfId="12526" xr:uid="{00000000-0005-0000-0000-000053030000}"/>
    <cellStyle name="20% - Accent1 3 2 2 5 2 2" xfId="26238" xr:uid="{00000000-0005-0000-0000-000054030000}"/>
    <cellStyle name="20% - Accent1 3 2 2 5 3" xfId="17588" xr:uid="{00000000-0005-0000-0000-000055030000}"/>
    <cellStyle name="20% - Accent1 3 2 2 6" xfId="266" xr:uid="{00000000-0005-0000-0000-000056030000}"/>
    <cellStyle name="20% - Accent1 3 2 2 6 2" xfId="13890" xr:uid="{00000000-0005-0000-0000-000057030000}"/>
    <cellStyle name="20% - Accent1 3 2 2 6 2 2" xfId="27439" xr:uid="{00000000-0005-0000-0000-000058030000}"/>
    <cellStyle name="20% - Accent1 3 2 2 6 3" xfId="17589" xr:uid="{00000000-0005-0000-0000-000059030000}"/>
    <cellStyle name="20% - Accent1 3 2 2 7" xfId="267" xr:uid="{00000000-0005-0000-0000-00005A030000}"/>
    <cellStyle name="20% - Accent1 3 2 2 7 2" xfId="14471" xr:uid="{00000000-0005-0000-0000-00005B030000}"/>
    <cellStyle name="20% - Accent1 3 2 2 7 2 2" xfId="28020" xr:uid="{00000000-0005-0000-0000-00005C030000}"/>
    <cellStyle name="20% - Accent1 3 2 2 7 3" xfId="17590" xr:uid="{00000000-0005-0000-0000-00005D030000}"/>
    <cellStyle name="20% - Accent1 3 2 2 8" xfId="268" xr:uid="{00000000-0005-0000-0000-00005E030000}"/>
    <cellStyle name="20% - Accent1 3 2 2 8 2" xfId="14559" xr:uid="{00000000-0005-0000-0000-00005F030000}"/>
    <cellStyle name="20% - Accent1 3 2 2 8 2 2" xfId="28108" xr:uid="{00000000-0005-0000-0000-000060030000}"/>
    <cellStyle name="20% - Accent1 3 2 2 8 3" xfId="17591" xr:uid="{00000000-0005-0000-0000-000061030000}"/>
    <cellStyle name="20% - Accent1 3 2 2 9" xfId="269" xr:uid="{00000000-0005-0000-0000-000062030000}"/>
    <cellStyle name="20% - Accent1 3 2 2 9 2" xfId="16357" xr:uid="{00000000-0005-0000-0000-000063030000}"/>
    <cellStyle name="20% - Accent1 3 2 2 9 2 2" xfId="29764" xr:uid="{00000000-0005-0000-0000-000064030000}"/>
    <cellStyle name="20% - Accent1 3 2 2 9 3" xfId="17592" xr:uid="{00000000-0005-0000-0000-000065030000}"/>
    <cellStyle name="20% - Accent1 3 2 3" xfId="270" xr:uid="{00000000-0005-0000-0000-000066030000}"/>
    <cellStyle name="20% - Accent1 3 2 3 2" xfId="271" xr:uid="{00000000-0005-0000-0000-000067030000}"/>
    <cellStyle name="20% - Accent1 3 2 3 2 2" xfId="10579" xr:uid="{00000000-0005-0000-0000-000068030000}"/>
    <cellStyle name="20% - Accent1 3 2 3 2 2 2" xfId="24521" xr:uid="{00000000-0005-0000-0000-000069030000}"/>
    <cellStyle name="20% - Accent1 3 2 3 2 3" xfId="17594" xr:uid="{00000000-0005-0000-0000-00006A030000}"/>
    <cellStyle name="20% - Accent1 3 2 3 3" xfId="272" xr:uid="{00000000-0005-0000-0000-00006B030000}"/>
    <cellStyle name="20% - Accent1 3 2 3 3 2" xfId="12597" xr:uid="{00000000-0005-0000-0000-00006C030000}"/>
    <cellStyle name="20% - Accent1 3 2 3 3 2 2" xfId="26309" xr:uid="{00000000-0005-0000-0000-00006D030000}"/>
    <cellStyle name="20% - Accent1 3 2 3 3 3" xfId="17595" xr:uid="{00000000-0005-0000-0000-00006E030000}"/>
    <cellStyle name="20% - Accent1 3 2 3 4" xfId="273" xr:uid="{00000000-0005-0000-0000-00006F030000}"/>
    <cellStyle name="20% - Accent1 3 2 3 4 2" xfId="14556" xr:uid="{00000000-0005-0000-0000-000070030000}"/>
    <cellStyle name="20% - Accent1 3 2 3 4 2 2" xfId="28105" xr:uid="{00000000-0005-0000-0000-000071030000}"/>
    <cellStyle name="20% - Accent1 3 2 3 4 3" xfId="17596" xr:uid="{00000000-0005-0000-0000-000072030000}"/>
    <cellStyle name="20% - Accent1 3 2 3 5" xfId="274" xr:uid="{00000000-0005-0000-0000-000073030000}"/>
    <cellStyle name="20% - Accent1 3 2 3 5 2" xfId="16649" xr:uid="{00000000-0005-0000-0000-000074030000}"/>
    <cellStyle name="20% - Accent1 3 2 3 5 2 2" xfId="30056" xr:uid="{00000000-0005-0000-0000-000075030000}"/>
    <cellStyle name="20% - Accent1 3 2 3 5 3" xfId="17597" xr:uid="{00000000-0005-0000-0000-000076030000}"/>
    <cellStyle name="20% - Accent1 3 2 3 6" xfId="8854" xr:uid="{00000000-0005-0000-0000-000077030000}"/>
    <cellStyle name="20% - Accent1 3 2 3 6 2" xfId="23329" xr:uid="{00000000-0005-0000-0000-000078030000}"/>
    <cellStyle name="20% - Accent1 3 2 3 7" xfId="17593" xr:uid="{00000000-0005-0000-0000-000079030000}"/>
    <cellStyle name="20% - Accent1 3 2 4" xfId="275" xr:uid="{00000000-0005-0000-0000-00007A030000}"/>
    <cellStyle name="20% - Accent1 3 2 4 2" xfId="276" xr:uid="{00000000-0005-0000-0000-00007B030000}"/>
    <cellStyle name="20% - Accent1 3 2 4 2 2" xfId="14618" xr:uid="{00000000-0005-0000-0000-00007C030000}"/>
    <cellStyle name="20% - Accent1 3 2 4 2 2 2" xfId="28167" xr:uid="{00000000-0005-0000-0000-00007D030000}"/>
    <cellStyle name="20% - Accent1 3 2 4 2 3" xfId="17599" xr:uid="{00000000-0005-0000-0000-00007E030000}"/>
    <cellStyle name="20% - Accent1 3 2 4 3" xfId="10576" xr:uid="{00000000-0005-0000-0000-00007F030000}"/>
    <cellStyle name="20% - Accent1 3 2 4 3 2" xfId="24518" xr:uid="{00000000-0005-0000-0000-000080030000}"/>
    <cellStyle name="20% - Accent1 3 2 4 4" xfId="17598" xr:uid="{00000000-0005-0000-0000-000081030000}"/>
    <cellStyle name="20% - Accent1 3 2 5" xfId="277" xr:uid="{00000000-0005-0000-0000-000082030000}"/>
    <cellStyle name="20% - Accent1 3 2 5 2" xfId="12026" xr:uid="{00000000-0005-0000-0000-000083030000}"/>
    <cellStyle name="20% - Accent1 3 2 5 2 2" xfId="25741" xr:uid="{00000000-0005-0000-0000-000084030000}"/>
    <cellStyle name="20% - Accent1 3 2 5 3" xfId="17600" xr:uid="{00000000-0005-0000-0000-000085030000}"/>
    <cellStyle name="20% - Accent1 3 2 6" xfId="278" xr:uid="{00000000-0005-0000-0000-000086030000}"/>
    <cellStyle name="20% - Accent1 3 2 6 2" xfId="12442" xr:uid="{00000000-0005-0000-0000-000087030000}"/>
    <cellStyle name="20% - Accent1 3 2 6 2 2" xfId="26154" xr:uid="{00000000-0005-0000-0000-000088030000}"/>
    <cellStyle name="20% - Accent1 3 2 6 3" xfId="17601" xr:uid="{00000000-0005-0000-0000-000089030000}"/>
    <cellStyle name="20% - Accent1 3 2 7" xfId="279" xr:uid="{00000000-0005-0000-0000-00008A030000}"/>
    <cellStyle name="20% - Accent1 3 2 7 2" xfId="13601" xr:uid="{00000000-0005-0000-0000-00008B030000}"/>
    <cellStyle name="20% - Accent1 3 2 7 2 2" xfId="27150" xr:uid="{00000000-0005-0000-0000-00008C030000}"/>
    <cellStyle name="20% - Accent1 3 2 7 3" xfId="17602" xr:uid="{00000000-0005-0000-0000-00008D030000}"/>
    <cellStyle name="20% - Accent1 3 2 8" xfId="280" xr:uid="{00000000-0005-0000-0000-00008E030000}"/>
    <cellStyle name="20% - Accent1 3 2 8 2" xfId="14182" xr:uid="{00000000-0005-0000-0000-00008F030000}"/>
    <cellStyle name="20% - Accent1 3 2 8 2 2" xfId="27731" xr:uid="{00000000-0005-0000-0000-000090030000}"/>
    <cellStyle name="20% - Accent1 3 2 8 3" xfId="17603" xr:uid="{00000000-0005-0000-0000-000091030000}"/>
    <cellStyle name="20% - Accent1 3 2 9" xfId="281" xr:uid="{00000000-0005-0000-0000-000092030000}"/>
    <cellStyle name="20% - Accent1 3 2 9 2" xfId="14560" xr:uid="{00000000-0005-0000-0000-000093030000}"/>
    <cellStyle name="20% - Accent1 3 2 9 2 2" xfId="28109" xr:uid="{00000000-0005-0000-0000-000094030000}"/>
    <cellStyle name="20% - Accent1 3 2 9 3" xfId="17604" xr:uid="{00000000-0005-0000-0000-000095030000}"/>
    <cellStyle name="20% - Accent1 3 3" xfId="282" xr:uid="{00000000-0005-0000-0000-000096030000}"/>
    <cellStyle name="20% - Accent1 3 3 10" xfId="8855" xr:uid="{00000000-0005-0000-0000-000097030000}"/>
    <cellStyle name="20% - Accent1 3 3 10 2" xfId="23330" xr:uid="{00000000-0005-0000-0000-000098030000}"/>
    <cellStyle name="20% - Accent1 3 3 11" xfId="17605" xr:uid="{00000000-0005-0000-0000-000099030000}"/>
    <cellStyle name="20% - Accent1 3 3 2" xfId="283" xr:uid="{00000000-0005-0000-0000-00009A030000}"/>
    <cellStyle name="20% - Accent1 3 3 2 2" xfId="284" xr:uid="{00000000-0005-0000-0000-00009B030000}"/>
    <cellStyle name="20% - Accent1 3 3 2 2 2" xfId="10581" xr:uid="{00000000-0005-0000-0000-00009C030000}"/>
    <cellStyle name="20% - Accent1 3 3 2 2 2 2" xfId="24523" xr:uid="{00000000-0005-0000-0000-00009D030000}"/>
    <cellStyle name="20% - Accent1 3 3 2 2 3" xfId="17607" xr:uid="{00000000-0005-0000-0000-00009E030000}"/>
    <cellStyle name="20% - Accent1 3 3 2 3" xfId="285" xr:uid="{00000000-0005-0000-0000-00009F030000}"/>
    <cellStyle name="20% - Accent1 3 3 2 3 2" xfId="12470" xr:uid="{00000000-0005-0000-0000-0000A0030000}"/>
    <cellStyle name="20% - Accent1 3 3 2 3 2 2" xfId="26182" xr:uid="{00000000-0005-0000-0000-0000A1030000}"/>
    <cellStyle name="20% - Accent1 3 3 2 3 3" xfId="17608" xr:uid="{00000000-0005-0000-0000-0000A2030000}"/>
    <cellStyle name="20% - Accent1 3 3 2 4" xfId="286" xr:uid="{00000000-0005-0000-0000-0000A3030000}"/>
    <cellStyle name="20% - Accent1 3 3 2 4 2" xfId="14602" xr:uid="{00000000-0005-0000-0000-0000A4030000}"/>
    <cellStyle name="20% - Accent1 3 3 2 4 2 2" xfId="28151" xr:uid="{00000000-0005-0000-0000-0000A5030000}"/>
    <cellStyle name="20% - Accent1 3 3 2 4 3" xfId="17609" xr:uid="{00000000-0005-0000-0000-0000A6030000}"/>
    <cellStyle name="20% - Accent1 3 3 2 5" xfId="287" xr:uid="{00000000-0005-0000-0000-0000A7030000}"/>
    <cellStyle name="20% - Accent1 3 3 2 5 2" xfId="16795" xr:uid="{00000000-0005-0000-0000-0000A8030000}"/>
    <cellStyle name="20% - Accent1 3 3 2 5 2 2" xfId="30202" xr:uid="{00000000-0005-0000-0000-0000A9030000}"/>
    <cellStyle name="20% - Accent1 3 3 2 5 3" xfId="17610" xr:uid="{00000000-0005-0000-0000-0000AA030000}"/>
    <cellStyle name="20% - Accent1 3 3 2 6" xfId="8856" xr:uid="{00000000-0005-0000-0000-0000AB030000}"/>
    <cellStyle name="20% - Accent1 3 3 2 6 2" xfId="23331" xr:uid="{00000000-0005-0000-0000-0000AC030000}"/>
    <cellStyle name="20% - Accent1 3 3 2 7" xfId="17606" xr:uid="{00000000-0005-0000-0000-0000AD030000}"/>
    <cellStyle name="20% - Accent1 3 3 3" xfId="288" xr:uid="{00000000-0005-0000-0000-0000AE030000}"/>
    <cellStyle name="20% - Accent1 3 3 3 2" xfId="289" xr:uid="{00000000-0005-0000-0000-0000AF030000}"/>
    <cellStyle name="20% - Accent1 3 3 3 2 2" xfId="14603" xr:uid="{00000000-0005-0000-0000-0000B0030000}"/>
    <cellStyle name="20% - Accent1 3 3 3 2 2 2" xfId="28152" xr:uid="{00000000-0005-0000-0000-0000B1030000}"/>
    <cellStyle name="20% - Accent1 3 3 3 2 3" xfId="17612" xr:uid="{00000000-0005-0000-0000-0000B2030000}"/>
    <cellStyle name="20% - Accent1 3 3 3 3" xfId="10580" xr:uid="{00000000-0005-0000-0000-0000B3030000}"/>
    <cellStyle name="20% - Accent1 3 3 3 3 2" xfId="24522" xr:uid="{00000000-0005-0000-0000-0000B4030000}"/>
    <cellStyle name="20% - Accent1 3 3 3 4" xfId="17611" xr:uid="{00000000-0005-0000-0000-0000B5030000}"/>
    <cellStyle name="20% - Accent1 3 3 4" xfId="290" xr:uid="{00000000-0005-0000-0000-0000B6030000}"/>
    <cellStyle name="20% - Accent1 3 3 4 2" xfId="12183" xr:uid="{00000000-0005-0000-0000-0000B7030000}"/>
    <cellStyle name="20% - Accent1 3 3 4 2 2" xfId="25895" xr:uid="{00000000-0005-0000-0000-0000B8030000}"/>
    <cellStyle name="20% - Accent1 3 3 4 3" xfId="17613" xr:uid="{00000000-0005-0000-0000-0000B9030000}"/>
    <cellStyle name="20% - Accent1 3 3 5" xfId="291" xr:uid="{00000000-0005-0000-0000-0000BA030000}"/>
    <cellStyle name="20% - Accent1 3 3 5 2" xfId="12687" xr:uid="{00000000-0005-0000-0000-0000BB030000}"/>
    <cellStyle name="20% - Accent1 3 3 5 2 2" xfId="26399" xr:uid="{00000000-0005-0000-0000-0000BC030000}"/>
    <cellStyle name="20% - Accent1 3 3 5 3" xfId="17614" xr:uid="{00000000-0005-0000-0000-0000BD030000}"/>
    <cellStyle name="20% - Accent1 3 3 6" xfId="292" xr:uid="{00000000-0005-0000-0000-0000BE030000}"/>
    <cellStyle name="20% - Accent1 3 3 6 2" xfId="13747" xr:uid="{00000000-0005-0000-0000-0000BF030000}"/>
    <cellStyle name="20% - Accent1 3 3 6 2 2" xfId="27296" xr:uid="{00000000-0005-0000-0000-0000C0030000}"/>
    <cellStyle name="20% - Accent1 3 3 6 3" xfId="17615" xr:uid="{00000000-0005-0000-0000-0000C1030000}"/>
    <cellStyle name="20% - Accent1 3 3 7" xfId="293" xr:uid="{00000000-0005-0000-0000-0000C2030000}"/>
    <cellStyle name="20% - Accent1 3 3 7 2" xfId="14328" xr:uid="{00000000-0005-0000-0000-0000C3030000}"/>
    <cellStyle name="20% - Accent1 3 3 7 2 2" xfId="27877" xr:uid="{00000000-0005-0000-0000-0000C4030000}"/>
    <cellStyle name="20% - Accent1 3 3 7 3" xfId="17616" xr:uid="{00000000-0005-0000-0000-0000C5030000}"/>
    <cellStyle name="20% - Accent1 3 3 8" xfId="294" xr:uid="{00000000-0005-0000-0000-0000C6030000}"/>
    <cellStyle name="20% - Accent1 3 3 8 2" xfId="14555" xr:uid="{00000000-0005-0000-0000-0000C7030000}"/>
    <cellStyle name="20% - Accent1 3 3 8 2 2" xfId="28104" xr:uid="{00000000-0005-0000-0000-0000C8030000}"/>
    <cellStyle name="20% - Accent1 3 3 8 3" xfId="17617" xr:uid="{00000000-0005-0000-0000-0000C9030000}"/>
    <cellStyle name="20% - Accent1 3 3 9" xfId="295" xr:uid="{00000000-0005-0000-0000-0000CA030000}"/>
    <cellStyle name="20% - Accent1 3 3 9 2" xfId="16214" xr:uid="{00000000-0005-0000-0000-0000CB030000}"/>
    <cellStyle name="20% - Accent1 3 3 9 2 2" xfId="29621" xr:uid="{00000000-0005-0000-0000-0000CC030000}"/>
    <cellStyle name="20% - Accent1 3 3 9 3" xfId="17618" xr:uid="{00000000-0005-0000-0000-0000CD030000}"/>
    <cellStyle name="20% - Accent1 3 4" xfId="296" xr:uid="{00000000-0005-0000-0000-0000CE030000}"/>
    <cellStyle name="20% - Accent1 3 4 2" xfId="297" xr:uid="{00000000-0005-0000-0000-0000CF030000}"/>
    <cellStyle name="20% - Accent1 3 4 2 2" xfId="10582" xr:uid="{00000000-0005-0000-0000-0000D0030000}"/>
    <cellStyle name="20% - Accent1 3 4 2 2 2" xfId="24524" xr:uid="{00000000-0005-0000-0000-0000D1030000}"/>
    <cellStyle name="20% - Accent1 3 4 2 3" xfId="17620" xr:uid="{00000000-0005-0000-0000-0000D2030000}"/>
    <cellStyle name="20% - Accent1 3 4 3" xfId="298" xr:uid="{00000000-0005-0000-0000-0000D3030000}"/>
    <cellStyle name="20% - Accent1 3 4 3 2" xfId="11783" xr:uid="{00000000-0005-0000-0000-0000D4030000}"/>
    <cellStyle name="20% - Accent1 3 4 3 2 2" xfId="25498" xr:uid="{00000000-0005-0000-0000-0000D5030000}"/>
    <cellStyle name="20% - Accent1 3 4 3 3" xfId="17621" xr:uid="{00000000-0005-0000-0000-0000D6030000}"/>
    <cellStyle name="20% - Accent1 3 4 4" xfId="299" xr:uid="{00000000-0005-0000-0000-0000D7030000}"/>
    <cellStyle name="20% - Accent1 3 4 4 2" xfId="14554" xr:uid="{00000000-0005-0000-0000-0000D8030000}"/>
    <cellStyle name="20% - Accent1 3 4 4 2 2" xfId="28103" xr:uid="{00000000-0005-0000-0000-0000D9030000}"/>
    <cellStyle name="20% - Accent1 3 4 4 3" xfId="17622" xr:uid="{00000000-0005-0000-0000-0000DA030000}"/>
    <cellStyle name="20% - Accent1 3 4 5" xfId="300" xr:uid="{00000000-0005-0000-0000-0000DB030000}"/>
    <cellStyle name="20% - Accent1 3 4 5 2" xfId="17142" xr:uid="{00000000-0005-0000-0000-0000DC030000}"/>
    <cellStyle name="20% - Accent1 3 4 5 2 2" xfId="30501" xr:uid="{00000000-0005-0000-0000-0000DD030000}"/>
    <cellStyle name="20% - Accent1 3 4 5 3" xfId="17623" xr:uid="{00000000-0005-0000-0000-0000DE030000}"/>
    <cellStyle name="20% - Accent1 3 4 6" xfId="8857" xr:uid="{00000000-0005-0000-0000-0000DF030000}"/>
    <cellStyle name="20% - Accent1 3 4 6 2" xfId="23332" xr:uid="{00000000-0005-0000-0000-0000E0030000}"/>
    <cellStyle name="20% - Accent1 3 4 7" xfId="17619" xr:uid="{00000000-0005-0000-0000-0000E1030000}"/>
    <cellStyle name="20% - Accent1 3 5" xfId="301" xr:uid="{00000000-0005-0000-0000-0000E2030000}"/>
    <cellStyle name="20% - Accent1 3 5 2" xfId="302" xr:uid="{00000000-0005-0000-0000-0000E3030000}"/>
    <cellStyle name="20% - Accent1 3 5 2 2" xfId="10583" xr:uid="{00000000-0005-0000-0000-0000E4030000}"/>
    <cellStyle name="20% - Accent1 3 5 2 2 2" xfId="24525" xr:uid="{00000000-0005-0000-0000-0000E5030000}"/>
    <cellStyle name="20% - Accent1 3 5 2 3" xfId="17625" xr:uid="{00000000-0005-0000-0000-0000E6030000}"/>
    <cellStyle name="20% - Accent1 3 5 3" xfId="303" xr:uid="{00000000-0005-0000-0000-0000E7030000}"/>
    <cellStyle name="20% - Accent1 3 5 3 2" xfId="12710" xr:uid="{00000000-0005-0000-0000-0000E8030000}"/>
    <cellStyle name="20% - Accent1 3 5 3 2 2" xfId="26422" xr:uid="{00000000-0005-0000-0000-0000E9030000}"/>
    <cellStyle name="20% - Accent1 3 5 3 3" xfId="17626" xr:uid="{00000000-0005-0000-0000-0000EA030000}"/>
    <cellStyle name="20% - Accent1 3 5 4" xfId="304" xr:uid="{00000000-0005-0000-0000-0000EB030000}"/>
    <cellStyle name="20% - Accent1 3 5 4 2" xfId="14553" xr:uid="{00000000-0005-0000-0000-0000EC030000}"/>
    <cellStyle name="20% - Accent1 3 5 4 2 2" xfId="28102" xr:uid="{00000000-0005-0000-0000-0000ED030000}"/>
    <cellStyle name="20% - Accent1 3 5 4 3" xfId="17627" xr:uid="{00000000-0005-0000-0000-0000EE030000}"/>
    <cellStyle name="20% - Accent1 3 5 5" xfId="305" xr:uid="{00000000-0005-0000-0000-0000EF030000}"/>
    <cellStyle name="20% - Accent1 3 5 5 2" xfId="17231" xr:uid="{00000000-0005-0000-0000-0000F0030000}"/>
    <cellStyle name="20% - Accent1 3 5 5 2 2" xfId="30590" xr:uid="{00000000-0005-0000-0000-0000F1030000}"/>
    <cellStyle name="20% - Accent1 3 5 5 3" xfId="17628" xr:uid="{00000000-0005-0000-0000-0000F2030000}"/>
    <cellStyle name="20% - Accent1 3 5 6" xfId="8858" xr:uid="{00000000-0005-0000-0000-0000F3030000}"/>
    <cellStyle name="20% - Accent1 3 5 6 2" xfId="23333" xr:uid="{00000000-0005-0000-0000-0000F4030000}"/>
    <cellStyle name="20% - Accent1 3 5 7" xfId="17624" xr:uid="{00000000-0005-0000-0000-0000F5030000}"/>
    <cellStyle name="20% - Accent1 3 6" xfId="306" xr:uid="{00000000-0005-0000-0000-0000F6030000}"/>
    <cellStyle name="20% - Accent1 3 6 2" xfId="307" xr:uid="{00000000-0005-0000-0000-0000F7030000}"/>
    <cellStyle name="20% - Accent1 3 6 2 2" xfId="14552" xr:uid="{00000000-0005-0000-0000-0000F8030000}"/>
    <cellStyle name="20% - Accent1 3 6 2 2 2" xfId="28101" xr:uid="{00000000-0005-0000-0000-0000F9030000}"/>
    <cellStyle name="20% - Accent1 3 6 2 3" xfId="17630" xr:uid="{00000000-0005-0000-0000-0000FA030000}"/>
    <cellStyle name="20% - Accent1 3 6 3" xfId="308" xr:uid="{00000000-0005-0000-0000-0000FB030000}"/>
    <cellStyle name="20% - Accent1 3 6 3 2" xfId="16506" xr:uid="{00000000-0005-0000-0000-0000FC030000}"/>
    <cellStyle name="20% - Accent1 3 6 3 2 2" xfId="29913" xr:uid="{00000000-0005-0000-0000-0000FD030000}"/>
    <cellStyle name="20% - Accent1 3 6 3 3" xfId="17631" xr:uid="{00000000-0005-0000-0000-0000FE030000}"/>
    <cellStyle name="20% - Accent1 3 6 4" xfId="10575" xr:uid="{00000000-0005-0000-0000-0000FF030000}"/>
    <cellStyle name="20% - Accent1 3 6 4 2" xfId="24517" xr:uid="{00000000-0005-0000-0000-000000040000}"/>
    <cellStyle name="20% - Accent1 3 6 5" xfId="17629" xr:uid="{00000000-0005-0000-0000-000001040000}"/>
    <cellStyle name="20% - Accent1 3 7" xfId="309" xr:uid="{00000000-0005-0000-0000-000002040000}"/>
    <cellStyle name="20% - Accent1 3 7 2" xfId="11878" xr:uid="{00000000-0005-0000-0000-000003040000}"/>
    <cellStyle name="20% - Accent1 3 7 2 2" xfId="25593" xr:uid="{00000000-0005-0000-0000-000004040000}"/>
    <cellStyle name="20% - Accent1 3 7 3" xfId="17632" xr:uid="{00000000-0005-0000-0000-000005040000}"/>
    <cellStyle name="20% - Accent1 3 8" xfId="310" xr:uid="{00000000-0005-0000-0000-000006040000}"/>
    <cellStyle name="20% - Accent1 3 8 2" xfId="12569" xr:uid="{00000000-0005-0000-0000-000007040000}"/>
    <cellStyle name="20% - Accent1 3 8 2 2" xfId="26281" xr:uid="{00000000-0005-0000-0000-000008040000}"/>
    <cellStyle name="20% - Accent1 3 8 3" xfId="17633" xr:uid="{00000000-0005-0000-0000-000009040000}"/>
    <cellStyle name="20% - Accent1 3 9" xfId="311" xr:uid="{00000000-0005-0000-0000-00000A040000}"/>
    <cellStyle name="20% - Accent1 3 9 2" xfId="13458" xr:uid="{00000000-0005-0000-0000-00000B040000}"/>
    <cellStyle name="20% - Accent1 3 9 2 2" xfId="27007" xr:uid="{00000000-0005-0000-0000-00000C040000}"/>
    <cellStyle name="20% - Accent1 3 9 3" xfId="17634" xr:uid="{00000000-0005-0000-0000-00000D040000}"/>
    <cellStyle name="20% - Accent1 30" xfId="23246" xr:uid="{00000000-0005-0000-0000-00000E040000}"/>
    <cellStyle name="20% - Accent1 4" xfId="312" xr:uid="{00000000-0005-0000-0000-00000F040000}"/>
    <cellStyle name="20% - Accent1 4 10" xfId="313" xr:uid="{00000000-0005-0000-0000-000010040000}"/>
    <cellStyle name="20% - Accent1 4 10 2" xfId="14551" xr:uid="{00000000-0005-0000-0000-000011040000}"/>
    <cellStyle name="20% - Accent1 4 10 2 2" xfId="28100" xr:uid="{00000000-0005-0000-0000-000012040000}"/>
    <cellStyle name="20% - Accent1 4 10 3" xfId="17636" xr:uid="{00000000-0005-0000-0000-000013040000}"/>
    <cellStyle name="20% - Accent1 4 11" xfId="314" xr:uid="{00000000-0005-0000-0000-000014040000}"/>
    <cellStyle name="20% - Accent1 4 11 2" xfId="15879" xr:uid="{00000000-0005-0000-0000-000015040000}"/>
    <cellStyle name="20% - Accent1 4 11 2 2" xfId="29286" xr:uid="{00000000-0005-0000-0000-000016040000}"/>
    <cellStyle name="20% - Accent1 4 11 3" xfId="17637" xr:uid="{00000000-0005-0000-0000-000017040000}"/>
    <cellStyle name="20% - Accent1 4 12" xfId="8859" xr:uid="{00000000-0005-0000-0000-000018040000}"/>
    <cellStyle name="20% - Accent1 4 12 2" xfId="23334" xr:uid="{00000000-0005-0000-0000-000019040000}"/>
    <cellStyle name="20% - Accent1 4 13" xfId="17635" xr:uid="{00000000-0005-0000-0000-00001A040000}"/>
    <cellStyle name="20% - Accent1 4 2" xfId="315" xr:uid="{00000000-0005-0000-0000-00001B040000}"/>
    <cellStyle name="20% - Accent1 4 2 10" xfId="316" xr:uid="{00000000-0005-0000-0000-00001C040000}"/>
    <cellStyle name="20% - Accent1 4 2 10 2" xfId="16022" xr:uid="{00000000-0005-0000-0000-00001D040000}"/>
    <cellStyle name="20% - Accent1 4 2 10 2 2" xfId="29429" xr:uid="{00000000-0005-0000-0000-00001E040000}"/>
    <cellStyle name="20% - Accent1 4 2 10 3" xfId="17639" xr:uid="{00000000-0005-0000-0000-00001F040000}"/>
    <cellStyle name="20% - Accent1 4 2 11" xfId="8860" xr:uid="{00000000-0005-0000-0000-000020040000}"/>
    <cellStyle name="20% - Accent1 4 2 11 2" xfId="23335" xr:uid="{00000000-0005-0000-0000-000021040000}"/>
    <cellStyle name="20% - Accent1 4 2 12" xfId="17638" xr:uid="{00000000-0005-0000-0000-000022040000}"/>
    <cellStyle name="20% - Accent1 4 2 2" xfId="317" xr:uid="{00000000-0005-0000-0000-000023040000}"/>
    <cellStyle name="20% - Accent1 4 2 2 10" xfId="8861" xr:uid="{00000000-0005-0000-0000-000024040000}"/>
    <cellStyle name="20% - Accent1 4 2 2 10 2" xfId="23336" xr:uid="{00000000-0005-0000-0000-000025040000}"/>
    <cellStyle name="20% - Accent1 4 2 2 11" xfId="17640" xr:uid="{00000000-0005-0000-0000-000026040000}"/>
    <cellStyle name="20% - Accent1 4 2 2 2" xfId="318" xr:uid="{00000000-0005-0000-0000-000027040000}"/>
    <cellStyle name="20% - Accent1 4 2 2 2 2" xfId="319" xr:uid="{00000000-0005-0000-0000-000028040000}"/>
    <cellStyle name="20% - Accent1 4 2 2 2 2 2" xfId="10587" xr:uid="{00000000-0005-0000-0000-000029040000}"/>
    <cellStyle name="20% - Accent1 4 2 2 2 2 2 2" xfId="24529" xr:uid="{00000000-0005-0000-0000-00002A040000}"/>
    <cellStyle name="20% - Accent1 4 2 2 2 2 3" xfId="17642" xr:uid="{00000000-0005-0000-0000-00002B040000}"/>
    <cellStyle name="20% - Accent1 4 2 2 2 3" xfId="320" xr:uid="{00000000-0005-0000-0000-00002C040000}"/>
    <cellStyle name="20% - Accent1 4 2 2 2 3 2" xfId="12403" xr:uid="{00000000-0005-0000-0000-00002D040000}"/>
    <cellStyle name="20% - Accent1 4 2 2 2 3 2 2" xfId="26115" xr:uid="{00000000-0005-0000-0000-00002E040000}"/>
    <cellStyle name="20% - Accent1 4 2 2 2 3 3" xfId="17643" xr:uid="{00000000-0005-0000-0000-00002F040000}"/>
    <cellStyle name="20% - Accent1 4 2 2 2 4" xfId="321" xr:uid="{00000000-0005-0000-0000-000030040000}"/>
    <cellStyle name="20% - Accent1 4 2 2 2 4 2" xfId="14548" xr:uid="{00000000-0005-0000-0000-000031040000}"/>
    <cellStyle name="20% - Accent1 4 2 2 2 4 2 2" xfId="28097" xr:uid="{00000000-0005-0000-0000-000032040000}"/>
    <cellStyle name="20% - Accent1 4 2 2 2 4 3" xfId="17644" xr:uid="{00000000-0005-0000-0000-000033040000}"/>
    <cellStyle name="20% - Accent1 4 2 2 2 5" xfId="322" xr:uid="{00000000-0005-0000-0000-000034040000}"/>
    <cellStyle name="20% - Accent1 4 2 2 2 5 2" xfId="16892" xr:uid="{00000000-0005-0000-0000-000035040000}"/>
    <cellStyle name="20% - Accent1 4 2 2 2 5 2 2" xfId="30299" xr:uid="{00000000-0005-0000-0000-000036040000}"/>
    <cellStyle name="20% - Accent1 4 2 2 2 5 3" xfId="17645" xr:uid="{00000000-0005-0000-0000-000037040000}"/>
    <cellStyle name="20% - Accent1 4 2 2 2 6" xfId="8862" xr:uid="{00000000-0005-0000-0000-000038040000}"/>
    <cellStyle name="20% - Accent1 4 2 2 2 6 2" xfId="23337" xr:uid="{00000000-0005-0000-0000-000039040000}"/>
    <cellStyle name="20% - Accent1 4 2 2 2 7" xfId="17641" xr:uid="{00000000-0005-0000-0000-00003A040000}"/>
    <cellStyle name="20% - Accent1 4 2 2 3" xfId="323" xr:uid="{00000000-0005-0000-0000-00003B040000}"/>
    <cellStyle name="20% - Accent1 4 2 2 3 2" xfId="324" xr:uid="{00000000-0005-0000-0000-00003C040000}"/>
    <cellStyle name="20% - Accent1 4 2 2 3 2 2" xfId="14547" xr:uid="{00000000-0005-0000-0000-00003D040000}"/>
    <cellStyle name="20% - Accent1 4 2 2 3 2 2 2" xfId="28096" xr:uid="{00000000-0005-0000-0000-00003E040000}"/>
    <cellStyle name="20% - Accent1 4 2 2 3 2 3" xfId="17647" xr:uid="{00000000-0005-0000-0000-00003F040000}"/>
    <cellStyle name="20% - Accent1 4 2 2 3 3" xfId="10586" xr:uid="{00000000-0005-0000-0000-000040040000}"/>
    <cellStyle name="20% - Accent1 4 2 2 3 3 2" xfId="24528" xr:uid="{00000000-0005-0000-0000-000041040000}"/>
    <cellStyle name="20% - Accent1 4 2 2 3 4" xfId="17646" xr:uid="{00000000-0005-0000-0000-000042040000}"/>
    <cellStyle name="20% - Accent1 4 2 2 4" xfId="325" xr:uid="{00000000-0005-0000-0000-000043040000}"/>
    <cellStyle name="20% - Accent1 4 2 2 4 2" xfId="12280" xr:uid="{00000000-0005-0000-0000-000044040000}"/>
    <cellStyle name="20% - Accent1 4 2 2 4 2 2" xfId="25992" xr:uid="{00000000-0005-0000-0000-000045040000}"/>
    <cellStyle name="20% - Accent1 4 2 2 4 3" xfId="17648" xr:uid="{00000000-0005-0000-0000-000046040000}"/>
    <cellStyle name="20% - Accent1 4 2 2 5" xfId="326" xr:uid="{00000000-0005-0000-0000-000047040000}"/>
    <cellStyle name="20% - Accent1 4 2 2 5 2" xfId="12721" xr:uid="{00000000-0005-0000-0000-000048040000}"/>
    <cellStyle name="20% - Accent1 4 2 2 5 2 2" xfId="26433" xr:uid="{00000000-0005-0000-0000-000049040000}"/>
    <cellStyle name="20% - Accent1 4 2 2 5 3" xfId="17649" xr:uid="{00000000-0005-0000-0000-00004A040000}"/>
    <cellStyle name="20% - Accent1 4 2 2 6" xfId="327" xr:uid="{00000000-0005-0000-0000-00004B040000}"/>
    <cellStyle name="20% - Accent1 4 2 2 6 2" xfId="13844" xr:uid="{00000000-0005-0000-0000-00004C040000}"/>
    <cellStyle name="20% - Accent1 4 2 2 6 2 2" xfId="27393" xr:uid="{00000000-0005-0000-0000-00004D040000}"/>
    <cellStyle name="20% - Accent1 4 2 2 6 3" xfId="17650" xr:uid="{00000000-0005-0000-0000-00004E040000}"/>
    <cellStyle name="20% - Accent1 4 2 2 7" xfId="328" xr:uid="{00000000-0005-0000-0000-00004F040000}"/>
    <cellStyle name="20% - Accent1 4 2 2 7 2" xfId="14425" xr:uid="{00000000-0005-0000-0000-000050040000}"/>
    <cellStyle name="20% - Accent1 4 2 2 7 2 2" xfId="27974" xr:uid="{00000000-0005-0000-0000-000051040000}"/>
    <cellStyle name="20% - Accent1 4 2 2 7 3" xfId="17651" xr:uid="{00000000-0005-0000-0000-000052040000}"/>
    <cellStyle name="20% - Accent1 4 2 2 8" xfId="329" xr:uid="{00000000-0005-0000-0000-000053040000}"/>
    <cellStyle name="20% - Accent1 4 2 2 8 2" xfId="14549" xr:uid="{00000000-0005-0000-0000-000054040000}"/>
    <cellStyle name="20% - Accent1 4 2 2 8 2 2" xfId="28098" xr:uid="{00000000-0005-0000-0000-000055040000}"/>
    <cellStyle name="20% - Accent1 4 2 2 8 3" xfId="17652" xr:uid="{00000000-0005-0000-0000-000056040000}"/>
    <cellStyle name="20% - Accent1 4 2 2 9" xfId="330" xr:uid="{00000000-0005-0000-0000-000057040000}"/>
    <cellStyle name="20% - Accent1 4 2 2 9 2" xfId="16311" xr:uid="{00000000-0005-0000-0000-000058040000}"/>
    <cellStyle name="20% - Accent1 4 2 2 9 2 2" xfId="29718" xr:uid="{00000000-0005-0000-0000-000059040000}"/>
    <cellStyle name="20% - Accent1 4 2 2 9 3" xfId="17653" xr:uid="{00000000-0005-0000-0000-00005A040000}"/>
    <cellStyle name="20% - Accent1 4 2 3" xfId="331" xr:uid="{00000000-0005-0000-0000-00005B040000}"/>
    <cellStyle name="20% - Accent1 4 2 3 2" xfId="332" xr:uid="{00000000-0005-0000-0000-00005C040000}"/>
    <cellStyle name="20% - Accent1 4 2 3 2 2" xfId="10588" xr:uid="{00000000-0005-0000-0000-00005D040000}"/>
    <cellStyle name="20% - Accent1 4 2 3 2 2 2" xfId="24530" xr:uid="{00000000-0005-0000-0000-00005E040000}"/>
    <cellStyle name="20% - Accent1 4 2 3 2 3" xfId="17655" xr:uid="{00000000-0005-0000-0000-00005F040000}"/>
    <cellStyle name="20% - Accent1 4 2 3 3" xfId="333" xr:uid="{00000000-0005-0000-0000-000060040000}"/>
    <cellStyle name="20% - Accent1 4 2 3 3 2" xfId="12699" xr:uid="{00000000-0005-0000-0000-000061040000}"/>
    <cellStyle name="20% - Accent1 4 2 3 3 2 2" xfId="26411" xr:uid="{00000000-0005-0000-0000-000062040000}"/>
    <cellStyle name="20% - Accent1 4 2 3 3 3" xfId="17656" xr:uid="{00000000-0005-0000-0000-000063040000}"/>
    <cellStyle name="20% - Accent1 4 2 3 4" xfId="334" xr:uid="{00000000-0005-0000-0000-000064040000}"/>
    <cellStyle name="20% - Accent1 4 2 3 4 2" xfId="14546" xr:uid="{00000000-0005-0000-0000-000065040000}"/>
    <cellStyle name="20% - Accent1 4 2 3 4 2 2" xfId="28095" xr:uid="{00000000-0005-0000-0000-000066040000}"/>
    <cellStyle name="20% - Accent1 4 2 3 4 3" xfId="17657" xr:uid="{00000000-0005-0000-0000-000067040000}"/>
    <cellStyle name="20% - Accent1 4 2 3 5" xfId="335" xr:uid="{00000000-0005-0000-0000-000068040000}"/>
    <cellStyle name="20% - Accent1 4 2 3 5 2" xfId="16603" xr:uid="{00000000-0005-0000-0000-000069040000}"/>
    <cellStyle name="20% - Accent1 4 2 3 5 2 2" xfId="30010" xr:uid="{00000000-0005-0000-0000-00006A040000}"/>
    <cellStyle name="20% - Accent1 4 2 3 5 3" xfId="17658" xr:uid="{00000000-0005-0000-0000-00006B040000}"/>
    <cellStyle name="20% - Accent1 4 2 3 6" xfId="8863" xr:uid="{00000000-0005-0000-0000-00006C040000}"/>
    <cellStyle name="20% - Accent1 4 2 3 6 2" xfId="23338" xr:uid="{00000000-0005-0000-0000-00006D040000}"/>
    <cellStyle name="20% - Accent1 4 2 3 7" xfId="17654" xr:uid="{00000000-0005-0000-0000-00006E040000}"/>
    <cellStyle name="20% - Accent1 4 2 4" xfId="336" xr:uid="{00000000-0005-0000-0000-00006F040000}"/>
    <cellStyle name="20% - Accent1 4 2 4 2" xfId="337" xr:uid="{00000000-0005-0000-0000-000070040000}"/>
    <cellStyle name="20% - Accent1 4 2 4 2 2" xfId="14545" xr:uid="{00000000-0005-0000-0000-000071040000}"/>
    <cellStyle name="20% - Accent1 4 2 4 2 2 2" xfId="28094" xr:uid="{00000000-0005-0000-0000-000072040000}"/>
    <cellStyle name="20% - Accent1 4 2 4 2 3" xfId="17660" xr:uid="{00000000-0005-0000-0000-000073040000}"/>
    <cellStyle name="20% - Accent1 4 2 4 3" xfId="10585" xr:uid="{00000000-0005-0000-0000-000074040000}"/>
    <cellStyle name="20% - Accent1 4 2 4 3 2" xfId="24527" xr:uid="{00000000-0005-0000-0000-000075040000}"/>
    <cellStyle name="20% - Accent1 4 2 4 4" xfId="17659" xr:uid="{00000000-0005-0000-0000-000076040000}"/>
    <cellStyle name="20% - Accent1 4 2 5" xfId="338" xr:uid="{00000000-0005-0000-0000-000077040000}"/>
    <cellStyle name="20% - Accent1 4 2 5 2" xfId="11980" xr:uid="{00000000-0005-0000-0000-000078040000}"/>
    <cellStyle name="20% - Accent1 4 2 5 2 2" xfId="25695" xr:uid="{00000000-0005-0000-0000-000079040000}"/>
    <cellStyle name="20% - Accent1 4 2 5 3" xfId="17661" xr:uid="{00000000-0005-0000-0000-00007A040000}"/>
    <cellStyle name="20% - Accent1 4 2 6" xfId="339" xr:uid="{00000000-0005-0000-0000-00007B040000}"/>
    <cellStyle name="20% - Accent1 4 2 6 2" xfId="12620" xr:uid="{00000000-0005-0000-0000-00007C040000}"/>
    <cellStyle name="20% - Accent1 4 2 6 2 2" xfId="26332" xr:uid="{00000000-0005-0000-0000-00007D040000}"/>
    <cellStyle name="20% - Accent1 4 2 6 3" xfId="17662" xr:uid="{00000000-0005-0000-0000-00007E040000}"/>
    <cellStyle name="20% - Accent1 4 2 7" xfId="340" xr:uid="{00000000-0005-0000-0000-00007F040000}"/>
    <cellStyle name="20% - Accent1 4 2 7 2" xfId="13555" xr:uid="{00000000-0005-0000-0000-000080040000}"/>
    <cellStyle name="20% - Accent1 4 2 7 2 2" xfId="27104" xr:uid="{00000000-0005-0000-0000-000081040000}"/>
    <cellStyle name="20% - Accent1 4 2 7 3" xfId="17663" xr:uid="{00000000-0005-0000-0000-000082040000}"/>
    <cellStyle name="20% - Accent1 4 2 8" xfId="341" xr:uid="{00000000-0005-0000-0000-000083040000}"/>
    <cellStyle name="20% - Accent1 4 2 8 2" xfId="14136" xr:uid="{00000000-0005-0000-0000-000084040000}"/>
    <cellStyle name="20% - Accent1 4 2 8 2 2" xfId="27685" xr:uid="{00000000-0005-0000-0000-000085040000}"/>
    <cellStyle name="20% - Accent1 4 2 8 3" xfId="17664" xr:uid="{00000000-0005-0000-0000-000086040000}"/>
    <cellStyle name="20% - Accent1 4 2 9" xfId="342" xr:uid="{00000000-0005-0000-0000-000087040000}"/>
    <cellStyle name="20% - Accent1 4 2 9 2" xfId="14550" xr:uid="{00000000-0005-0000-0000-000088040000}"/>
    <cellStyle name="20% - Accent1 4 2 9 2 2" xfId="28099" xr:uid="{00000000-0005-0000-0000-000089040000}"/>
    <cellStyle name="20% - Accent1 4 2 9 3" xfId="17665" xr:uid="{00000000-0005-0000-0000-00008A040000}"/>
    <cellStyle name="20% - Accent1 4 3" xfId="343" xr:uid="{00000000-0005-0000-0000-00008B040000}"/>
    <cellStyle name="20% - Accent1 4 3 10" xfId="8864" xr:uid="{00000000-0005-0000-0000-00008C040000}"/>
    <cellStyle name="20% - Accent1 4 3 10 2" xfId="23339" xr:uid="{00000000-0005-0000-0000-00008D040000}"/>
    <cellStyle name="20% - Accent1 4 3 11" xfId="17666" xr:uid="{00000000-0005-0000-0000-00008E040000}"/>
    <cellStyle name="20% - Accent1 4 3 2" xfId="344" xr:uid="{00000000-0005-0000-0000-00008F040000}"/>
    <cellStyle name="20% - Accent1 4 3 2 2" xfId="345" xr:uid="{00000000-0005-0000-0000-000090040000}"/>
    <cellStyle name="20% - Accent1 4 3 2 2 2" xfId="10590" xr:uid="{00000000-0005-0000-0000-000091040000}"/>
    <cellStyle name="20% - Accent1 4 3 2 2 2 2" xfId="24532" xr:uid="{00000000-0005-0000-0000-000092040000}"/>
    <cellStyle name="20% - Accent1 4 3 2 2 3" xfId="17668" xr:uid="{00000000-0005-0000-0000-000093040000}"/>
    <cellStyle name="20% - Accent1 4 3 2 3" xfId="346" xr:uid="{00000000-0005-0000-0000-000094040000}"/>
    <cellStyle name="20% - Accent1 4 3 2 3 2" xfId="12570" xr:uid="{00000000-0005-0000-0000-000095040000}"/>
    <cellStyle name="20% - Accent1 4 3 2 3 2 2" xfId="26282" xr:uid="{00000000-0005-0000-0000-000096040000}"/>
    <cellStyle name="20% - Accent1 4 3 2 3 3" xfId="17669" xr:uid="{00000000-0005-0000-0000-000097040000}"/>
    <cellStyle name="20% - Accent1 4 3 2 4" xfId="347" xr:uid="{00000000-0005-0000-0000-000098040000}"/>
    <cellStyle name="20% - Accent1 4 3 2 4 2" xfId="14543" xr:uid="{00000000-0005-0000-0000-000099040000}"/>
    <cellStyle name="20% - Accent1 4 3 2 4 2 2" xfId="28092" xr:uid="{00000000-0005-0000-0000-00009A040000}"/>
    <cellStyle name="20% - Accent1 4 3 2 4 3" xfId="17670" xr:uid="{00000000-0005-0000-0000-00009B040000}"/>
    <cellStyle name="20% - Accent1 4 3 2 5" xfId="348" xr:uid="{00000000-0005-0000-0000-00009C040000}"/>
    <cellStyle name="20% - Accent1 4 3 2 5 2" xfId="16752" xr:uid="{00000000-0005-0000-0000-00009D040000}"/>
    <cellStyle name="20% - Accent1 4 3 2 5 2 2" xfId="30159" xr:uid="{00000000-0005-0000-0000-00009E040000}"/>
    <cellStyle name="20% - Accent1 4 3 2 5 3" xfId="17671" xr:uid="{00000000-0005-0000-0000-00009F040000}"/>
    <cellStyle name="20% - Accent1 4 3 2 6" xfId="8865" xr:uid="{00000000-0005-0000-0000-0000A0040000}"/>
    <cellStyle name="20% - Accent1 4 3 2 6 2" xfId="23340" xr:uid="{00000000-0005-0000-0000-0000A1040000}"/>
    <cellStyle name="20% - Accent1 4 3 2 7" xfId="17667" xr:uid="{00000000-0005-0000-0000-0000A2040000}"/>
    <cellStyle name="20% - Accent1 4 3 3" xfId="349" xr:uid="{00000000-0005-0000-0000-0000A3040000}"/>
    <cellStyle name="20% - Accent1 4 3 3 2" xfId="350" xr:uid="{00000000-0005-0000-0000-0000A4040000}"/>
    <cellStyle name="20% - Accent1 4 3 3 2 2" xfId="14542" xr:uid="{00000000-0005-0000-0000-0000A5040000}"/>
    <cellStyle name="20% - Accent1 4 3 3 2 2 2" xfId="28091" xr:uid="{00000000-0005-0000-0000-0000A6040000}"/>
    <cellStyle name="20% - Accent1 4 3 3 2 3" xfId="17673" xr:uid="{00000000-0005-0000-0000-0000A7040000}"/>
    <cellStyle name="20% - Accent1 4 3 3 3" xfId="10589" xr:uid="{00000000-0005-0000-0000-0000A8040000}"/>
    <cellStyle name="20% - Accent1 4 3 3 3 2" xfId="24531" xr:uid="{00000000-0005-0000-0000-0000A9040000}"/>
    <cellStyle name="20% - Accent1 4 3 3 4" xfId="17672" xr:uid="{00000000-0005-0000-0000-0000AA040000}"/>
    <cellStyle name="20% - Accent1 4 3 4" xfId="351" xr:uid="{00000000-0005-0000-0000-0000AB040000}"/>
    <cellStyle name="20% - Accent1 4 3 4 2" xfId="12140" xr:uid="{00000000-0005-0000-0000-0000AC040000}"/>
    <cellStyle name="20% - Accent1 4 3 4 2 2" xfId="25852" xr:uid="{00000000-0005-0000-0000-0000AD040000}"/>
    <cellStyle name="20% - Accent1 4 3 4 3" xfId="17674" xr:uid="{00000000-0005-0000-0000-0000AE040000}"/>
    <cellStyle name="20% - Accent1 4 3 5" xfId="352" xr:uid="{00000000-0005-0000-0000-0000AF040000}"/>
    <cellStyle name="20% - Accent1 4 3 5 2" xfId="12720" xr:uid="{00000000-0005-0000-0000-0000B0040000}"/>
    <cellStyle name="20% - Accent1 4 3 5 2 2" xfId="26432" xr:uid="{00000000-0005-0000-0000-0000B1040000}"/>
    <cellStyle name="20% - Accent1 4 3 5 3" xfId="17675" xr:uid="{00000000-0005-0000-0000-0000B2040000}"/>
    <cellStyle name="20% - Accent1 4 3 6" xfId="353" xr:uid="{00000000-0005-0000-0000-0000B3040000}"/>
    <cellStyle name="20% - Accent1 4 3 6 2" xfId="13704" xr:uid="{00000000-0005-0000-0000-0000B4040000}"/>
    <cellStyle name="20% - Accent1 4 3 6 2 2" xfId="27253" xr:uid="{00000000-0005-0000-0000-0000B5040000}"/>
    <cellStyle name="20% - Accent1 4 3 6 3" xfId="17676" xr:uid="{00000000-0005-0000-0000-0000B6040000}"/>
    <cellStyle name="20% - Accent1 4 3 7" xfId="354" xr:uid="{00000000-0005-0000-0000-0000B7040000}"/>
    <cellStyle name="20% - Accent1 4 3 7 2" xfId="14285" xr:uid="{00000000-0005-0000-0000-0000B8040000}"/>
    <cellStyle name="20% - Accent1 4 3 7 2 2" xfId="27834" xr:uid="{00000000-0005-0000-0000-0000B9040000}"/>
    <cellStyle name="20% - Accent1 4 3 7 3" xfId="17677" xr:uid="{00000000-0005-0000-0000-0000BA040000}"/>
    <cellStyle name="20% - Accent1 4 3 8" xfId="355" xr:uid="{00000000-0005-0000-0000-0000BB040000}"/>
    <cellStyle name="20% - Accent1 4 3 8 2" xfId="14544" xr:uid="{00000000-0005-0000-0000-0000BC040000}"/>
    <cellStyle name="20% - Accent1 4 3 8 2 2" xfId="28093" xr:uid="{00000000-0005-0000-0000-0000BD040000}"/>
    <cellStyle name="20% - Accent1 4 3 8 3" xfId="17678" xr:uid="{00000000-0005-0000-0000-0000BE040000}"/>
    <cellStyle name="20% - Accent1 4 3 9" xfId="356" xr:uid="{00000000-0005-0000-0000-0000BF040000}"/>
    <cellStyle name="20% - Accent1 4 3 9 2" xfId="16171" xr:uid="{00000000-0005-0000-0000-0000C0040000}"/>
    <cellStyle name="20% - Accent1 4 3 9 2 2" xfId="29578" xr:uid="{00000000-0005-0000-0000-0000C1040000}"/>
    <cellStyle name="20% - Accent1 4 3 9 3" xfId="17679" xr:uid="{00000000-0005-0000-0000-0000C2040000}"/>
    <cellStyle name="20% - Accent1 4 4" xfId="357" xr:uid="{00000000-0005-0000-0000-0000C3040000}"/>
    <cellStyle name="20% - Accent1 4 4 2" xfId="358" xr:uid="{00000000-0005-0000-0000-0000C4040000}"/>
    <cellStyle name="20% - Accent1 4 4 2 2" xfId="10591" xr:uid="{00000000-0005-0000-0000-0000C5040000}"/>
    <cellStyle name="20% - Accent1 4 4 2 2 2" xfId="24533" xr:uid="{00000000-0005-0000-0000-0000C6040000}"/>
    <cellStyle name="20% - Accent1 4 4 2 3" xfId="17681" xr:uid="{00000000-0005-0000-0000-0000C7040000}"/>
    <cellStyle name="20% - Accent1 4 4 3" xfId="359" xr:uid="{00000000-0005-0000-0000-0000C8040000}"/>
    <cellStyle name="20% - Accent1 4 4 3 2" xfId="12698" xr:uid="{00000000-0005-0000-0000-0000C9040000}"/>
    <cellStyle name="20% - Accent1 4 4 3 2 2" xfId="26410" xr:uid="{00000000-0005-0000-0000-0000CA040000}"/>
    <cellStyle name="20% - Accent1 4 4 3 3" xfId="17682" xr:uid="{00000000-0005-0000-0000-0000CB040000}"/>
    <cellStyle name="20% - Accent1 4 4 4" xfId="360" xr:uid="{00000000-0005-0000-0000-0000CC040000}"/>
    <cellStyle name="20% - Accent1 4 4 4 2" xfId="14541" xr:uid="{00000000-0005-0000-0000-0000CD040000}"/>
    <cellStyle name="20% - Accent1 4 4 4 2 2" xfId="28090" xr:uid="{00000000-0005-0000-0000-0000CE040000}"/>
    <cellStyle name="20% - Accent1 4 4 4 3" xfId="17683" xr:uid="{00000000-0005-0000-0000-0000CF040000}"/>
    <cellStyle name="20% - Accent1 4 4 5" xfId="361" xr:uid="{00000000-0005-0000-0000-0000D0040000}"/>
    <cellStyle name="20% - Accent1 4 4 5 2" xfId="16460" xr:uid="{00000000-0005-0000-0000-0000D1040000}"/>
    <cellStyle name="20% - Accent1 4 4 5 2 2" xfId="29867" xr:uid="{00000000-0005-0000-0000-0000D2040000}"/>
    <cellStyle name="20% - Accent1 4 4 5 3" xfId="17684" xr:uid="{00000000-0005-0000-0000-0000D3040000}"/>
    <cellStyle name="20% - Accent1 4 4 6" xfId="8866" xr:uid="{00000000-0005-0000-0000-0000D4040000}"/>
    <cellStyle name="20% - Accent1 4 4 6 2" xfId="23341" xr:uid="{00000000-0005-0000-0000-0000D5040000}"/>
    <cellStyle name="20% - Accent1 4 4 7" xfId="17680" xr:uid="{00000000-0005-0000-0000-0000D6040000}"/>
    <cellStyle name="20% - Accent1 4 5" xfId="362" xr:uid="{00000000-0005-0000-0000-0000D7040000}"/>
    <cellStyle name="20% - Accent1 4 5 2" xfId="363" xr:uid="{00000000-0005-0000-0000-0000D8040000}"/>
    <cellStyle name="20% - Accent1 4 5 2 2" xfId="14604" xr:uid="{00000000-0005-0000-0000-0000D9040000}"/>
    <cellStyle name="20% - Accent1 4 5 2 2 2" xfId="28153" xr:uid="{00000000-0005-0000-0000-0000DA040000}"/>
    <cellStyle name="20% - Accent1 4 5 2 3" xfId="17686" xr:uid="{00000000-0005-0000-0000-0000DB040000}"/>
    <cellStyle name="20% - Accent1 4 5 3" xfId="10584" xr:uid="{00000000-0005-0000-0000-0000DC040000}"/>
    <cellStyle name="20% - Accent1 4 5 3 2" xfId="24526" xr:uid="{00000000-0005-0000-0000-0000DD040000}"/>
    <cellStyle name="20% - Accent1 4 5 4" xfId="17685" xr:uid="{00000000-0005-0000-0000-0000DE040000}"/>
    <cellStyle name="20% - Accent1 4 6" xfId="364" xr:uid="{00000000-0005-0000-0000-0000DF040000}"/>
    <cellStyle name="20% - Accent1 4 6 2" xfId="11811" xr:uid="{00000000-0005-0000-0000-0000E0040000}"/>
    <cellStyle name="20% - Accent1 4 6 2 2" xfId="25526" xr:uid="{00000000-0005-0000-0000-0000E1040000}"/>
    <cellStyle name="20% - Accent1 4 6 3" xfId="17687" xr:uid="{00000000-0005-0000-0000-0000E2040000}"/>
    <cellStyle name="20% - Accent1 4 7" xfId="365" xr:uid="{00000000-0005-0000-0000-0000E3040000}"/>
    <cellStyle name="20% - Accent1 4 7 2" xfId="12716" xr:uid="{00000000-0005-0000-0000-0000E4040000}"/>
    <cellStyle name="20% - Accent1 4 7 2 2" xfId="26428" xr:uid="{00000000-0005-0000-0000-0000E5040000}"/>
    <cellStyle name="20% - Accent1 4 7 3" xfId="17688" xr:uid="{00000000-0005-0000-0000-0000E6040000}"/>
    <cellStyle name="20% - Accent1 4 8" xfId="366" xr:uid="{00000000-0005-0000-0000-0000E7040000}"/>
    <cellStyle name="20% - Accent1 4 8 2" xfId="13412" xr:uid="{00000000-0005-0000-0000-0000E8040000}"/>
    <cellStyle name="20% - Accent1 4 8 2 2" xfId="26961" xr:uid="{00000000-0005-0000-0000-0000E9040000}"/>
    <cellStyle name="20% - Accent1 4 8 3" xfId="17689" xr:uid="{00000000-0005-0000-0000-0000EA040000}"/>
    <cellStyle name="20% - Accent1 4 9" xfId="367" xr:uid="{00000000-0005-0000-0000-0000EB040000}"/>
    <cellStyle name="20% - Accent1 4 9 2" xfId="13993" xr:uid="{00000000-0005-0000-0000-0000EC040000}"/>
    <cellStyle name="20% - Accent1 4 9 2 2" xfId="27542" xr:uid="{00000000-0005-0000-0000-0000ED040000}"/>
    <cellStyle name="20% - Accent1 4 9 3" xfId="17690" xr:uid="{00000000-0005-0000-0000-0000EE040000}"/>
    <cellStyle name="20% - Accent1 5" xfId="368" xr:uid="{00000000-0005-0000-0000-0000EF040000}"/>
    <cellStyle name="20% - Accent1 5 10" xfId="369" xr:uid="{00000000-0005-0000-0000-0000F0040000}"/>
    <cellStyle name="20% - Accent1 5 10 2" xfId="14605" xr:uid="{00000000-0005-0000-0000-0000F1040000}"/>
    <cellStyle name="20% - Accent1 5 10 2 2" xfId="28154" xr:uid="{00000000-0005-0000-0000-0000F2040000}"/>
    <cellStyle name="20% - Accent1 5 10 3" xfId="17692" xr:uid="{00000000-0005-0000-0000-0000F3040000}"/>
    <cellStyle name="20% - Accent1 5 11" xfId="370" xr:uid="{00000000-0005-0000-0000-0000F4040000}"/>
    <cellStyle name="20% - Accent1 5 11 2" xfId="15862" xr:uid="{00000000-0005-0000-0000-0000F5040000}"/>
    <cellStyle name="20% - Accent1 5 11 2 2" xfId="29269" xr:uid="{00000000-0005-0000-0000-0000F6040000}"/>
    <cellStyle name="20% - Accent1 5 11 3" xfId="17693" xr:uid="{00000000-0005-0000-0000-0000F7040000}"/>
    <cellStyle name="20% - Accent1 5 12" xfId="8867" xr:uid="{00000000-0005-0000-0000-0000F8040000}"/>
    <cellStyle name="20% - Accent1 5 12 2" xfId="23342" xr:uid="{00000000-0005-0000-0000-0000F9040000}"/>
    <cellStyle name="20% - Accent1 5 13" xfId="17691" xr:uid="{00000000-0005-0000-0000-0000FA040000}"/>
    <cellStyle name="20% - Accent1 5 2" xfId="371" xr:uid="{00000000-0005-0000-0000-0000FB040000}"/>
    <cellStyle name="20% - Accent1 5 2 10" xfId="372" xr:uid="{00000000-0005-0000-0000-0000FC040000}"/>
    <cellStyle name="20% - Accent1 5 2 10 2" xfId="16005" xr:uid="{00000000-0005-0000-0000-0000FD040000}"/>
    <cellStyle name="20% - Accent1 5 2 10 2 2" xfId="29412" xr:uid="{00000000-0005-0000-0000-0000FE040000}"/>
    <cellStyle name="20% - Accent1 5 2 10 3" xfId="17695" xr:uid="{00000000-0005-0000-0000-0000FF040000}"/>
    <cellStyle name="20% - Accent1 5 2 11" xfId="8868" xr:uid="{00000000-0005-0000-0000-000000050000}"/>
    <cellStyle name="20% - Accent1 5 2 11 2" xfId="23343" xr:uid="{00000000-0005-0000-0000-000001050000}"/>
    <cellStyle name="20% - Accent1 5 2 12" xfId="17694" xr:uid="{00000000-0005-0000-0000-000002050000}"/>
    <cellStyle name="20% - Accent1 5 2 2" xfId="373" xr:uid="{00000000-0005-0000-0000-000003050000}"/>
    <cellStyle name="20% - Accent1 5 2 2 10" xfId="8869" xr:uid="{00000000-0005-0000-0000-000004050000}"/>
    <cellStyle name="20% - Accent1 5 2 2 10 2" xfId="23344" xr:uid="{00000000-0005-0000-0000-000005050000}"/>
    <cellStyle name="20% - Accent1 5 2 2 11" xfId="17696" xr:uid="{00000000-0005-0000-0000-000006050000}"/>
    <cellStyle name="20% - Accent1 5 2 2 2" xfId="374" xr:uid="{00000000-0005-0000-0000-000007050000}"/>
    <cellStyle name="20% - Accent1 5 2 2 2 2" xfId="375" xr:uid="{00000000-0005-0000-0000-000008050000}"/>
    <cellStyle name="20% - Accent1 5 2 2 2 2 2" xfId="10595" xr:uid="{00000000-0005-0000-0000-000009050000}"/>
    <cellStyle name="20% - Accent1 5 2 2 2 2 2 2" xfId="24537" xr:uid="{00000000-0005-0000-0000-00000A050000}"/>
    <cellStyle name="20% - Accent1 5 2 2 2 2 3" xfId="17698" xr:uid="{00000000-0005-0000-0000-00000B050000}"/>
    <cellStyle name="20% - Accent1 5 2 2 2 3" xfId="376" xr:uid="{00000000-0005-0000-0000-00000C050000}"/>
    <cellStyle name="20% - Accent1 5 2 2 2 3 2" xfId="12544" xr:uid="{00000000-0005-0000-0000-00000D050000}"/>
    <cellStyle name="20% - Accent1 5 2 2 2 3 2 2" xfId="26256" xr:uid="{00000000-0005-0000-0000-00000E050000}"/>
    <cellStyle name="20% - Accent1 5 2 2 2 3 3" xfId="17699" xr:uid="{00000000-0005-0000-0000-00000F050000}"/>
    <cellStyle name="20% - Accent1 5 2 2 2 4" xfId="377" xr:uid="{00000000-0005-0000-0000-000010050000}"/>
    <cellStyle name="20% - Accent1 5 2 2 2 4 2" xfId="14608" xr:uid="{00000000-0005-0000-0000-000011050000}"/>
    <cellStyle name="20% - Accent1 5 2 2 2 4 2 2" xfId="28157" xr:uid="{00000000-0005-0000-0000-000012050000}"/>
    <cellStyle name="20% - Accent1 5 2 2 2 4 3" xfId="17700" xr:uid="{00000000-0005-0000-0000-000013050000}"/>
    <cellStyle name="20% - Accent1 5 2 2 2 5" xfId="378" xr:uid="{00000000-0005-0000-0000-000014050000}"/>
    <cellStyle name="20% - Accent1 5 2 2 2 5 2" xfId="16875" xr:uid="{00000000-0005-0000-0000-000015050000}"/>
    <cellStyle name="20% - Accent1 5 2 2 2 5 2 2" xfId="30282" xr:uid="{00000000-0005-0000-0000-000016050000}"/>
    <cellStyle name="20% - Accent1 5 2 2 2 5 3" xfId="17701" xr:uid="{00000000-0005-0000-0000-000017050000}"/>
    <cellStyle name="20% - Accent1 5 2 2 2 6" xfId="8870" xr:uid="{00000000-0005-0000-0000-000018050000}"/>
    <cellStyle name="20% - Accent1 5 2 2 2 6 2" xfId="23345" xr:uid="{00000000-0005-0000-0000-000019050000}"/>
    <cellStyle name="20% - Accent1 5 2 2 2 7" xfId="17697" xr:uid="{00000000-0005-0000-0000-00001A050000}"/>
    <cellStyle name="20% - Accent1 5 2 2 3" xfId="379" xr:uid="{00000000-0005-0000-0000-00001B050000}"/>
    <cellStyle name="20% - Accent1 5 2 2 3 2" xfId="380" xr:uid="{00000000-0005-0000-0000-00001C050000}"/>
    <cellStyle name="20% - Accent1 5 2 2 3 2 2" xfId="14609" xr:uid="{00000000-0005-0000-0000-00001D050000}"/>
    <cellStyle name="20% - Accent1 5 2 2 3 2 2 2" xfId="28158" xr:uid="{00000000-0005-0000-0000-00001E050000}"/>
    <cellStyle name="20% - Accent1 5 2 2 3 2 3" xfId="17703" xr:uid="{00000000-0005-0000-0000-00001F050000}"/>
    <cellStyle name="20% - Accent1 5 2 2 3 3" xfId="10594" xr:uid="{00000000-0005-0000-0000-000020050000}"/>
    <cellStyle name="20% - Accent1 5 2 2 3 3 2" xfId="24536" xr:uid="{00000000-0005-0000-0000-000021050000}"/>
    <cellStyle name="20% - Accent1 5 2 2 3 4" xfId="17702" xr:uid="{00000000-0005-0000-0000-000022050000}"/>
    <cellStyle name="20% - Accent1 5 2 2 4" xfId="381" xr:uid="{00000000-0005-0000-0000-000023050000}"/>
    <cellStyle name="20% - Accent1 5 2 2 4 2" xfId="12263" xr:uid="{00000000-0005-0000-0000-000024050000}"/>
    <cellStyle name="20% - Accent1 5 2 2 4 2 2" xfId="25975" xr:uid="{00000000-0005-0000-0000-000025050000}"/>
    <cellStyle name="20% - Accent1 5 2 2 4 3" xfId="17704" xr:uid="{00000000-0005-0000-0000-000026050000}"/>
    <cellStyle name="20% - Accent1 5 2 2 5" xfId="382" xr:uid="{00000000-0005-0000-0000-000027050000}"/>
    <cellStyle name="20% - Accent1 5 2 2 5 2" xfId="12613" xr:uid="{00000000-0005-0000-0000-000028050000}"/>
    <cellStyle name="20% - Accent1 5 2 2 5 2 2" xfId="26325" xr:uid="{00000000-0005-0000-0000-000029050000}"/>
    <cellStyle name="20% - Accent1 5 2 2 5 3" xfId="17705" xr:uid="{00000000-0005-0000-0000-00002A050000}"/>
    <cellStyle name="20% - Accent1 5 2 2 6" xfId="383" xr:uid="{00000000-0005-0000-0000-00002B050000}"/>
    <cellStyle name="20% - Accent1 5 2 2 6 2" xfId="13827" xr:uid="{00000000-0005-0000-0000-00002C050000}"/>
    <cellStyle name="20% - Accent1 5 2 2 6 2 2" xfId="27376" xr:uid="{00000000-0005-0000-0000-00002D050000}"/>
    <cellStyle name="20% - Accent1 5 2 2 6 3" xfId="17706" xr:uid="{00000000-0005-0000-0000-00002E050000}"/>
    <cellStyle name="20% - Accent1 5 2 2 7" xfId="384" xr:uid="{00000000-0005-0000-0000-00002F050000}"/>
    <cellStyle name="20% - Accent1 5 2 2 7 2" xfId="14408" xr:uid="{00000000-0005-0000-0000-000030050000}"/>
    <cellStyle name="20% - Accent1 5 2 2 7 2 2" xfId="27957" xr:uid="{00000000-0005-0000-0000-000031050000}"/>
    <cellStyle name="20% - Accent1 5 2 2 7 3" xfId="17707" xr:uid="{00000000-0005-0000-0000-000032050000}"/>
    <cellStyle name="20% - Accent1 5 2 2 8" xfId="385" xr:uid="{00000000-0005-0000-0000-000033050000}"/>
    <cellStyle name="20% - Accent1 5 2 2 8 2" xfId="14607" xr:uid="{00000000-0005-0000-0000-000034050000}"/>
    <cellStyle name="20% - Accent1 5 2 2 8 2 2" xfId="28156" xr:uid="{00000000-0005-0000-0000-000035050000}"/>
    <cellStyle name="20% - Accent1 5 2 2 8 3" xfId="17708" xr:uid="{00000000-0005-0000-0000-000036050000}"/>
    <cellStyle name="20% - Accent1 5 2 2 9" xfId="386" xr:uid="{00000000-0005-0000-0000-000037050000}"/>
    <cellStyle name="20% - Accent1 5 2 2 9 2" xfId="16294" xr:uid="{00000000-0005-0000-0000-000038050000}"/>
    <cellStyle name="20% - Accent1 5 2 2 9 2 2" xfId="29701" xr:uid="{00000000-0005-0000-0000-000039050000}"/>
    <cellStyle name="20% - Accent1 5 2 2 9 3" xfId="17709" xr:uid="{00000000-0005-0000-0000-00003A050000}"/>
    <cellStyle name="20% - Accent1 5 2 3" xfId="387" xr:uid="{00000000-0005-0000-0000-00003B050000}"/>
    <cellStyle name="20% - Accent1 5 2 3 2" xfId="388" xr:uid="{00000000-0005-0000-0000-00003C050000}"/>
    <cellStyle name="20% - Accent1 5 2 3 2 2" xfId="10596" xr:uid="{00000000-0005-0000-0000-00003D050000}"/>
    <cellStyle name="20% - Accent1 5 2 3 2 2 2" xfId="24538" xr:uid="{00000000-0005-0000-0000-00003E050000}"/>
    <cellStyle name="20% - Accent1 5 2 3 2 3" xfId="17711" xr:uid="{00000000-0005-0000-0000-00003F050000}"/>
    <cellStyle name="20% - Accent1 5 2 3 3" xfId="389" xr:uid="{00000000-0005-0000-0000-000040050000}"/>
    <cellStyle name="20% - Accent1 5 2 3 3 2" xfId="12656" xr:uid="{00000000-0005-0000-0000-000041050000}"/>
    <cellStyle name="20% - Accent1 5 2 3 3 2 2" xfId="26368" xr:uid="{00000000-0005-0000-0000-000042050000}"/>
    <cellStyle name="20% - Accent1 5 2 3 3 3" xfId="17712" xr:uid="{00000000-0005-0000-0000-000043050000}"/>
    <cellStyle name="20% - Accent1 5 2 3 4" xfId="390" xr:uid="{00000000-0005-0000-0000-000044050000}"/>
    <cellStyle name="20% - Accent1 5 2 3 4 2" xfId="14610" xr:uid="{00000000-0005-0000-0000-000045050000}"/>
    <cellStyle name="20% - Accent1 5 2 3 4 2 2" xfId="28159" xr:uid="{00000000-0005-0000-0000-000046050000}"/>
    <cellStyle name="20% - Accent1 5 2 3 4 3" xfId="17713" xr:uid="{00000000-0005-0000-0000-000047050000}"/>
    <cellStyle name="20% - Accent1 5 2 3 5" xfId="391" xr:uid="{00000000-0005-0000-0000-000048050000}"/>
    <cellStyle name="20% - Accent1 5 2 3 5 2" xfId="16586" xr:uid="{00000000-0005-0000-0000-000049050000}"/>
    <cellStyle name="20% - Accent1 5 2 3 5 2 2" xfId="29993" xr:uid="{00000000-0005-0000-0000-00004A050000}"/>
    <cellStyle name="20% - Accent1 5 2 3 5 3" xfId="17714" xr:uid="{00000000-0005-0000-0000-00004B050000}"/>
    <cellStyle name="20% - Accent1 5 2 3 6" xfId="8871" xr:uid="{00000000-0005-0000-0000-00004C050000}"/>
    <cellStyle name="20% - Accent1 5 2 3 6 2" xfId="23346" xr:uid="{00000000-0005-0000-0000-00004D050000}"/>
    <cellStyle name="20% - Accent1 5 2 3 7" xfId="17710" xr:uid="{00000000-0005-0000-0000-00004E050000}"/>
    <cellStyle name="20% - Accent1 5 2 4" xfId="392" xr:uid="{00000000-0005-0000-0000-00004F050000}"/>
    <cellStyle name="20% - Accent1 5 2 4 2" xfId="393" xr:uid="{00000000-0005-0000-0000-000050050000}"/>
    <cellStyle name="20% - Accent1 5 2 4 2 2" xfId="14611" xr:uid="{00000000-0005-0000-0000-000051050000}"/>
    <cellStyle name="20% - Accent1 5 2 4 2 2 2" xfId="28160" xr:uid="{00000000-0005-0000-0000-000052050000}"/>
    <cellStyle name="20% - Accent1 5 2 4 2 3" xfId="17716" xr:uid="{00000000-0005-0000-0000-000053050000}"/>
    <cellStyle name="20% - Accent1 5 2 4 3" xfId="10593" xr:uid="{00000000-0005-0000-0000-000054050000}"/>
    <cellStyle name="20% - Accent1 5 2 4 3 2" xfId="24535" xr:uid="{00000000-0005-0000-0000-000055050000}"/>
    <cellStyle name="20% - Accent1 5 2 4 4" xfId="17715" xr:uid="{00000000-0005-0000-0000-000056050000}"/>
    <cellStyle name="20% - Accent1 5 2 5" xfId="394" xr:uid="{00000000-0005-0000-0000-000057050000}"/>
    <cellStyle name="20% - Accent1 5 2 5 2" xfId="11963" xr:uid="{00000000-0005-0000-0000-000058050000}"/>
    <cellStyle name="20% - Accent1 5 2 5 2 2" xfId="25678" xr:uid="{00000000-0005-0000-0000-000059050000}"/>
    <cellStyle name="20% - Accent1 5 2 5 3" xfId="17717" xr:uid="{00000000-0005-0000-0000-00005A050000}"/>
    <cellStyle name="20% - Accent1 5 2 6" xfId="395" xr:uid="{00000000-0005-0000-0000-00005B050000}"/>
    <cellStyle name="20% - Accent1 5 2 6 2" xfId="12114" xr:uid="{00000000-0005-0000-0000-00005C050000}"/>
    <cellStyle name="20% - Accent1 5 2 6 2 2" xfId="25826" xr:uid="{00000000-0005-0000-0000-00005D050000}"/>
    <cellStyle name="20% - Accent1 5 2 6 3" xfId="17718" xr:uid="{00000000-0005-0000-0000-00005E050000}"/>
    <cellStyle name="20% - Accent1 5 2 7" xfId="396" xr:uid="{00000000-0005-0000-0000-00005F050000}"/>
    <cellStyle name="20% - Accent1 5 2 7 2" xfId="13538" xr:uid="{00000000-0005-0000-0000-000060050000}"/>
    <cellStyle name="20% - Accent1 5 2 7 2 2" xfId="27087" xr:uid="{00000000-0005-0000-0000-000061050000}"/>
    <cellStyle name="20% - Accent1 5 2 7 3" xfId="17719" xr:uid="{00000000-0005-0000-0000-000062050000}"/>
    <cellStyle name="20% - Accent1 5 2 8" xfId="397" xr:uid="{00000000-0005-0000-0000-000063050000}"/>
    <cellStyle name="20% - Accent1 5 2 8 2" xfId="14119" xr:uid="{00000000-0005-0000-0000-000064050000}"/>
    <cellStyle name="20% - Accent1 5 2 8 2 2" xfId="27668" xr:uid="{00000000-0005-0000-0000-000065050000}"/>
    <cellStyle name="20% - Accent1 5 2 8 3" xfId="17720" xr:uid="{00000000-0005-0000-0000-000066050000}"/>
    <cellStyle name="20% - Accent1 5 2 9" xfId="398" xr:uid="{00000000-0005-0000-0000-000067050000}"/>
    <cellStyle name="20% - Accent1 5 2 9 2" xfId="14606" xr:uid="{00000000-0005-0000-0000-000068050000}"/>
    <cellStyle name="20% - Accent1 5 2 9 2 2" xfId="28155" xr:uid="{00000000-0005-0000-0000-000069050000}"/>
    <cellStyle name="20% - Accent1 5 2 9 3" xfId="17721" xr:uid="{00000000-0005-0000-0000-00006A050000}"/>
    <cellStyle name="20% - Accent1 5 3" xfId="399" xr:uid="{00000000-0005-0000-0000-00006B050000}"/>
    <cellStyle name="20% - Accent1 5 3 10" xfId="8872" xr:uid="{00000000-0005-0000-0000-00006C050000}"/>
    <cellStyle name="20% - Accent1 5 3 10 2" xfId="23347" xr:uid="{00000000-0005-0000-0000-00006D050000}"/>
    <cellStyle name="20% - Accent1 5 3 11" xfId="17722" xr:uid="{00000000-0005-0000-0000-00006E050000}"/>
    <cellStyle name="20% - Accent1 5 3 2" xfId="400" xr:uid="{00000000-0005-0000-0000-00006F050000}"/>
    <cellStyle name="20% - Accent1 5 3 2 2" xfId="401" xr:uid="{00000000-0005-0000-0000-000070050000}"/>
    <cellStyle name="20% - Accent1 5 3 2 2 2" xfId="10598" xr:uid="{00000000-0005-0000-0000-000071050000}"/>
    <cellStyle name="20% - Accent1 5 3 2 2 2 2" xfId="24540" xr:uid="{00000000-0005-0000-0000-000072050000}"/>
    <cellStyle name="20% - Accent1 5 3 2 2 3" xfId="17724" xr:uid="{00000000-0005-0000-0000-000073050000}"/>
    <cellStyle name="20% - Accent1 5 3 2 3" xfId="402" xr:uid="{00000000-0005-0000-0000-000074050000}"/>
    <cellStyle name="20% - Accent1 5 3 2 3 2" xfId="12464" xr:uid="{00000000-0005-0000-0000-000075050000}"/>
    <cellStyle name="20% - Accent1 5 3 2 3 2 2" xfId="26176" xr:uid="{00000000-0005-0000-0000-000076050000}"/>
    <cellStyle name="20% - Accent1 5 3 2 3 3" xfId="17725" xr:uid="{00000000-0005-0000-0000-000077050000}"/>
    <cellStyle name="20% - Accent1 5 3 2 4" xfId="403" xr:uid="{00000000-0005-0000-0000-000078050000}"/>
    <cellStyle name="20% - Accent1 5 3 2 4 2" xfId="14613" xr:uid="{00000000-0005-0000-0000-000079050000}"/>
    <cellStyle name="20% - Accent1 5 3 2 4 2 2" xfId="28162" xr:uid="{00000000-0005-0000-0000-00007A050000}"/>
    <cellStyle name="20% - Accent1 5 3 2 4 3" xfId="17726" xr:uid="{00000000-0005-0000-0000-00007B050000}"/>
    <cellStyle name="20% - Accent1 5 3 2 5" xfId="404" xr:uid="{00000000-0005-0000-0000-00007C050000}"/>
    <cellStyle name="20% - Accent1 5 3 2 5 2" xfId="16725" xr:uid="{00000000-0005-0000-0000-00007D050000}"/>
    <cellStyle name="20% - Accent1 5 3 2 5 2 2" xfId="30132" xr:uid="{00000000-0005-0000-0000-00007E050000}"/>
    <cellStyle name="20% - Accent1 5 3 2 5 3" xfId="17727" xr:uid="{00000000-0005-0000-0000-00007F050000}"/>
    <cellStyle name="20% - Accent1 5 3 2 6" xfId="8873" xr:uid="{00000000-0005-0000-0000-000080050000}"/>
    <cellStyle name="20% - Accent1 5 3 2 6 2" xfId="23348" xr:uid="{00000000-0005-0000-0000-000081050000}"/>
    <cellStyle name="20% - Accent1 5 3 2 7" xfId="17723" xr:uid="{00000000-0005-0000-0000-000082050000}"/>
    <cellStyle name="20% - Accent1 5 3 3" xfId="405" xr:uid="{00000000-0005-0000-0000-000083050000}"/>
    <cellStyle name="20% - Accent1 5 3 3 2" xfId="406" xr:uid="{00000000-0005-0000-0000-000084050000}"/>
    <cellStyle name="20% - Accent1 5 3 3 2 2" xfId="14614" xr:uid="{00000000-0005-0000-0000-000085050000}"/>
    <cellStyle name="20% - Accent1 5 3 3 2 2 2" xfId="28163" xr:uid="{00000000-0005-0000-0000-000086050000}"/>
    <cellStyle name="20% - Accent1 5 3 3 2 3" xfId="17729" xr:uid="{00000000-0005-0000-0000-000087050000}"/>
    <cellStyle name="20% - Accent1 5 3 3 3" xfId="10597" xr:uid="{00000000-0005-0000-0000-000088050000}"/>
    <cellStyle name="20% - Accent1 5 3 3 3 2" xfId="24539" xr:uid="{00000000-0005-0000-0000-000089050000}"/>
    <cellStyle name="20% - Accent1 5 3 3 4" xfId="17728" xr:uid="{00000000-0005-0000-0000-00008A050000}"/>
    <cellStyle name="20% - Accent1 5 3 4" xfId="407" xr:uid="{00000000-0005-0000-0000-00008B050000}"/>
    <cellStyle name="20% - Accent1 5 3 4 2" xfId="12105" xr:uid="{00000000-0005-0000-0000-00008C050000}"/>
    <cellStyle name="20% - Accent1 5 3 4 2 2" xfId="25817" xr:uid="{00000000-0005-0000-0000-00008D050000}"/>
    <cellStyle name="20% - Accent1 5 3 4 3" xfId="17730" xr:uid="{00000000-0005-0000-0000-00008E050000}"/>
    <cellStyle name="20% - Accent1 5 3 5" xfId="408" xr:uid="{00000000-0005-0000-0000-00008F050000}"/>
    <cellStyle name="20% - Accent1 5 3 5 2" xfId="12434" xr:uid="{00000000-0005-0000-0000-000090050000}"/>
    <cellStyle name="20% - Accent1 5 3 5 2 2" xfId="26146" xr:uid="{00000000-0005-0000-0000-000091050000}"/>
    <cellStyle name="20% - Accent1 5 3 5 3" xfId="17731" xr:uid="{00000000-0005-0000-0000-000092050000}"/>
    <cellStyle name="20% - Accent1 5 3 6" xfId="409" xr:uid="{00000000-0005-0000-0000-000093050000}"/>
    <cellStyle name="20% - Accent1 5 3 6 2" xfId="13677" xr:uid="{00000000-0005-0000-0000-000094050000}"/>
    <cellStyle name="20% - Accent1 5 3 6 2 2" xfId="27226" xr:uid="{00000000-0005-0000-0000-000095050000}"/>
    <cellStyle name="20% - Accent1 5 3 6 3" xfId="17732" xr:uid="{00000000-0005-0000-0000-000096050000}"/>
    <cellStyle name="20% - Accent1 5 3 7" xfId="410" xr:uid="{00000000-0005-0000-0000-000097050000}"/>
    <cellStyle name="20% - Accent1 5 3 7 2" xfId="14258" xr:uid="{00000000-0005-0000-0000-000098050000}"/>
    <cellStyle name="20% - Accent1 5 3 7 2 2" xfId="27807" xr:uid="{00000000-0005-0000-0000-000099050000}"/>
    <cellStyle name="20% - Accent1 5 3 7 3" xfId="17733" xr:uid="{00000000-0005-0000-0000-00009A050000}"/>
    <cellStyle name="20% - Accent1 5 3 8" xfId="411" xr:uid="{00000000-0005-0000-0000-00009B050000}"/>
    <cellStyle name="20% - Accent1 5 3 8 2" xfId="14612" xr:uid="{00000000-0005-0000-0000-00009C050000}"/>
    <cellStyle name="20% - Accent1 5 3 8 2 2" xfId="28161" xr:uid="{00000000-0005-0000-0000-00009D050000}"/>
    <cellStyle name="20% - Accent1 5 3 8 3" xfId="17734" xr:uid="{00000000-0005-0000-0000-00009E050000}"/>
    <cellStyle name="20% - Accent1 5 3 9" xfId="412" xr:uid="{00000000-0005-0000-0000-00009F050000}"/>
    <cellStyle name="20% - Accent1 5 3 9 2" xfId="16144" xr:uid="{00000000-0005-0000-0000-0000A0050000}"/>
    <cellStyle name="20% - Accent1 5 3 9 2 2" xfId="29551" xr:uid="{00000000-0005-0000-0000-0000A1050000}"/>
    <cellStyle name="20% - Accent1 5 3 9 3" xfId="17735" xr:uid="{00000000-0005-0000-0000-0000A2050000}"/>
    <cellStyle name="20% - Accent1 5 4" xfId="413" xr:uid="{00000000-0005-0000-0000-0000A3050000}"/>
    <cellStyle name="20% - Accent1 5 4 2" xfId="414" xr:uid="{00000000-0005-0000-0000-0000A4050000}"/>
    <cellStyle name="20% - Accent1 5 4 2 2" xfId="10599" xr:uid="{00000000-0005-0000-0000-0000A5050000}"/>
    <cellStyle name="20% - Accent1 5 4 2 2 2" xfId="24541" xr:uid="{00000000-0005-0000-0000-0000A6050000}"/>
    <cellStyle name="20% - Accent1 5 4 2 3" xfId="17737" xr:uid="{00000000-0005-0000-0000-0000A7050000}"/>
    <cellStyle name="20% - Accent1 5 4 3" xfId="415" xr:uid="{00000000-0005-0000-0000-0000A8050000}"/>
    <cellStyle name="20% - Accent1 5 4 3 2" xfId="12428" xr:uid="{00000000-0005-0000-0000-0000A9050000}"/>
    <cellStyle name="20% - Accent1 5 4 3 2 2" xfId="26140" xr:uid="{00000000-0005-0000-0000-0000AA050000}"/>
    <cellStyle name="20% - Accent1 5 4 3 3" xfId="17738" xr:uid="{00000000-0005-0000-0000-0000AB050000}"/>
    <cellStyle name="20% - Accent1 5 4 4" xfId="416" xr:uid="{00000000-0005-0000-0000-0000AC050000}"/>
    <cellStyle name="20% - Accent1 5 4 4 2" xfId="14619" xr:uid="{00000000-0005-0000-0000-0000AD050000}"/>
    <cellStyle name="20% - Accent1 5 4 4 2 2" xfId="28168" xr:uid="{00000000-0005-0000-0000-0000AE050000}"/>
    <cellStyle name="20% - Accent1 5 4 4 3" xfId="17739" xr:uid="{00000000-0005-0000-0000-0000AF050000}"/>
    <cellStyle name="20% - Accent1 5 4 5" xfId="417" xr:uid="{00000000-0005-0000-0000-0000B0050000}"/>
    <cellStyle name="20% - Accent1 5 4 5 2" xfId="16443" xr:uid="{00000000-0005-0000-0000-0000B1050000}"/>
    <cellStyle name="20% - Accent1 5 4 5 2 2" xfId="29850" xr:uid="{00000000-0005-0000-0000-0000B2050000}"/>
    <cellStyle name="20% - Accent1 5 4 5 3" xfId="17740" xr:uid="{00000000-0005-0000-0000-0000B3050000}"/>
    <cellStyle name="20% - Accent1 5 4 6" xfId="8874" xr:uid="{00000000-0005-0000-0000-0000B4050000}"/>
    <cellStyle name="20% - Accent1 5 4 6 2" xfId="23349" xr:uid="{00000000-0005-0000-0000-0000B5050000}"/>
    <cellStyle name="20% - Accent1 5 4 7" xfId="17736" xr:uid="{00000000-0005-0000-0000-0000B6050000}"/>
    <cellStyle name="20% - Accent1 5 5" xfId="418" xr:uid="{00000000-0005-0000-0000-0000B7050000}"/>
    <cellStyle name="20% - Accent1 5 5 2" xfId="419" xr:uid="{00000000-0005-0000-0000-0000B8050000}"/>
    <cellStyle name="20% - Accent1 5 5 2 2" xfId="14620" xr:uid="{00000000-0005-0000-0000-0000B9050000}"/>
    <cellStyle name="20% - Accent1 5 5 2 2 2" xfId="28169" xr:uid="{00000000-0005-0000-0000-0000BA050000}"/>
    <cellStyle name="20% - Accent1 5 5 2 3" xfId="17742" xr:uid="{00000000-0005-0000-0000-0000BB050000}"/>
    <cellStyle name="20% - Accent1 5 5 3" xfId="10592" xr:uid="{00000000-0005-0000-0000-0000BC050000}"/>
    <cellStyle name="20% - Accent1 5 5 3 2" xfId="24534" xr:uid="{00000000-0005-0000-0000-0000BD050000}"/>
    <cellStyle name="20% - Accent1 5 5 4" xfId="17741" xr:uid="{00000000-0005-0000-0000-0000BE050000}"/>
    <cellStyle name="20% - Accent1 5 6" xfId="420" xr:uid="{00000000-0005-0000-0000-0000BF050000}"/>
    <cellStyle name="20% - Accent1 5 6 2" xfId="11794" xr:uid="{00000000-0005-0000-0000-0000C0050000}"/>
    <cellStyle name="20% - Accent1 5 6 2 2" xfId="25509" xr:uid="{00000000-0005-0000-0000-0000C1050000}"/>
    <cellStyle name="20% - Accent1 5 6 3" xfId="17743" xr:uid="{00000000-0005-0000-0000-0000C2050000}"/>
    <cellStyle name="20% - Accent1 5 7" xfId="421" xr:uid="{00000000-0005-0000-0000-0000C3050000}"/>
    <cellStyle name="20% - Accent1 5 7 2" xfId="12556" xr:uid="{00000000-0005-0000-0000-0000C4050000}"/>
    <cellStyle name="20% - Accent1 5 7 2 2" xfId="26268" xr:uid="{00000000-0005-0000-0000-0000C5050000}"/>
    <cellStyle name="20% - Accent1 5 7 3" xfId="17744" xr:uid="{00000000-0005-0000-0000-0000C6050000}"/>
    <cellStyle name="20% - Accent1 5 8" xfId="422" xr:uid="{00000000-0005-0000-0000-0000C7050000}"/>
    <cellStyle name="20% - Accent1 5 8 2" xfId="13395" xr:uid="{00000000-0005-0000-0000-0000C8050000}"/>
    <cellStyle name="20% - Accent1 5 8 2 2" xfId="26944" xr:uid="{00000000-0005-0000-0000-0000C9050000}"/>
    <cellStyle name="20% - Accent1 5 8 3" xfId="17745" xr:uid="{00000000-0005-0000-0000-0000CA050000}"/>
    <cellStyle name="20% - Accent1 5 9" xfId="423" xr:uid="{00000000-0005-0000-0000-0000CB050000}"/>
    <cellStyle name="20% - Accent1 5 9 2" xfId="13976" xr:uid="{00000000-0005-0000-0000-0000CC050000}"/>
    <cellStyle name="20% - Accent1 5 9 2 2" xfId="27525" xr:uid="{00000000-0005-0000-0000-0000CD050000}"/>
    <cellStyle name="20% - Accent1 5 9 3" xfId="17746" xr:uid="{00000000-0005-0000-0000-0000CE050000}"/>
    <cellStyle name="20% - Accent1 6" xfId="424" xr:uid="{00000000-0005-0000-0000-0000CF050000}"/>
    <cellStyle name="20% - Accent1 6 10" xfId="425" xr:uid="{00000000-0005-0000-0000-0000D0050000}"/>
    <cellStyle name="20% - Accent1 6 10 2" xfId="14621" xr:uid="{00000000-0005-0000-0000-0000D1050000}"/>
    <cellStyle name="20% - Accent1 6 10 2 2" xfId="28170" xr:uid="{00000000-0005-0000-0000-0000D2050000}"/>
    <cellStyle name="20% - Accent1 6 10 3" xfId="17748" xr:uid="{00000000-0005-0000-0000-0000D3050000}"/>
    <cellStyle name="20% - Accent1 6 11" xfId="426" xr:uid="{00000000-0005-0000-0000-0000D4050000}"/>
    <cellStyle name="20% - Accent1 6 11 2" xfId="15968" xr:uid="{00000000-0005-0000-0000-0000D5050000}"/>
    <cellStyle name="20% - Accent1 6 11 2 2" xfId="29375" xr:uid="{00000000-0005-0000-0000-0000D6050000}"/>
    <cellStyle name="20% - Accent1 6 11 3" xfId="17749" xr:uid="{00000000-0005-0000-0000-0000D7050000}"/>
    <cellStyle name="20% - Accent1 6 12" xfId="8875" xr:uid="{00000000-0005-0000-0000-0000D8050000}"/>
    <cellStyle name="20% - Accent1 6 12 2" xfId="23350" xr:uid="{00000000-0005-0000-0000-0000D9050000}"/>
    <cellStyle name="20% - Accent1 6 13" xfId="17747" xr:uid="{00000000-0005-0000-0000-0000DA050000}"/>
    <cellStyle name="20% - Accent1 6 2" xfId="427" xr:uid="{00000000-0005-0000-0000-0000DB050000}"/>
    <cellStyle name="20% - Accent1 6 2 10" xfId="428" xr:uid="{00000000-0005-0000-0000-0000DC050000}"/>
    <cellStyle name="20% - Accent1 6 2 10 2" xfId="16111" xr:uid="{00000000-0005-0000-0000-0000DD050000}"/>
    <cellStyle name="20% - Accent1 6 2 10 2 2" xfId="29518" xr:uid="{00000000-0005-0000-0000-0000DE050000}"/>
    <cellStyle name="20% - Accent1 6 2 10 3" xfId="17751" xr:uid="{00000000-0005-0000-0000-0000DF050000}"/>
    <cellStyle name="20% - Accent1 6 2 11" xfId="8876" xr:uid="{00000000-0005-0000-0000-0000E0050000}"/>
    <cellStyle name="20% - Accent1 6 2 11 2" xfId="23351" xr:uid="{00000000-0005-0000-0000-0000E1050000}"/>
    <cellStyle name="20% - Accent1 6 2 12" xfId="17750" xr:uid="{00000000-0005-0000-0000-0000E2050000}"/>
    <cellStyle name="20% - Accent1 6 2 2" xfId="429" xr:uid="{00000000-0005-0000-0000-0000E3050000}"/>
    <cellStyle name="20% - Accent1 6 2 2 10" xfId="8877" xr:uid="{00000000-0005-0000-0000-0000E4050000}"/>
    <cellStyle name="20% - Accent1 6 2 2 10 2" xfId="23352" xr:uid="{00000000-0005-0000-0000-0000E5050000}"/>
    <cellStyle name="20% - Accent1 6 2 2 11" xfId="17752" xr:uid="{00000000-0005-0000-0000-0000E6050000}"/>
    <cellStyle name="20% - Accent1 6 2 2 2" xfId="430" xr:uid="{00000000-0005-0000-0000-0000E7050000}"/>
    <cellStyle name="20% - Accent1 6 2 2 2 2" xfId="431" xr:uid="{00000000-0005-0000-0000-0000E8050000}"/>
    <cellStyle name="20% - Accent1 6 2 2 2 2 2" xfId="10603" xr:uid="{00000000-0005-0000-0000-0000E9050000}"/>
    <cellStyle name="20% - Accent1 6 2 2 2 2 2 2" xfId="24545" xr:uid="{00000000-0005-0000-0000-0000EA050000}"/>
    <cellStyle name="20% - Accent1 6 2 2 2 2 3" xfId="17754" xr:uid="{00000000-0005-0000-0000-0000EB050000}"/>
    <cellStyle name="20% - Accent1 6 2 2 2 3" xfId="432" xr:uid="{00000000-0005-0000-0000-0000EC050000}"/>
    <cellStyle name="20% - Accent1 6 2 2 2 3 2" xfId="12811" xr:uid="{00000000-0005-0000-0000-0000ED050000}"/>
    <cellStyle name="20% - Accent1 6 2 2 2 3 2 2" xfId="26523" xr:uid="{00000000-0005-0000-0000-0000EE050000}"/>
    <cellStyle name="20% - Accent1 6 2 2 2 3 3" xfId="17755" xr:uid="{00000000-0005-0000-0000-0000EF050000}"/>
    <cellStyle name="20% - Accent1 6 2 2 2 4" xfId="433" xr:uid="{00000000-0005-0000-0000-0000F0050000}"/>
    <cellStyle name="20% - Accent1 6 2 2 2 4 2" xfId="14624" xr:uid="{00000000-0005-0000-0000-0000F1050000}"/>
    <cellStyle name="20% - Accent1 6 2 2 2 4 2 2" xfId="28173" xr:uid="{00000000-0005-0000-0000-0000F2050000}"/>
    <cellStyle name="20% - Accent1 6 2 2 2 4 3" xfId="17756" xr:uid="{00000000-0005-0000-0000-0000F3050000}"/>
    <cellStyle name="20% - Accent1 6 2 2 2 5" xfId="434" xr:uid="{00000000-0005-0000-0000-0000F4050000}"/>
    <cellStyle name="20% - Accent1 6 2 2 2 5 2" xfId="16981" xr:uid="{00000000-0005-0000-0000-0000F5050000}"/>
    <cellStyle name="20% - Accent1 6 2 2 2 5 2 2" xfId="30388" xr:uid="{00000000-0005-0000-0000-0000F6050000}"/>
    <cellStyle name="20% - Accent1 6 2 2 2 5 3" xfId="17757" xr:uid="{00000000-0005-0000-0000-0000F7050000}"/>
    <cellStyle name="20% - Accent1 6 2 2 2 6" xfId="8878" xr:uid="{00000000-0005-0000-0000-0000F8050000}"/>
    <cellStyle name="20% - Accent1 6 2 2 2 6 2" xfId="23353" xr:uid="{00000000-0005-0000-0000-0000F9050000}"/>
    <cellStyle name="20% - Accent1 6 2 2 2 7" xfId="17753" xr:uid="{00000000-0005-0000-0000-0000FA050000}"/>
    <cellStyle name="20% - Accent1 6 2 2 3" xfId="435" xr:uid="{00000000-0005-0000-0000-0000FB050000}"/>
    <cellStyle name="20% - Accent1 6 2 2 3 2" xfId="436" xr:uid="{00000000-0005-0000-0000-0000FC050000}"/>
    <cellStyle name="20% - Accent1 6 2 2 3 2 2" xfId="14625" xr:uid="{00000000-0005-0000-0000-0000FD050000}"/>
    <cellStyle name="20% - Accent1 6 2 2 3 2 2 2" xfId="28174" xr:uid="{00000000-0005-0000-0000-0000FE050000}"/>
    <cellStyle name="20% - Accent1 6 2 2 3 2 3" xfId="17759" xr:uid="{00000000-0005-0000-0000-0000FF050000}"/>
    <cellStyle name="20% - Accent1 6 2 2 3 3" xfId="10602" xr:uid="{00000000-0005-0000-0000-000000060000}"/>
    <cellStyle name="20% - Accent1 6 2 2 3 3 2" xfId="24544" xr:uid="{00000000-0005-0000-0000-000001060000}"/>
    <cellStyle name="20% - Accent1 6 2 2 3 4" xfId="17758" xr:uid="{00000000-0005-0000-0000-000002060000}"/>
    <cellStyle name="20% - Accent1 6 2 2 4" xfId="437" xr:uid="{00000000-0005-0000-0000-000003060000}"/>
    <cellStyle name="20% - Accent1 6 2 2 4 2" xfId="12369" xr:uid="{00000000-0005-0000-0000-000004060000}"/>
    <cellStyle name="20% - Accent1 6 2 2 4 2 2" xfId="26081" xr:uid="{00000000-0005-0000-0000-000005060000}"/>
    <cellStyle name="20% - Accent1 6 2 2 4 3" xfId="17760" xr:uid="{00000000-0005-0000-0000-000006060000}"/>
    <cellStyle name="20% - Accent1 6 2 2 5" xfId="438" xr:uid="{00000000-0005-0000-0000-000007060000}"/>
    <cellStyle name="20% - Accent1 6 2 2 5 2" xfId="12801" xr:uid="{00000000-0005-0000-0000-000008060000}"/>
    <cellStyle name="20% - Accent1 6 2 2 5 2 2" xfId="26513" xr:uid="{00000000-0005-0000-0000-000009060000}"/>
    <cellStyle name="20% - Accent1 6 2 2 5 3" xfId="17761" xr:uid="{00000000-0005-0000-0000-00000A060000}"/>
    <cellStyle name="20% - Accent1 6 2 2 6" xfId="439" xr:uid="{00000000-0005-0000-0000-00000B060000}"/>
    <cellStyle name="20% - Accent1 6 2 2 6 2" xfId="13933" xr:uid="{00000000-0005-0000-0000-00000C060000}"/>
    <cellStyle name="20% - Accent1 6 2 2 6 2 2" xfId="27482" xr:uid="{00000000-0005-0000-0000-00000D060000}"/>
    <cellStyle name="20% - Accent1 6 2 2 6 3" xfId="17762" xr:uid="{00000000-0005-0000-0000-00000E060000}"/>
    <cellStyle name="20% - Accent1 6 2 2 7" xfId="440" xr:uid="{00000000-0005-0000-0000-00000F060000}"/>
    <cellStyle name="20% - Accent1 6 2 2 7 2" xfId="14514" xr:uid="{00000000-0005-0000-0000-000010060000}"/>
    <cellStyle name="20% - Accent1 6 2 2 7 2 2" xfId="28063" xr:uid="{00000000-0005-0000-0000-000011060000}"/>
    <cellStyle name="20% - Accent1 6 2 2 7 3" xfId="17763" xr:uid="{00000000-0005-0000-0000-000012060000}"/>
    <cellStyle name="20% - Accent1 6 2 2 8" xfId="441" xr:uid="{00000000-0005-0000-0000-000013060000}"/>
    <cellStyle name="20% - Accent1 6 2 2 8 2" xfId="14623" xr:uid="{00000000-0005-0000-0000-000014060000}"/>
    <cellStyle name="20% - Accent1 6 2 2 8 2 2" xfId="28172" xr:uid="{00000000-0005-0000-0000-000015060000}"/>
    <cellStyle name="20% - Accent1 6 2 2 8 3" xfId="17764" xr:uid="{00000000-0005-0000-0000-000016060000}"/>
    <cellStyle name="20% - Accent1 6 2 2 9" xfId="442" xr:uid="{00000000-0005-0000-0000-000017060000}"/>
    <cellStyle name="20% - Accent1 6 2 2 9 2" xfId="16400" xr:uid="{00000000-0005-0000-0000-000018060000}"/>
    <cellStyle name="20% - Accent1 6 2 2 9 2 2" xfId="29807" xr:uid="{00000000-0005-0000-0000-000019060000}"/>
    <cellStyle name="20% - Accent1 6 2 2 9 3" xfId="17765" xr:uid="{00000000-0005-0000-0000-00001A060000}"/>
    <cellStyle name="20% - Accent1 6 2 3" xfId="443" xr:uid="{00000000-0005-0000-0000-00001B060000}"/>
    <cellStyle name="20% - Accent1 6 2 3 2" xfId="444" xr:uid="{00000000-0005-0000-0000-00001C060000}"/>
    <cellStyle name="20% - Accent1 6 2 3 2 2" xfId="10604" xr:uid="{00000000-0005-0000-0000-00001D060000}"/>
    <cellStyle name="20% - Accent1 6 2 3 2 2 2" xfId="24546" xr:uid="{00000000-0005-0000-0000-00001E060000}"/>
    <cellStyle name="20% - Accent1 6 2 3 2 3" xfId="17767" xr:uid="{00000000-0005-0000-0000-00001F060000}"/>
    <cellStyle name="20% - Accent1 6 2 3 3" xfId="445" xr:uid="{00000000-0005-0000-0000-000020060000}"/>
    <cellStyle name="20% - Accent1 6 2 3 3 2" xfId="12514" xr:uid="{00000000-0005-0000-0000-000021060000}"/>
    <cellStyle name="20% - Accent1 6 2 3 3 2 2" xfId="26226" xr:uid="{00000000-0005-0000-0000-000022060000}"/>
    <cellStyle name="20% - Accent1 6 2 3 3 3" xfId="17768" xr:uid="{00000000-0005-0000-0000-000023060000}"/>
    <cellStyle name="20% - Accent1 6 2 3 4" xfId="446" xr:uid="{00000000-0005-0000-0000-000024060000}"/>
    <cellStyle name="20% - Accent1 6 2 3 4 2" xfId="14626" xr:uid="{00000000-0005-0000-0000-000025060000}"/>
    <cellStyle name="20% - Accent1 6 2 3 4 2 2" xfId="28175" xr:uid="{00000000-0005-0000-0000-000026060000}"/>
    <cellStyle name="20% - Accent1 6 2 3 4 3" xfId="17769" xr:uid="{00000000-0005-0000-0000-000027060000}"/>
    <cellStyle name="20% - Accent1 6 2 3 5" xfId="447" xr:uid="{00000000-0005-0000-0000-000028060000}"/>
    <cellStyle name="20% - Accent1 6 2 3 5 2" xfId="16692" xr:uid="{00000000-0005-0000-0000-000029060000}"/>
    <cellStyle name="20% - Accent1 6 2 3 5 2 2" xfId="30099" xr:uid="{00000000-0005-0000-0000-00002A060000}"/>
    <cellStyle name="20% - Accent1 6 2 3 5 3" xfId="17770" xr:uid="{00000000-0005-0000-0000-00002B060000}"/>
    <cellStyle name="20% - Accent1 6 2 3 6" xfId="8879" xr:uid="{00000000-0005-0000-0000-00002C060000}"/>
    <cellStyle name="20% - Accent1 6 2 3 6 2" xfId="23354" xr:uid="{00000000-0005-0000-0000-00002D060000}"/>
    <cellStyle name="20% - Accent1 6 2 3 7" xfId="17766" xr:uid="{00000000-0005-0000-0000-00002E060000}"/>
    <cellStyle name="20% - Accent1 6 2 4" xfId="448" xr:uid="{00000000-0005-0000-0000-00002F060000}"/>
    <cellStyle name="20% - Accent1 6 2 4 2" xfId="449" xr:uid="{00000000-0005-0000-0000-000030060000}"/>
    <cellStyle name="20% - Accent1 6 2 4 2 2" xfId="14627" xr:uid="{00000000-0005-0000-0000-000031060000}"/>
    <cellStyle name="20% - Accent1 6 2 4 2 2 2" xfId="28176" xr:uid="{00000000-0005-0000-0000-000032060000}"/>
    <cellStyle name="20% - Accent1 6 2 4 2 3" xfId="17772" xr:uid="{00000000-0005-0000-0000-000033060000}"/>
    <cellStyle name="20% - Accent1 6 2 4 3" xfId="10601" xr:uid="{00000000-0005-0000-0000-000034060000}"/>
    <cellStyle name="20% - Accent1 6 2 4 3 2" xfId="24543" xr:uid="{00000000-0005-0000-0000-000035060000}"/>
    <cellStyle name="20% - Accent1 6 2 4 4" xfId="17771" xr:uid="{00000000-0005-0000-0000-000036060000}"/>
    <cellStyle name="20% - Accent1 6 2 5" xfId="450" xr:uid="{00000000-0005-0000-0000-000037060000}"/>
    <cellStyle name="20% - Accent1 6 2 5 2" xfId="12069" xr:uid="{00000000-0005-0000-0000-000038060000}"/>
    <cellStyle name="20% - Accent1 6 2 5 2 2" xfId="25784" xr:uid="{00000000-0005-0000-0000-000039060000}"/>
    <cellStyle name="20% - Accent1 6 2 5 3" xfId="17773" xr:uid="{00000000-0005-0000-0000-00003A060000}"/>
    <cellStyle name="20% - Accent1 6 2 6" xfId="451" xr:uid="{00000000-0005-0000-0000-00003B060000}"/>
    <cellStyle name="20% - Accent1 6 2 6 2" xfId="12565" xr:uid="{00000000-0005-0000-0000-00003C060000}"/>
    <cellStyle name="20% - Accent1 6 2 6 2 2" xfId="26277" xr:uid="{00000000-0005-0000-0000-00003D060000}"/>
    <cellStyle name="20% - Accent1 6 2 6 3" xfId="17774" xr:uid="{00000000-0005-0000-0000-00003E060000}"/>
    <cellStyle name="20% - Accent1 6 2 7" xfId="452" xr:uid="{00000000-0005-0000-0000-00003F060000}"/>
    <cellStyle name="20% - Accent1 6 2 7 2" xfId="13644" xr:uid="{00000000-0005-0000-0000-000040060000}"/>
    <cellStyle name="20% - Accent1 6 2 7 2 2" xfId="27193" xr:uid="{00000000-0005-0000-0000-000041060000}"/>
    <cellStyle name="20% - Accent1 6 2 7 3" xfId="17775" xr:uid="{00000000-0005-0000-0000-000042060000}"/>
    <cellStyle name="20% - Accent1 6 2 8" xfId="453" xr:uid="{00000000-0005-0000-0000-000043060000}"/>
    <cellStyle name="20% - Accent1 6 2 8 2" xfId="14225" xr:uid="{00000000-0005-0000-0000-000044060000}"/>
    <cellStyle name="20% - Accent1 6 2 8 2 2" xfId="27774" xr:uid="{00000000-0005-0000-0000-000045060000}"/>
    <cellStyle name="20% - Accent1 6 2 8 3" xfId="17776" xr:uid="{00000000-0005-0000-0000-000046060000}"/>
    <cellStyle name="20% - Accent1 6 2 9" xfId="454" xr:uid="{00000000-0005-0000-0000-000047060000}"/>
    <cellStyle name="20% - Accent1 6 2 9 2" xfId="14622" xr:uid="{00000000-0005-0000-0000-000048060000}"/>
    <cellStyle name="20% - Accent1 6 2 9 2 2" xfId="28171" xr:uid="{00000000-0005-0000-0000-000049060000}"/>
    <cellStyle name="20% - Accent1 6 2 9 3" xfId="17777" xr:uid="{00000000-0005-0000-0000-00004A060000}"/>
    <cellStyle name="20% - Accent1 6 3" xfId="455" xr:uid="{00000000-0005-0000-0000-00004B060000}"/>
    <cellStyle name="20% - Accent1 6 3 10" xfId="8880" xr:uid="{00000000-0005-0000-0000-00004C060000}"/>
    <cellStyle name="20% - Accent1 6 3 10 2" xfId="23355" xr:uid="{00000000-0005-0000-0000-00004D060000}"/>
    <cellStyle name="20% - Accent1 6 3 11" xfId="17778" xr:uid="{00000000-0005-0000-0000-00004E060000}"/>
    <cellStyle name="20% - Accent1 6 3 2" xfId="456" xr:uid="{00000000-0005-0000-0000-00004F060000}"/>
    <cellStyle name="20% - Accent1 6 3 2 2" xfId="457" xr:uid="{00000000-0005-0000-0000-000050060000}"/>
    <cellStyle name="20% - Accent1 6 3 2 2 2" xfId="10606" xr:uid="{00000000-0005-0000-0000-000051060000}"/>
    <cellStyle name="20% - Accent1 6 3 2 2 2 2" xfId="24548" xr:uid="{00000000-0005-0000-0000-000052060000}"/>
    <cellStyle name="20% - Accent1 6 3 2 2 3" xfId="17780" xr:uid="{00000000-0005-0000-0000-000053060000}"/>
    <cellStyle name="20% - Accent1 6 3 2 3" xfId="458" xr:uid="{00000000-0005-0000-0000-000054060000}"/>
    <cellStyle name="20% - Accent1 6 3 2 3 2" xfId="12537" xr:uid="{00000000-0005-0000-0000-000055060000}"/>
    <cellStyle name="20% - Accent1 6 3 2 3 2 2" xfId="26249" xr:uid="{00000000-0005-0000-0000-000056060000}"/>
    <cellStyle name="20% - Accent1 6 3 2 3 3" xfId="17781" xr:uid="{00000000-0005-0000-0000-000057060000}"/>
    <cellStyle name="20% - Accent1 6 3 2 4" xfId="459" xr:uid="{00000000-0005-0000-0000-000058060000}"/>
    <cellStyle name="20% - Accent1 6 3 2 4 2" xfId="14629" xr:uid="{00000000-0005-0000-0000-000059060000}"/>
    <cellStyle name="20% - Accent1 6 3 2 4 2 2" xfId="28178" xr:uid="{00000000-0005-0000-0000-00005A060000}"/>
    <cellStyle name="20% - Accent1 6 3 2 4 3" xfId="17782" xr:uid="{00000000-0005-0000-0000-00005B060000}"/>
    <cellStyle name="20% - Accent1 6 3 2 5" xfId="460" xr:uid="{00000000-0005-0000-0000-00005C060000}"/>
    <cellStyle name="20% - Accent1 6 3 2 5 2" xfId="16838" xr:uid="{00000000-0005-0000-0000-00005D060000}"/>
    <cellStyle name="20% - Accent1 6 3 2 5 2 2" xfId="30245" xr:uid="{00000000-0005-0000-0000-00005E060000}"/>
    <cellStyle name="20% - Accent1 6 3 2 5 3" xfId="17783" xr:uid="{00000000-0005-0000-0000-00005F060000}"/>
    <cellStyle name="20% - Accent1 6 3 2 6" xfId="8881" xr:uid="{00000000-0005-0000-0000-000060060000}"/>
    <cellStyle name="20% - Accent1 6 3 2 6 2" xfId="23356" xr:uid="{00000000-0005-0000-0000-000061060000}"/>
    <cellStyle name="20% - Accent1 6 3 2 7" xfId="17779" xr:uid="{00000000-0005-0000-0000-000062060000}"/>
    <cellStyle name="20% - Accent1 6 3 3" xfId="461" xr:uid="{00000000-0005-0000-0000-000063060000}"/>
    <cellStyle name="20% - Accent1 6 3 3 2" xfId="462" xr:uid="{00000000-0005-0000-0000-000064060000}"/>
    <cellStyle name="20% - Accent1 6 3 3 2 2" xfId="14630" xr:uid="{00000000-0005-0000-0000-000065060000}"/>
    <cellStyle name="20% - Accent1 6 3 3 2 2 2" xfId="28179" xr:uid="{00000000-0005-0000-0000-000066060000}"/>
    <cellStyle name="20% - Accent1 6 3 3 2 3" xfId="17785" xr:uid="{00000000-0005-0000-0000-000067060000}"/>
    <cellStyle name="20% - Accent1 6 3 3 3" xfId="10605" xr:uid="{00000000-0005-0000-0000-000068060000}"/>
    <cellStyle name="20% - Accent1 6 3 3 3 2" xfId="24547" xr:uid="{00000000-0005-0000-0000-000069060000}"/>
    <cellStyle name="20% - Accent1 6 3 3 4" xfId="17784" xr:uid="{00000000-0005-0000-0000-00006A060000}"/>
    <cellStyle name="20% - Accent1 6 3 4" xfId="463" xr:uid="{00000000-0005-0000-0000-00006B060000}"/>
    <cellStyle name="20% - Accent1 6 3 4 2" xfId="12226" xr:uid="{00000000-0005-0000-0000-00006C060000}"/>
    <cellStyle name="20% - Accent1 6 3 4 2 2" xfId="25938" xr:uid="{00000000-0005-0000-0000-00006D060000}"/>
    <cellStyle name="20% - Accent1 6 3 4 3" xfId="17786" xr:uid="{00000000-0005-0000-0000-00006E060000}"/>
    <cellStyle name="20% - Accent1 6 3 5" xfId="464" xr:uid="{00000000-0005-0000-0000-00006F060000}"/>
    <cellStyle name="20% - Accent1 6 3 5 2" xfId="12510" xr:uid="{00000000-0005-0000-0000-000070060000}"/>
    <cellStyle name="20% - Accent1 6 3 5 2 2" xfId="26222" xr:uid="{00000000-0005-0000-0000-000071060000}"/>
    <cellStyle name="20% - Accent1 6 3 5 3" xfId="17787" xr:uid="{00000000-0005-0000-0000-000072060000}"/>
    <cellStyle name="20% - Accent1 6 3 6" xfId="465" xr:uid="{00000000-0005-0000-0000-000073060000}"/>
    <cellStyle name="20% - Accent1 6 3 6 2" xfId="13790" xr:uid="{00000000-0005-0000-0000-000074060000}"/>
    <cellStyle name="20% - Accent1 6 3 6 2 2" xfId="27339" xr:uid="{00000000-0005-0000-0000-000075060000}"/>
    <cellStyle name="20% - Accent1 6 3 6 3" xfId="17788" xr:uid="{00000000-0005-0000-0000-000076060000}"/>
    <cellStyle name="20% - Accent1 6 3 7" xfId="466" xr:uid="{00000000-0005-0000-0000-000077060000}"/>
    <cellStyle name="20% - Accent1 6 3 7 2" xfId="14371" xr:uid="{00000000-0005-0000-0000-000078060000}"/>
    <cellStyle name="20% - Accent1 6 3 7 2 2" xfId="27920" xr:uid="{00000000-0005-0000-0000-000079060000}"/>
    <cellStyle name="20% - Accent1 6 3 7 3" xfId="17789" xr:uid="{00000000-0005-0000-0000-00007A060000}"/>
    <cellStyle name="20% - Accent1 6 3 8" xfId="467" xr:uid="{00000000-0005-0000-0000-00007B060000}"/>
    <cellStyle name="20% - Accent1 6 3 8 2" xfId="14628" xr:uid="{00000000-0005-0000-0000-00007C060000}"/>
    <cellStyle name="20% - Accent1 6 3 8 2 2" xfId="28177" xr:uid="{00000000-0005-0000-0000-00007D060000}"/>
    <cellStyle name="20% - Accent1 6 3 8 3" xfId="17790" xr:uid="{00000000-0005-0000-0000-00007E060000}"/>
    <cellStyle name="20% - Accent1 6 3 9" xfId="468" xr:uid="{00000000-0005-0000-0000-00007F060000}"/>
    <cellStyle name="20% - Accent1 6 3 9 2" xfId="16257" xr:uid="{00000000-0005-0000-0000-000080060000}"/>
    <cellStyle name="20% - Accent1 6 3 9 2 2" xfId="29664" xr:uid="{00000000-0005-0000-0000-000081060000}"/>
    <cellStyle name="20% - Accent1 6 3 9 3" xfId="17791" xr:uid="{00000000-0005-0000-0000-000082060000}"/>
    <cellStyle name="20% - Accent1 6 4" xfId="469" xr:uid="{00000000-0005-0000-0000-000083060000}"/>
    <cellStyle name="20% - Accent1 6 4 2" xfId="470" xr:uid="{00000000-0005-0000-0000-000084060000}"/>
    <cellStyle name="20% - Accent1 6 4 2 2" xfId="10607" xr:uid="{00000000-0005-0000-0000-000085060000}"/>
    <cellStyle name="20% - Accent1 6 4 2 2 2" xfId="24549" xr:uid="{00000000-0005-0000-0000-000086060000}"/>
    <cellStyle name="20% - Accent1 6 4 2 3" xfId="17793" xr:uid="{00000000-0005-0000-0000-000087060000}"/>
    <cellStyle name="20% - Accent1 6 4 3" xfId="471" xr:uid="{00000000-0005-0000-0000-000088060000}"/>
    <cellStyle name="20% - Accent1 6 4 3 2" xfId="12481" xr:uid="{00000000-0005-0000-0000-000089060000}"/>
    <cellStyle name="20% - Accent1 6 4 3 2 2" xfId="26193" xr:uid="{00000000-0005-0000-0000-00008A060000}"/>
    <cellStyle name="20% - Accent1 6 4 3 3" xfId="17794" xr:uid="{00000000-0005-0000-0000-00008B060000}"/>
    <cellStyle name="20% - Accent1 6 4 4" xfId="472" xr:uid="{00000000-0005-0000-0000-00008C060000}"/>
    <cellStyle name="20% - Accent1 6 4 4 2" xfId="14631" xr:uid="{00000000-0005-0000-0000-00008D060000}"/>
    <cellStyle name="20% - Accent1 6 4 4 2 2" xfId="28180" xr:uid="{00000000-0005-0000-0000-00008E060000}"/>
    <cellStyle name="20% - Accent1 6 4 4 3" xfId="17795" xr:uid="{00000000-0005-0000-0000-00008F060000}"/>
    <cellStyle name="20% - Accent1 6 4 5" xfId="473" xr:uid="{00000000-0005-0000-0000-000090060000}"/>
    <cellStyle name="20% - Accent1 6 4 5 2" xfId="16549" xr:uid="{00000000-0005-0000-0000-000091060000}"/>
    <cellStyle name="20% - Accent1 6 4 5 2 2" xfId="29956" xr:uid="{00000000-0005-0000-0000-000092060000}"/>
    <cellStyle name="20% - Accent1 6 4 5 3" xfId="17796" xr:uid="{00000000-0005-0000-0000-000093060000}"/>
    <cellStyle name="20% - Accent1 6 4 6" xfId="8882" xr:uid="{00000000-0005-0000-0000-000094060000}"/>
    <cellStyle name="20% - Accent1 6 4 6 2" xfId="23357" xr:uid="{00000000-0005-0000-0000-000095060000}"/>
    <cellStyle name="20% - Accent1 6 4 7" xfId="17792" xr:uid="{00000000-0005-0000-0000-000096060000}"/>
    <cellStyle name="20% - Accent1 6 5" xfId="474" xr:uid="{00000000-0005-0000-0000-000097060000}"/>
    <cellStyle name="20% - Accent1 6 5 2" xfId="475" xr:uid="{00000000-0005-0000-0000-000098060000}"/>
    <cellStyle name="20% - Accent1 6 5 2 2" xfId="14632" xr:uid="{00000000-0005-0000-0000-000099060000}"/>
    <cellStyle name="20% - Accent1 6 5 2 2 2" xfId="28181" xr:uid="{00000000-0005-0000-0000-00009A060000}"/>
    <cellStyle name="20% - Accent1 6 5 2 3" xfId="17798" xr:uid="{00000000-0005-0000-0000-00009B060000}"/>
    <cellStyle name="20% - Accent1 6 5 3" xfId="10600" xr:uid="{00000000-0005-0000-0000-00009C060000}"/>
    <cellStyle name="20% - Accent1 6 5 3 2" xfId="24542" xr:uid="{00000000-0005-0000-0000-00009D060000}"/>
    <cellStyle name="20% - Accent1 6 5 4" xfId="17797" xr:uid="{00000000-0005-0000-0000-00009E060000}"/>
    <cellStyle name="20% - Accent1 6 6" xfId="476" xr:uid="{00000000-0005-0000-0000-00009F060000}"/>
    <cellStyle name="20% - Accent1 6 6 2" xfId="11924" xr:uid="{00000000-0005-0000-0000-0000A0060000}"/>
    <cellStyle name="20% - Accent1 6 6 2 2" xfId="25639" xr:uid="{00000000-0005-0000-0000-0000A1060000}"/>
    <cellStyle name="20% - Accent1 6 6 3" xfId="17799" xr:uid="{00000000-0005-0000-0000-0000A2060000}"/>
    <cellStyle name="20% - Accent1 6 7" xfId="477" xr:uid="{00000000-0005-0000-0000-0000A3060000}"/>
    <cellStyle name="20% - Accent1 6 7 2" xfId="12564" xr:uid="{00000000-0005-0000-0000-0000A4060000}"/>
    <cellStyle name="20% - Accent1 6 7 2 2" xfId="26276" xr:uid="{00000000-0005-0000-0000-0000A5060000}"/>
    <cellStyle name="20% - Accent1 6 7 3" xfId="17800" xr:uid="{00000000-0005-0000-0000-0000A6060000}"/>
    <cellStyle name="20% - Accent1 6 8" xfId="478" xr:uid="{00000000-0005-0000-0000-0000A7060000}"/>
    <cellStyle name="20% - Accent1 6 8 2" xfId="13501" xr:uid="{00000000-0005-0000-0000-0000A8060000}"/>
    <cellStyle name="20% - Accent1 6 8 2 2" xfId="27050" xr:uid="{00000000-0005-0000-0000-0000A9060000}"/>
    <cellStyle name="20% - Accent1 6 8 3" xfId="17801" xr:uid="{00000000-0005-0000-0000-0000AA060000}"/>
    <cellStyle name="20% - Accent1 6 9" xfId="479" xr:uid="{00000000-0005-0000-0000-0000AB060000}"/>
    <cellStyle name="20% - Accent1 6 9 2" xfId="14082" xr:uid="{00000000-0005-0000-0000-0000AC060000}"/>
    <cellStyle name="20% - Accent1 6 9 2 2" xfId="27631" xr:uid="{00000000-0005-0000-0000-0000AD060000}"/>
    <cellStyle name="20% - Accent1 6 9 3" xfId="17802" xr:uid="{00000000-0005-0000-0000-0000AE060000}"/>
    <cellStyle name="20% - Accent1 7" xfId="480" xr:uid="{00000000-0005-0000-0000-0000AF060000}"/>
    <cellStyle name="20% - Accent1 7 10" xfId="481" xr:uid="{00000000-0005-0000-0000-0000B0060000}"/>
    <cellStyle name="20% - Accent1 7 10 2" xfId="15988" xr:uid="{00000000-0005-0000-0000-0000B1060000}"/>
    <cellStyle name="20% - Accent1 7 10 2 2" xfId="29395" xr:uid="{00000000-0005-0000-0000-0000B2060000}"/>
    <cellStyle name="20% - Accent1 7 10 3" xfId="17804" xr:uid="{00000000-0005-0000-0000-0000B3060000}"/>
    <cellStyle name="20% - Accent1 7 11" xfId="8883" xr:uid="{00000000-0005-0000-0000-0000B4060000}"/>
    <cellStyle name="20% - Accent1 7 11 2" xfId="23358" xr:uid="{00000000-0005-0000-0000-0000B5060000}"/>
    <cellStyle name="20% - Accent1 7 12" xfId="17803" xr:uid="{00000000-0005-0000-0000-0000B6060000}"/>
    <cellStyle name="20% - Accent1 7 2" xfId="482" xr:uid="{00000000-0005-0000-0000-0000B7060000}"/>
    <cellStyle name="20% - Accent1 7 2 10" xfId="8884" xr:uid="{00000000-0005-0000-0000-0000B8060000}"/>
    <cellStyle name="20% - Accent1 7 2 10 2" xfId="23359" xr:uid="{00000000-0005-0000-0000-0000B9060000}"/>
    <cellStyle name="20% - Accent1 7 2 11" xfId="17805" xr:uid="{00000000-0005-0000-0000-0000BA060000}"/>
    <cellStyle name="20% - Accent1 7 2 2" xfId="483" xr:uid="{00000000-0005-0000-0000-0000BB060000}"/>
    <cellStyle name="20% - Accent1 7 2 2 2" xfId="484" xr:uid="{00000000-0005-0000-0000-0000BC060000}"/>
    <cellStyle name="20% - Accent1 7 2 2 2 2" xfId="10610" xr:uid="{00000000-0005-0000-0000-0000BD060000}"/>
    <cellStyle name="20% - Accent1 7 2 2 2 2 2" xfId="24552" xr:uid="{00000000-0005-0000-0000-0000BE060000}"/>
    <cellStyle name="20% - Accent1 7 2 2 2 3" xfId="17807" xr:uid="{00000000-0005-0000-0000-0000BF060000}"/>
    <cellStyle name="20% - Accent1 7 2 2 3" xfId="485" xr:uid="{00000000-0005-0000-0000-0000C0060000}"/>
    <cellStyle name="20% - Accent1 7 2 2 3 2" xfId="11782" xr:uid="{00000000-0005-0000-0000-0000C1060000}"/>
    <cellStyle name="20% - Accent1 7 2 2 3 2 2" xfId="25497" xr:uid="{00000000-0005-0000-0000-0000C2060000}"/>
    <cellStyle name="20% - Accent1 7 2 2 3 3" xfId="17808" xr:uid="{00000000-0005-0000-0000-0000C3060000}"/>
    <cellStyle name="20% - Accent1 7 2 2 4" xfId="486" xr:uid="{00000000-0005-0000-0000-0000C4060000}"/>
    <cellStyle name="20% - Accent1 7 2 2 4 2" xfId="14635" xr:uid="{00000000-0005-0000-0000-0000C5060000}"/>
    <cellStyle name="20% - Accent1 7 2 2 4 2 2" xfId="28184" xr:uid="{00000000-0005-0000-0000-0000C6060000}"/>
    <cellStyle name="20% - Accent1 7 2 2 4 3" xfId="17809" xr:uid="{00000000-0005-0000-0000-0000C7060000}"/>
    <cellStyle name="20% - Accent1 7 2 2 5" xfId="487" xr:uid="{00000000-0005-0000-0000-0000C8060000}"/>
    <cellStyle name="20% - Accent1 7 2 2 5 2" xfId="16858" xr:uid="{00000000-0005-0000-0000-0000C9060000}"/>
    <cellStyle name="20% - Accent1 7 2 2 5 2 2" xfId="30265" xr:uid="{00000000-0005-0000-0000-0000CA060000}"/>
    <cellStyle name="20% - Accent1 7 2 2 5 3" xfId="17810" xr:uid="{00000000-0005-0000-0000-0000CB060000}"/>
    <cellStyle name="20% - Accent1 7 2 2 6" xfId="8885" xr:uid="{00000000-0005-0000-0000-0000CC060000}"/>
    <cellStyle name="20% - Accent1 7 2 2 6 2" xfId="23360" xr:uid="{00000000-0005-0000-0000-0000CD060000}"/>
    <cellStyle name="20% - Accent1 7 2 2 7" xfId="17806" xr:uid="{00000000-0005-0000-0000-0000CE060000}"/>
    <cellStyle name="20% - Accent1 7 2 3" xfId="488" xr:uid="{00000000-0005-0000-0000-0000CF060000}"/>
    <cellStyle name="20% - Accent1 7 2 3 2" xfId="489" xr:uid="{00000000-0005-0000-0000-0000D0060000}"/>
    <cellStyle name="20% - Accent1 7 2 3 2 2" xfId="14636" xr:uid="{00000000-0005-0000-0000-0000D1060000}"/>
    <cellStyle name="20% - Accent1 7 2 3 2 2 2" xfId="28185" xr:uid="{00000000-0005-0000-0000-0000D2060000}"/>
    <cellStyle name="20% - Accent1 7 2 3 2 3" xfId="17812" xr:uid="{00000000-0005-0000-0000-0000D3060000}"/>
    <cellStyle name="20% - Accent1 7 2 3 3" xfId="10609" xr:uid="{00000000-0005-0000-0000-0000D4060000}"/>
    <cellStyle name="20% - Accent1 7 2 3 3 2" xfId="24551" xr:uid="{00000000-0005-0000-0000-0000D5060000}"/>
    <cellStyle name="20% - Accent1 7 2 3 4" xfId="17811" xr:uid="{00000000-0005-0000-0000-0000D6060000}"/>
    <cellStyle name="20% - Accent1 7 2 4" xfId="490" xr:uid="{00000000-0005-0000-0000-0000D7060000}"/>
    <cellStyle name="20% - Accent1 7 2 4 2" xfId="12246" xr:uid="{00000000-0005-0000-0000-0000D8060000}"/>
    <cellStyle name="20% - Accent1 7 2 4 2 2" xfId="25958" xr:uid="{00000000-0005-0000-0000-0000D9060000}"/>
    <cellStyle name="20% - Accent1 7 2 4 3" xfId="17813" xr:uid="{00000000-0005-0000-0000-0000DA060000}"/>
    <cellStyle name="20% - Accent1 7 2 5" xfId="491" xr:uid="{00000000-0005-0000-0000-0000DB060000}"/>
    <cellStyle name="20% - Accent1 7 2 5 2" xfId="12682" xr:uid="{00000000-0005-0000-0000-0000DC060000}"/>
    <cellStyle name="20% - Accent1 7 2 5 2 2" xfId="26394" xr:uid="{00000000-0005-0000-0000-0000DD060000}"/>
    <cellStyle name="20% - Accent1 7 2 5 3" xfId="17814" xr:uid="{00000000-0005-0000-0000-0000DE060000}"/>
    <cellStyle name="20% - Accent1 7 2 6" xfId="492" xr:uid="{00000000-0005-0000-0000-0000DF060000}"/>
    <cellStyle name="20% - Accent1 7 2 6 2" xfId="13810" xr:uid="{00000000-0005-0000-0000-0000E0060000}"/>
    <cellStyle name="20% - Accent1 7 2 6 2 2" xfId="27359" xr:uid="{00000000-0005-0000-0000-0000E1060000}"/>
    <cellStyle name="20% - Accent1 7 2 6 3" xfId="17815" xr:uid="{00000000-0005-0000-0000-0000E2060000}"/>
    <cellStyle name="20% - Accent1 7 2 7" xfId="493" xr:uid="{00000000-0005-0000-0000-0000E3060000}"/>
    <cellStyle name="20% - Accent1 7 2 7 2" xfId="14391" xr:uid="{00000000-0005-0000-0000-0000E4060000}"/>
    <cellStyle name="20% - Accent1 7 2 7 2 2" xfId="27940" xr:uid="{00000000-0005-0000-0000-0000E5060000}"/>
    <cellStyle name="20% - Accent1 7 2 7 3" xfId="17816" xr:uid="{00000000-0005-0000-0000-0000E6060000}"/>
    <cellStyle name="20% - Accent1 7 2 8" xfId="494" xr:uid="{00000000-0005-0000-0000-0000E7060000}"/>
    <cellStyle name="20% - Accent1 7 2 8 2" xfId="14634" xr:uid="{00000000-0005-0000-0000-0000E8060000}"/>
    <cellStyle name="20% - Accent1 7 2 8 2 2" xfId="28183" xr:uid="{00000000-0005-0000-0000-0000E9060000}"/>
    <cellStyle name="20% - Accent1 7 2 8 3" xfId="17817" xr:uid="{00000000-0005-0000-0000-0000EA060000}"/>
    <cellStyle name="20% - Accent1 7 2 9" xfId="495" xr:uid="{00000000-0005-0000-0000-0000EB060000}"/>
    <cellStyle name="20% - Accent1 7 2 9 2" xfId="16277" xr:uid="{00000000-0005-0000-0000-0000EC060000}"/>
    <cellStyle name="20% - Accent1 7 2 9 2 2" xfId="29684" xr:uid="{00000000-0005-0000-0000-0000ED060000}"/>
    <cellStyle name="20% - Accent1 7 2 9 3" xfId="17818" xr:uid="{00000000-0005-0000-0000-0000EE060000}"/>
    <cellStyle name="20% - Accent1 7 3" xfId="496" xr:uid="{00000000-0005-0000-0000-0000EF060000}"/>
    <cellStyle name="20% - Accent1 7 3 2" xfId="497" xr:uid="{00000000-0005-0000-0000-0000F0060000}"/>
    <cellStyle name="20% - Accent1 7 3 2 2" xfId="10611" xr:uid="{00000000-0005-0000-0000-0000F1060000}"/>
    <cellStyle name="20% - Accent1 7 3 2 2 2" xfId="24553" xr:uid="{00000000-0005-0000-0000-0000F2060000}"/>
    <cellStyle name="20% - Accent1 7 3 2 3" xfId="17820" xr:uid="{00000000-0005-0000-0000-0000F3060000}"/>
    <cellStyle name="20% - Accent1 7 3 3" xfId="498" xr:uid="{00000000-0005-0000-0000-0000F4060000}"/>
    <cellStyle name="20% - Accent1 7 3 3 2" xfId="12573" xr:uid="{00000000-0005-0000-0000-0000F5060000}"/>
    <cellStyle name="20% - Accent1 7 3 3 2 2" xfId="26285" xr:uid="{00000000-0005-0000-0000-0000F6060000}"/>
    <cellStyle name="20% - Accent1 7 3 3 3" xfId="17821" xr:uid="{00000000-0005-0000-0000-0000F7060000}"/>
    <cellStyle name="20% - Accent1 7 3 4" xfId="499" xr:uid="{00000000-0005-0000-0000-0000F8060000}"/>
    <cellStyle name="20% - Accent1 7 3 4 2" xfId="14637" xr:uid="{00000000-0005-0000-0000-0000F9060000}"/>
    <cellStyle name="20% - Accent1 7 3 4 2 2" xfId="28186" xr:uid="{00000000-0005-0000-0000-0000FA060000}"/>
    <cellStyle name="20% - Accent1 7 3 4 3" xfId="17822" xr:uid="{00000000-0005-0000-0000-0000FB060000}"/>
    <cellStyle name="20% - Accent1 7 3 5" xfId="500" xr:uid="{00000000-0005-0000-0000-0000FC060000}"/>
    <cellStyle name="20% - Accent1 7 3 5 2" xfId="16569" xr:uid="{00000000-0005-0000-0000-0000FD060000}"/>
    <cellStyle name="20% - Accent1 7 3 5 2 2" xfId="29976" xr:uid="{00000000-0005-0000-0000-0000FE060000}"/>
    <cellStyle name="20% - Accent1 7 3 5 3" xfId="17823" xr:uid="{00000000-0005-0000-0000-0000FF060000}"/>
    <cellStyle name="20% - Accent1 7 3 6" xfId="8886" xr:uid="{00000000-0005-0000-0000-000000070000}"/>
    <cellStyle name="20% - Accent1 7 3 6 2" xfId="23361" xr:uid="{00000000-0005-0000-0000-000001070000}"/>
    <cellStyle name="20% - Accent1 7 3 7" xfId="17819" xr:uid="{00000000-0005-0000-0000-000002070000}"/>
    <cellStyle name="20% - Accent1 7 4" xfId="501" xr:uid="{00000000-0005-0000-0000-000003070000}"/>
    <cellStyle name="20% - Accent1 7 4 2" xfId="502" xr:uid="{00000000-0005-0000-0000-000004070000}"/>
    <cellStyle name="20% - Accent1 7 4 2 2" xfId="14638" xr:uid="{00000000-0005-0000-0000-000005070000}"/>
    <cellStyle name="20% - Accent1 7 4 2 2 2" xfId="28187" xr:uid="{00000000-0005-0000-0000-000006070000}"/>
    <cellStyle name="20% - Accent1 7 4 2 3" xfId="17825" xr:uid="{00000000-0005-0000-0000-000007070000}"/>
    <cellStyle name="20% - Accent1 7 4 3" xfId="10608" xr:uid="{00000000-0005-0000-0000-000008070000}"/>
    <cellStyle name="20% - Accent1 7 4 3 2" xfId="24550" xr:uid="{00000000-0005-0000-0000-000009070000}"/>
    <cellStyle name="20% - Accent1 7 4 4" xfId="17824" xr:uid="{00000000-0005-0000-0000-00000A070000}"/>
    <cellStyle name="20% - Accent1 7 5" xfId="503" xr:uid="{00000000-0005-0000-0000-00000B070000}"/>
    <cellStyle name="20% - Accent1 7 5 2" xfId="11944" xr:uid="{00000000-0005-0000-0000-00000C070000}"/>
    <cellStyle name="20% - Accent1 7 5 2 2" xfId="25659" xr:uid="{00000000-0005-0000-0000-00000D070000}"/>
    <cellStyle name="20% - Accent1 7 5 3" xfId="17826" xr:uid="{00000000-0005-0000-0000-00000E070000}"/>
    <cellStyle name="20% - Accent1 7 6" xfId="504" xr:uid="{00000000-0005-0000-0000-00000F070000}"/>
    <cellStyle name="20% - Accent1 7 6 2" xfId="12592" xr:uid="{00000000-0005-0000-0000-000010070000}"/>
    <cellStyle name="20% - Accent1 7 6 2 2" xfId="26304" xr:uid="{00000000-0005-0000-0000-000011070000}"/>
    <cellStyle name="20% - Accent1 7 6 3" xfId="17827" xr:uid="{00000000-0005-0000-0000-000012070000}"/>
    <cellStyle name="20% - Accent1 7 7" xfId="505" xr:uid="{00000000-0005-0000-0000-000013070000}"/>
    <cellStyle name="20% - Accent1 7 7 2" xfId="13521" xr:uid="{00000000-0005-0000-0000-000014070000}"/>
    <cellStyle name="20% - Accent1 7 7 2 2" xfId="27070" xr:uid="{00000000-0005-0000-0000-000015070000}"/>
    <cellStyle name="20% - Accent1 7 7 3" xfId="17828" xr:uid="{00000000-0005-0000-0000-000016070000}"/>
    <cellStyle name="20% - Accent1 7 8" xfId="506" xr:uid="{00000000-0005-0000-0000-000017070000}"/>
    <cellStyle name="20% - Accent1 7 8 2" xfId="14102" xr:uid="{00000000-0005-0000-0000-000018070000}"/>
    <cellStyle name="20% - Accent1 7 8 2 2" xfId="27651" xr:uid="{00000000-0005-0000-0000-000019070000}"/>
    <cellStyle name="20% - Accent1 7 8 3" xfId="17829" xr:uid="{00000000-0005-0000-0000-00001A070000}"/>
    <cellStyle name="20% - Accent1 7 9" xfId="507" xr:uid="{00000000-0005-0000-0000-00001B070000}"/>
    <cellStyle name="20% - Accent1 7 9 2" xfId="14633" xr:uid="{00000000-0005-0000-0000-00001C070000}"/>
    <cellStyle name="20% - Accent1 7 9 2 2" xfId="28182" xr:uid="{00000000-0005-0000-0000-00001D070000}"/>
    <cellStyle name="20% - Accent1 7 9 3" xfId="17830" xr:uid="{00000000-0005-0000-0000-00001E070000}"/>
    <cellStyle name="20% - Accent1 8" xfId="508" xr:uid="{00000000-0005-0000-0000-00001F070000}"/>
    <cellStyle name="20% - Accent1 8 10" xfId="8887" xr:uid="{00000000-0005-0000-0000-000020070000}"/>
    <cellStyle name="20% - Accent1 8 10 2" xfId="23362" xr:uid="{00000000-0005-0000-0000-000021070000}"/>
    <cellStyle name="20% - Accent1 8 11" xfId="17831" xr:uid="{00000000-0005-0000-0000-000022070000}"/>
    <cellStyle name="20% - Accent1 8 2" xfId="509" xr:uid="{00000000-0005-0000-0000-000023070000}"/>
    <cellStyle name="20% - Accent1 8 2 2" xfId="510" xr:uid="{00000000-0005-0000-0000-000024070000}"/>
    <cellStyle name="20% - Accent1 8 2 2 2" xfId="10613" xr:uid="{00000000-0005-0000-0000-000025070000}"/>
    <cellStyle name="20% - Accent1 8 2 2 2 2" xfId="24555" xr:uid="{00000000-0005-0000-0000-000026070000}"/>
    <cellStyle name="20% - Accent1 8 2 2 3" xfId="17833" xr:uid="{00000000-0005-0000-0000-000027070000}"/>
    <cellStyle name="20% - Accent1 8 2 3" xfId="511" xr:uid="{00000000-0005-0000-0000-000028070000}"/>
    <cellStyle name="20% - Accent1 8 2 3 2" xfId="12714" xr:uid="{00000000-0005-0000-0000-000029070000}"/>
    <cellStyle name="20% - Accent1 8 2 3 2 2" xfId="26426" xr:uid="{00000000-0005-0000-0000-00002A070000}"/>
    <cellStyle name="20% - Accent1 8 2 3 3" xfId="17834" xr:uid="{00000000-0005-0000-0000-00002B070000}"/>
    <cellStyle name="20% - Accent1 8 2 4" xfId="512" xr:uid="{00000000-0005-0000-0000-00002C070000}"/>
    <cellStyle name="20% - Accent1 8 2 4 2" xfId="14640" xr:uid="{00000000-0005-0000-0000-00002D070000}"/>
    <cellStyle name="20% - Accent1 8 2 4 2 2" xfId="28189" xr:uid="{00000000-0005-0000-0000-00002E070000}"/>
    <cellStyle name="20% - Accent1 8 2 4 3" xfId="17835" xr:uid="{00000000-0005-0000-0000-00002F070000}"/>
    <cellStyle name="20% - Accent1 8 2 5" xfId="513" xr:uid="{00000000-0005-0000-0000-000030070000}"/>
    <cellStyle name="20% - Accent1 8 2 5 2" xfId="16712" xr:uid="{00000000-0005-0000-0000-000031070000}"/>
    <cellStyle name="20% - Accent1 8 2 5 2 2" xfId="30119" xr:uid="{00000000-0005-0000-0000-000032070000}"/>
    <cellStyle name="20% - Accent1 8 2 5 3" xfId="17836" xr:uid="{00000000-0005-0000-0000-000033070000}"/>
    <cellStyle name="20% - Accent1 8 2 6" xfId="8888" xr:uid="{00000000-0005-0000-0000-000034070000}"/>
    <cellStyle name="20% - Accent1 8 2 6 2" xfId="23363" xr:uid="{00000000-0005-0000-0000-000035070000}"/>
    <cellStyle name="20% - Accent1 8 2 7" xfId="17832" xr:uid="{00000000-0005-0000-0000-000036070000}"/>
    <cellStyle name="20% - Accent1 8 3" xfId="514" xr:uid="{00000000-0005-0000-0000-000037070000}"/>
    <cellStyle name="20% - Accent1 8 3 2" xfId="515" xr:uid="{00000000-0005-0000-0000-000038070000}"/>
    <cellStyle name="20% - Accent1 8 3 2 2" xfId="14641" xr:uid="{00000000-0005-0000-0000-000039070000}"/>
    <cellStyle name="20% - Accent1 8 3 2 2 2" xfId="28190" xr:uid="{00000000-0005-0000-0000-00003A070000}"/>
    <cellStyle name="20% - Accent1 8 3 2 3" xfId="17838" xr:uid="{00000000-0005-0000-0000-00003B070000}"/>
    <cellStyle name="20% - Accent1 8 3 3" xfId="10612" xr:uid="{00000000-0005-0000-0000-00003C070000}"/>
    <cellStyle name="20% - Accent1 8 3 3 2" xfId="24554" xr:uid="{00000000-0005-0000-0000-00003D070000}"/>
    <cellStyle name="20% - Accent1 8 3 4" xfId="17837" xr:uid="{00000000-0005-0000-0000-00003E070000}"/>
    <cellStyle name="20% - Accent1 8 4" xfId="516" xr:uid="{00000000-0005-0000-0000-00003F070000}"/>
    <cellStyle name="20% - Accent1 8 4 2" xfId="12090" xr:uid="{00000000-0005-0000-0000-000040070000}"/>
    <cellStyle name="20% - Accent1 8 4 2 2" xfId="25804" xr:uid="{00000000-0005-0000-0000-000041070000}"/>
    <cellStyle name="20% - Accent1 8 4 3" xfId="17839" xr:uid="{00000000-0005-0000-0000-000042070000}"/>
    <cellStyle name="20% - Accent1 8 5" xfId="517" xr:uid="{00000000-0005-0000-0000-000043070000}"/>
    <cellStyle name="20% - Accent1 8 5 2" xfId="12580" xr:uid="{00000000-0005-0000-0000-000044070000}"/>
    <cellStyle name="20% - Accent1 8 5 2 2" xfId="26292" xr:uid="{00000000-0005-0000-0000-000045070000}"/>
    <cellStyle name="20% - Accent1 8 5 3" xfId="17840" xr:uid="{00000000-0005-0000-0000-000046070000}"/>
    <cellStyle name="20% - Accent1 8 6" xfId="518" xr:uid="{00000000-0005-0000-0000-000047070000}"/>
    <cellStyle name="20% - Accent1 8 6 2" xfId="13664" xr:uid="{00000000-0005-0000-0000-000048070000}"/>
    <cellStyle name="20% - Accent1 8 6 2 2" xfId="27213" xr:uid="{00000000-0005-0000-0000-000049070000}"/>
    <cellStyle name="20% - Accent1 8 6 3" xfId="17841" xr:uid="{00000000-0005-0000-0000-00004A070000}"/>
    <cellStyle name="20% - Accent1 8 7" xfId="519" xr:uid="{00000000-0005-0000-0000-00004B070000}"/>
    <cellStyle name="20% - Accent1 8 7 2" xfId="14245" xr:uid="{00000000-0005-0000-0000-00004C070000}"/>
    <cellStyle name="20% - Accent1 8 7 2 2" xfId="27794" xr:uid="{00000000-0005-0000-0000-00004D070000}"/>
    <cellStyle name="20% - Accent1 8 7 3" xfId="17842" xr:uid="{00000000-0005-0000-0000-00004E070000}"/>
    <cellStyle name="20% - Accent1 8 8" xfId="520" xr:uid="{00000000-0005-0000-0000-00004F070000}"/>
    <cellStyle name="20% - Accent1 8 8 2" xfId="14639" xr:uid="{00000000-0005-0000-0000-000050070000}"/>
    <cellStyle name="20% - Accent1 8 8 2 2" xfId="28188" xr:uid="{00000000-0005-0000-0000-000051070000}"/>
    <cellStyle name="20% - Accent1 8 8 3" xfId="17843" xr:uid="{00000000-0005-0000-0000-000052070000}"/>
    <cellStyle name="20% - Accent1 8 9" xfId="521" xr:uid="{00000000-0005-0000-0000-000053070000}"/>
    <cellStyle name="20% - Accent1 8 9 2" xfId="16131" xr:uid="{00000000-0005-0000-0000-000054070000}"/>
    <cellStyle name="20% - Accent1 8 9 2 2" xfId="29538" xr:uid="{00000000-0005-0000-0000-000055070000}"/>
    <cellStyle name="20% - Accent1 8 9 3" xfId="17844" xr:uid="{00000000-0005-0000-0000-000056070000}"/>
    <cellStyle name="20% - Accent1 9" xfId="522" xr:uid="{00000000-0005-0000-0000-000057070000}"/>
    <cellStyle name="20% - Accent1 9 2" xfId="523" xr:uid="{00000000-0005-0000-0000-000058070000}"/>
    <cellStyle name="20% - Accent1 9 2 2" xfId="10614" xr:uid="{00000000-0005-0000-0000-000059070000}"/>
    <cellStyle name="20% - Accent1 9 2 2 2" xfId="24556" xr:uid="{00000000-0005-0000-0000-00005A070000}"/>
    <cellStyle name="20% - Accent1 9 2 3" xfId="17846" xr:uid="{00000000-0005-0000-0000-00005B070000}"/>
    <cellStyle name="20% - Accent1 9 3" xfId="524" xr:uid="{00000000-0005-0000-0000-00005C070000}"/>
    <cellStyle name="20% - Accent1 9 3 2" xfId="12583" xr:uid="{00000000-0005-0000-0000-00005D070000}"/>
    <cellStyle name="20% - Accent1 9 3 2 2" xfId="26295" xr:uid="{00000000-0005-0000-0000-00005E070000}"/>
    <cellStyle name="20% - Accent1 9 3 3" xfId="17847" xr:uid="{00000000-0005-0000-0000-00005F070000}"/>
    <cellStyle name="20% - Accent1 9 4" xfId="525" xr:uid="{00000000-0005-0000-0000-000060070000}"/>
    <cellStyle name="20% - Accent1 9 4 2" xfId="14642" xr:uid="{00000000-0005-0000-0000-000061070000}"/>
    <cellStyle name="20% - Accent1 9 4 2 2" xfId="28191" xr:uid="{00000000-0005-0000-0000-000062070000}"/>
    <cellStyle name="20% - Accent1 9 4 3" xfId="17848" xr:uid="{00000000-0005-0000-0000-000063070000}"/>
    <cellStyle name="20% - Accent1 9 5" xfId="526" xr:uid="{00000000-0005-0000-0000-000064070000}"/>
    <cellStyle name="20% - Accent1 9 5 2" xfId="17096" xr:uid="{00000000-0005-0000-0000-000065070000}"/>
    <cellStyle name="20% - Accent1 9 5 2 2" xfId="30455" xr:uid="{00000000-0005-0000-0000-000066070000}"/>
    <cellStyle name="20% - Accent1 9 5 3" xfId="17849" xr:uid="{00000000-0005-0000-0000-000067070000}"/>
    <cellStyle name="20% - Accent1 9 6" xfId="8889" xr:uid="{00000000-0005-0000-0000-000068070000}"/>
    <cellStyle name="20% - Accent1 9 6 2" xfId="23364" xr:uid="{00000000-0005-0000-0000-000069070000}"/>
    <cellStyle name="20% - Accent1 9 7" xfId="17845" xr:uid="{00000000-0005-0000-0000-00006A070000}"/>
    <cellStyle name="20% - Accent2" xfId="32" builtinId="34" customBuiltin="1"/>
    <cellStyle name="20% - Accent2 10" xfId="527" xr:uid="{00000000-0005-0000-0000-00006C070000}"/>
    <cellStyle name="20% - Accent2 10 2" xfId="528" xr:uid="{00000000-0005-0000-0000-00006D070000}"/>
    <cellStyle name="20% - Accent2 10 2 2" xfId="529" xr:uid="{00000000-0005-0000-0000-00006E070000}"/>
    <cellStyle name="20% - Accent2 10 2 2 2" xfId="12582" xr:uid="{00000000-0005-0000-0000-00006F070000}"/>
    <cellStyle name="20% - Accent2 10 2 2 2 2" xfId="26294" xr:uid="{00000000-0005-0000-0000-000070070000}"/>
    <cellStyle name="20% - Accent2 10 2 2 3" xfId="17852" xr:uid="{00000000-0005-0000-0000-000071070000}"/>
    <cellStyle name="20% - Accent2 10 2 3" xfId="530" xr:uid="{00000000-0005-0000-0000-000072070000}"/>
    <cellStyle name="20% - Accent2 10 2 3 2" xfId="14645" xr:uid="{00000000-0005-0000-0000-000073070000}"/>
    <cellStyle name="20% - Accent2 10 2 3 2 2" xfId="28194" xr:uid="{00000000-0005-0000-0000-000074070000}"/>
    <cellStyle name="20% - Accent2 10 2 3 3" xfId="17853" xr:uid="{00000000-0005-0000-0000-000075070000}"/>
    <cellStyle name="20% - Accent2 10 2 4" xfId="10616" xr:uid="{00000000-0005-0000-0000-000076070000}"/>
    <cellStyle name="20% - Accent2 10 2 4 2" xfId="24558" xr:uid="{00000000-0005-0000-0000-000077070000}"/>
    <cellStyle name="20% - Accent2 10 2 5" xfId="17851" xr:uid="{00000000-0005-0000-0000-000078070000}"/>
    <cellStyle name="20% - Accent2 10 3" xfId="531" xr:uid="{00000000-0005-0000-0000-000079070000}"/>
    <cellStyle name="20% - Accent2 10 3 2" xfId="12404" xr:uid="{00000000-0005-0000-0000-00007A070000}"/>
    <cellStyle name="20% - Accent2 10 3 2 2" xfId="26116" xr:uid="{00000000-0005-0000-0000-00007B070000}"/>
    <cellStyle name="20% - Accent2 10 3 3" xfId="17854" xr:uid="{00000000-0005-0000-0000-00007C070000}"/>
    <cellStyle name="20% - Accent2 10 4" xfId="532" xr:uid="{00000000-0005-0000-0000-00007D070000}"/>
    <cellStyle name="20% - Accent2 10 4 2" xfId="14644" xr:uid="{00000000-0005-0000-0000-00007E070000}"/>
    <cellStyle name="20% - Accent2 10 4 2 2" xfId="28193" xr:uid="{00000000-0005-0000-0000-00007F070000}"/>
    <cellStyle name="20% - Accent2 10 4 3" xfId="17855" xr:uid="{00000000-0005-0000-0000-000080070000}"/>
    <cellStyle name="20% - Accent2 10 5" xfId="533" xr:uid="{00000000-0005-0000-0000-000081070000}"/>
    <cellStyle name="20% - Accent2 10 5 2" xfId="17186" xr:uid="{00000000-0005-0000-0000-000082070000}"/>
    <cellStyle name="20% - Accent2 10 5 2 2" xfId="30545" xr:uid="{00000000-0005-0000-0000-000083070000}"/>
    <cellStyle name="20% - Accent2 10 5 3" xfId="17856" xr:uid="{00000000-0005-0000-0000-000084070000}"/>
    <cellStyle name="20% - Accent2 10 6" xfId="8891" xr:uid="{00000000-0005-0000-0000-000085070000}"/>
    <cellStyle name="20% - Accent2 10 6 2" xfId="23366" xr:uid="{00000000-0005-0000-0000-000086070000}"/>
    <cellStyle name="20% - Accent2 10 7" xfId="17850" xr:uid="{00000000-0005-0000-0000-000087070000}"/>
    <cellStyle name="20% - Accent2 11" xfId="534" xr:uid="{00000000-0005-0000-0000-000088070000}"/>
    <cellStyle name="20% - Accent2 11 2" xfId="535" xr:uid="{00000000-0005-0000-0000-000089070000}"/>
    <cellStyle name="20% - Accent2 11 2 2" xfId="10617" xr:uid="{00000000-0005-0000-0000-00008A070000}"/>
    <cellStyle name="20% - Accent2 11 2 2 2" xfId="24559" xr:uid="{00000000-0005-0000-0000-00008B070000}"/>
    <cellStyle name="20% - Accent2 11 2 3" xfId="17858" xr:uid="{00000000-0005-0000-0000-00008C070000}"/>
    <cellStyle name="20% - Accent2 11 3" xfId="536" xr:uid="{00000000-0005-0000-0000-00008D070000}"/>
    <cellStyle name="20% - Accent2 11 3 2" xfId="12538" xr:uid="{00000000-0005-0000-0000-00008E070000}"/>
    <cellStyle name="20% - Accent2 11 3 2 2" xfId="26250" xr:uid="{00000000-0005-0000-0000-00008F070000}"/>
    <cellStyle name="20% - Accent2 11 3 3" xfId="17859" xr:uid="{00000000-0005-0000-0000-000090070000}"/>
    <cellStyle name="20% - Accent2 11 4" xfId="537" xr:uid="{00000000-0005-0000-0000-000091070000}"/>
    <cellStyle name="20% - Accent2 11 4 2" xfId="14646" xr:uid="{00000000-0005-0000-0000-000092070000}"/>
    <cellStyle name="20% - Accent2 11 4 2 2" xfId="28195" xr:uid="{00000000-0005-0000-0000-000093070000}"/>
    <cellStyle name="20% - Accent2 11 4 3" xfId="17860" xr:uid="{00000000-0005-0000-0000-000094070000}"/>
    <cellStyle name="20% - Accent2 11 5" xfId="538" xr:uid="{00000000-0005-0000-0000-000095070000}"/>
    <cellStyle name="20% - Accent2 11 5 2" xfId="17275" xr:uid="{00000000-0005-0000-0000-000096070000}"/>
    <cellStyle name="20% - Accent2 11 5 2 2" xfId="30634" xr:uid="{00000000-0005-0000-0000-000097070000}"/>
    <cellStyle name="20% - Accent2 11 5 3" xfId="17861" xr:uid="{00000000-0005-0000-0000-000098070000}"/>
    <cellStyle name="20% - Accent2 11 6" xfId="8892" xr:uid="{00000000-0005-0000-0000-000099070000}"/>
    <cellStyle name="20% - Accent2 11 6 2" xfId="23367" xr:uid="{00000000-0005-0000-0000-00009A070000}"/>
    <cellStyle name="20% - Accent2 11 7" xfId="17857" xr:uid="{00000000-0005-0000-0000-00009B070000}"/>
    <cellStyle name="20% - Accent2 12" xfId="539" xr:uid="{00000000-0005-0000-0000-00009C070000}"/>
    <cellStyle name="20% - Accent2 12 2" xfId="540" xr:uid="{00000000-0005-0000-0000-00009D070000}"/>
    <cellStyle name="20% - Accent2 12 2 2" xfId="541" xr:uid="{00000000-0005-0000-0000-00009E070000}"/>
    <cellStyle name="20% - Accent2 12 2 2 2" xfId="10619" xr:uid="{00000000-0005-0000-0000-00009F070000}"/>
    <cellStyle name="20% - Accent2 12 2 2 2 2" xfId="24561" xr:uid="{00000000-0005-0000-0000-0000A0070000}"/>
    <cellStyle name="20% - Accent2 12 2 2 3" xfId="17864" xr:uid="{00000000-0005-0000-0000-0000A1070000}"/>
    <cellStyle name="20% - Accent2 12 2 3" xfId="542" xr:uid="{00000000-0005-0000-0000-0000A2070000}"/>
    <cellStyle name="20% - Accent2 12 2 3 2" xfId="12456" xr:uid="{00000000-0005-0000-0000-0000A3070000}"/>
    <cellStyle name="20% - Accent2 12 2 3 2 2" xfId="26168" xr:uid="{00000000-0005-0000-0000-0000A4070000}"/>
    <cellStyle name="20% - Accent2 12 2 3 3" xfId="17865" xr:uid="{00000000-0005-0000-0000-0000A5070000}"/>
    <cellStyle name="20% - Accent2 12 2 4" xfId="543" xr:uid="{00000000-0005-0000-0000-0000A6070000}"/>
    <cellStyle name="20% - Accent2 12 2 4 2" xfId="14648" xr:uid="{00000000-0005-0000-0000-0000A7070000}"/>
    <cellStyle name="20% - Accent2 12 2 4 2 2" xfId="28197" xr:uid="{00000000-0005-0000-0000-0000A8070000}"/>
    <cellStyle name="20% - Accent2 12 2 4 3" xfId="17866" xr:uid="{00000000-0005-0000-0000-0000A9070000}"/>
    <cellStyle name="20% - Accent2 12 2 5" xfId="8894" xr:uid="{00000000-0005-0000-0000-0000AA070000}"/>
    <cellStyle name="20% - Accent2 12 2 5 2" xfId="23369" xr:uid="{00000000-0005-0000-0000-0000AB070000}"/>
    <cellStyle name="20% - Accent2 12 2 6" xfId="17863" xr:uid="{00000000-0005-0000-0000-0000AC070000}"/>
    <cellStyle name="20% - Accent2 12 3" xfId="544" xr:uid="{00000000-0005-0000-0000-0000AD070000}"/>
    <cellStyle name="20% - Accent2 12 3 2" xfId="10618" xr:uid="{00000000-0005-0000-0000-0000AE070000}"/>
    <cellStyle name="20% - Accent2 12 3 2 2" xfId="24560" xr:uid="{00000000-0005-0000-0000-0000AF070000}"/>
    <cellStyle name="20% - Accent2 12 3 3" xfId="17867" xr:uid="{00000000-0005-0000-0000-0000B0070000}"/>
    <cellStyle name="20% - Accent2 12 4" xfId="545" xr:uid="{00000000-0005-0000-0000-0000B1070000}"/>
    <cellStyle name="20% - Accent2 12 4 2" xfId="12558" xr:uid="{00000000-0005-0000-0000-0000B2070000}"/>
    <cellStyle name="20% - Accent2 12 4 2 2" xfId="26270" xr:uid="{00000000-0005-0000-0000-0000B3070000}"/>
    <cellStyle name="20% - Accent2 12 4 3" xfId="17868" xr:uid="{00000000-0005-0000-0000-0000B4070000}"/>
    <cellStyle name="20% - Accent2 12 5" xfId="546" xr:uid="{00000000-0005-0000-0000-0000B5070000}"/>
    <cellStyle name="20% - Accent2 12 5 2" xfId="14647" xr:uid="{00000000-0005-0000-0000-0000B6070000}"/>
    <cellStyle name="20% - Accent2 12 5 2 2" xfId="28196" xr:uid="{00000000-0005-0000-0000-0000B7070000}"/>
    <cellStyle name="20% - Accent2 12 5 3" xfId="17869" xr:uid="{00000000-0005-0000-0000-0000B8070000}"/>
    <cellStyle name="20% - Accent2 12 6" xfId="547" xr:uid="{00000000-0005-0000-0000-0000B9070000}"/>
    <cellStyle name="20% - Accent2 12 6 2" xfId="16427" xr:uid="{00000000-0005-0000-0000-0000BA070000}"/>
    <cellStyle name="20% - Accent2 12 6 2 2" xfId="29834" xr:uid="{00000000-0005-0000-0000-0000BB070000}"/>
    <cellStyle name="20% - Accent2 12 6 3" xfId="17870" xr:uid="{00000000-0005-0000-0000-0000BC070000}"/>
    <cellStyle name="20% - Accent2 12 7" xfId="8893" xr:uid="{00000000-0005-0000-0000-0000BD070000}"/>
    <cellStyle name="20% - Accent2 12 7 2" xfId="23368" xr:uid="{00000000-0005-0000-0000-0000BE070000}"/>
    <cellStyle name="20% - Accent2 12 8" xfId="17862" xr:uid="{00000000-0005-0000-0000-0000BF070000}"/>
    <cellStyle name="20% - Accent2 13" xfId="548" xr:uid="{00000000-0005-0000-0000-0000C0070000}"/>
    <cellStyle name="20% - Accent2 13 2" xfId="549" xr:uid="{00000000-0005-0000-0000-0000C1070000}"/>
    <cellStyle name="20% - Accent2 13 2 2" xfId="10620" xr:uid="{00000000-0005-0000-0000-0000C2070000}"/>
    <cellStyle name="20% - Accent2 13 2 2 2" xfId="24562" xr:uid="{00000000-0005-0000-0000-0000C3070000}"/>
    <cellStyle name="20% - Accent2 13 2 3" xfId="17872" xr:uid="{00000000-0005-0000-0000-0000C4070000}"/>
    <cellStyle name="20% - Accent2 13 3" xfId="550" xr:uid="{00000000-0005-0000-0000-0000C5070000}"/>
    <cellStyle name="20% - Accent2 13 3 2" xfId="12560" xr:uid="{00000000-0005-0000-0000-0000C6070000}"/>
    <cellStyle name="20% - Accent2 13 3 2 2" xfId="26272" xr:uid="{00000000-0005-0000-0000-0000C7070000}"/>
    <cellStyle name="20% - Accent2 13 3 3" xfId="17873" xr:uid="{00000000-0005-0000-0000-0000C8070000}"/>
    <cellStyle name="20% - Accent2 13 4" xfId="551" xr:uid="{00000000-0005-0000-0000-0000C9070000}"/>
    <cellStyle name="20% - Accent2 13 4 2" xfId="14649" xr:uid="{00000000-0005-0000-0000-0000CA070000}"/>
    <cellStyle name="20% - Accent2 13 4 2 2" xfId="28198" xr:uid="{00000000-0005-0000-0000-0000CB070000}"/>
    <cellStyle name="20% - Accent2 13 4 3" xfId="17874" xr:uid="{00000000-0005-0000-0000-0000CC070000}"/>
    <cellStyle name="20% - Accent2 13 5" xfId="8895" xr:uid="{00000000-0005-0000-0000-0000CD070000}"/>
    <cellStyle name="20% - Accent2 13 5 2" xfId="23370" xr:uid="{00000000-0005-0000-0000-0000CE070000}"/>
    <cellStyle name="20% - Accent2 13 6" xfId="17871" xr:uid="{00000000-0005-0000-0000-0000CF070000}"/>
    <cellStyle name="20% - Accent2 14" xfId="552" xr:uid="{00000000-0005-0000-0000-0000D0070000}"/>
    <cellStyle name="20% - Accent2 14 2" xfId="553" xr:uid="{00000000-0005-0000-0000-0000D1070000}"/>
    <cellStyle name="20% - Accent2 14 2 2" xfId="10621" xr:uid="{00000000-0005-0000-0000-0000D2070000}"/>
    <cellStyle name="20% - Accent2 14 2 2 2" xfId="24563" xr:uid="{00000000-0005-0000-0000-0000D3070000}"/>
    <cellStyle name="20% - Accent2 14 2 3" xfId="17876" xr:uid="{00000000-0005-0000-0000-0000D4070000}"/>
    <cellStyle name="20% - Accent2 14 3" xfId="554" xr:uid="{00000000-0005-0000-0000-0000D5070000}"/>
    <cellStyle name="20% - Accent2 14 3 2" xfId="12776" xr:uid="{00000000-0005-0000-0000-0000D6070000}"/>
    <cellStyle name="20% - Accent2 14 3 2 2" xfId="26488" xr:uid="{00000000-0005-0000-0000-0000D7070000}"/>
    <cellStyle name="20% - Accent2 14 3 3" xfId="17877" xr:uid="{00000000-0005-0000-0000-0000D8070000}"/>
    <cellStyle name="20% - Accent2 14 4" xfId="555" xr:uid="{00000000-0005-0000-0000-0000D9070000}"/>
    <cellStyle name="20% - Accent2 14 4 2" xfId="14650" xr:uid="{00000000-0005-0000-0000-0000DA070000}"/>
    <cellStyle name="20% - Accent2 14 4 2 2" xfId="28199" xr:uid="{00000000-0005-0000-0000-0000DB070000}"/>
    <cellStyle name="20% - Accent2 14 4 3" xfId="17878" xr:uid="{00000000-0005-0000-0000-0000DC070000}"/>
    <cellStyle name="20% - Accent2 14 5" xfId="8896" xr:uid="{00000000-0005-0000-0000-0000DD070000}"/>
    <cellStyle name="20% - Accent2 14 5 2" xfId="23371" xr:uid="{00000000-0005-0000-0000-0000DE070000}"/>
    <cellStyle name="20% - Accent2 14 6" xfId="17875" xr:uid="{00000000-0005-0000-0000-0000DF070000}"/>
    <cellStyle name="20% - Accent2 15" xfId="556" xr:uid="{00000000-0005-0000-0000-0000E0070000}"/>
    <cellStyle name="20% - Accent2 15 2" xfId="557" xr:uid="{00000000-0005-0000-0000-0000E1070000}"/>
    <cellStyle name="20% - Accent2 15 2 2" xfId="10622" xr:uid="{00000000-0005-0000-0000-0000E2070000}"/>
    <cellStyle name="20% - Accent2 15 2 2 2" xfId="24564" xr:uid="{00000000-0005-0000-0000-0000E3070000}"/>
    <cellStyle name="20% - Accent2 15 2 3" xfId="17880" xr:uid="{00000000-0005-0000-0000-0000E4070000}"/>
    <cellStyle name="20% - Accent2 15 3" xfId="558" xr:uid="{00000000-0005-0000-0000-0000E5070000}"/>
    <cellStyle name="20% - Accent2 15 3 2" xfId="12665" xr:uid="{00000000-0005-0000-0000-0000E6070000}"/>
    <cellStyle name="20% - Accent2 15 3 2 2" xfId="26377" xr:uid="{00000000-0005-0000-0000-0000E7070000}"/>
    <cellStyle name="20% - Accent2 15 3 3" xfId="17881" xr:uid="{00000000-0005-0000-0000-0000E8070000}"/>
    <cellStyle name="20% - Accent2 15 4" xfId="559" xr:uid="{00000000-0005-0000-0000-0000E9070000}"/>
    <cellStyle name="20% - Accent2 15 4 2" xfId="14651" xr:uid="{00000000-0005-0000-0000-0000EA070000}"/>
    <cellStyle name="20% - Accent2 15 4 2 2" xfId="28200" xr:uid="{00000000-0005-0000-0000-0000EB070000}"/>
    <cellStyle name="20% - Accent2 15 4 3" xfId="17882" xr:uid="{00000000-0005-0000-0000-0000EC070000}"/>
    <cellStyle name="20% - Accent2 15 5" xfId="8897" xr:uid="{00000000-0005-0000-0000-0000ED070000}"/>
    <cellStyle name="20% - Accent2 15 5 2" xfId="23372" xr:uid="{00000000-0005-0000-0000-0000EE070000}"/>
    <cellStyle name="20% - Accent2 15 6" xfId="17879" xr:uid="{00000000-0005-0000-0000-0000EF070000}"/>
    <cellStyle name="20% - Accent2 16" xfId="560" xr:uid="{00000000-0005-0000-0000-0000F0070000}"/>
    <cellStyle name="20% - Accent2 16 2" xfId="561" xr:uid="{00000000-0005-0000-0000-0000F1070000}"/>
    <cellStyle name="20% - Accent2 16 2 2" xfId="10623" xr:uid="{00000000-0005-0000-0000-0000F2070000}"/>
    <cellStyle name="20% - Accent2 16 2 2 2" xfId="24565" xr:uid="{00000000-0005-0000-0000-0000F3070000}"/>
    <cellStyle name="20% - Accent2 16 2 3" xfId="17884" xr:uid="{00000000-0005-0000-0000-0000F4070000}"/>
    <cellStyle name="20% - Accent2 16 3" xfId="562" xr:uid="{00000000-0005-0000-0000-0000F5070000}"/>
    <cellStyle name="20% - Accent2 16 3 2" xfId="12417" xr:uid="{00000000-0005-0000-0000-0000F6070000}"/>
    <cellStyle name="20% - Accent2 16 3 2 2" xfId="26129" xr:uid="{00000000-0005-0000-0000-0000F7070000}"/>
    <cellStyle name="20% - Accent2 16 3 3" xfId="17885" xr:uid="{00000000-0005-0000-0000-0000F8070000}"/>
    <cellStyle name="20% - Accent2 16 4" xfId="563" xr:uid="{00000000-0005-0000-0000-0000F9070000}"/>
    <cellStyle name="20% - Accent2 16 4 2" xfId="14652" xr:uid="{00000000-0005-0000-0000-0000FA070000}"/>
    <cellStyle name="20% - Accent2 16 4 2 2" xfId="28201" xr:uid="{00000000-0005-0000-0000-0000FB070000}"/>
    <cellStyle name="20% - Accent2 16 4 3" xfId="17886" xr:uid="{00000000-0005-0000-0000-0000FC070000}"/>
    <cellStyle name="20% - Accent2 16 5" xfId="8898" xr:uid="{00000000-0005-0000-0000-0000FD070000}"/>
    <cellStyle name="20% - Accent2 16 5 2" xfId="23373" xr:uid="{00000000-0005-0000-0000-0000FE070000}"/>
    <cellStyle name="20% - Accent2 16 6" xfId="17883" xr:uid="{00000000-0005-0000-0000-0000FF070000}"/>
    <cellStyle name="20% - Accent2 17" xfId="564" xr:uid="{00000000-0005-0000-0000-000000080000}"/>
    <cellStyle name="20% - Accent2 17 2" xfId="565" xr:uid="{00000000-0005-0000-0000-000001080000}"/>
    <cellStyle name="20% - Accent2 17 2 2" xfId="10624" xr:uid="{00000000-0005-0000-0000-000002080000}"/>
    <cellStyle name="20% - Accent2 17 2 2 2" xfId="24566" xr:uid="{00000000-0005-0000-0000-000003080000}"/>
    <cellStyle name="20% - Accent2 17 2 3" xfId="17888" xr:uid="{00000000-0005-0000-0000-000004080000}"/>
    <cellStyle name="20% - Accent2 17 3" xfId="566" xr:uid="{00000000-0005-0000-0000-000005080000}"/>
    <cellStyle name="20% - Accent2 17 3 2" xfId="12525" xr:uid="{00000000-0005-0000-0000-000006080000}"/>
    <cellStyle name="20% - Accent2 17 3 2 2" xfId="26237" xr:uid="{00000000-0005-0000-0000-000007080000}"/>
    <cellStyle name="20% - Accent2 17 3 3" xfId="17889" xr:uid="{00000000-0005-0000-0000-000008080000}"/>
    <cellStyle name="20% - Accent2 17 4" xfId="567" xr:uid="{00000000-0005-0000-0000-000009080000}"/>
    <cellStyle name="20% - Accent2 17 4 2" xfId="14653" xr:uid="{00000000-0005-0000-0000-00000A080000}"/>
    <cellStyle name="20% - Accent2 17 4 2 2" xfId="28202" xr:uid="{00000000-0005-0000-0000-00000B080000}"/>
    <cellStyle name="20% - Accent2 17 4 3" xfId="17890" xr:uid="{00000000-0005-0000-0000-00000C080000}"/>
    <cellStyle name="20% - Accent2 17 5" xfId="8899" xr:uid="{00000000-0005-0000-0000-00000D080000}"/>
    <cellStyle name="20% - Accent2 17 5 2" xfId="23374" xr:uid="{00000000-0005-0000-0000-00000E080000}"/>
    <cellStyle name="20% - Accent2 17 6" xfId="17887" xr:uid="{00000000-0005-0000-0000-00000F080000}"/>
    <cellStyle name="20% - Accent2 18" xfId="568" xr:uid="{00000000-0005-0000-0000-000010080000}"/>
    <cellStyle name="20% - Accent2 18 2" xfId="569" xr:uid="{00000000-0005-0000-0000-000011080000}"/>
    <cellStyle name="20% - Accent2 18 2 2" xfId="10625" xr:uid="{00000000-0005-0000-0000-000012080000}"/>
    <cellStyle name="20% - Accent2 18 2 2 2" xfId="24567" xr:uid="{00000000-0005-0000-0000-000013080000}"/>
    <cellStyle name="20% - Accent2 18 2 3" xfId="17892" xr:uid="{00000000-0005-0000-0000-000014080000}"/>
    <cellStyle name="20% - Accent2 18 3" xfId="570" xr:uid="{00000000-0005-0000-0000-000015080000}"/>
    <cellStyle name="20% - Accent2 18 3 2" xfId="12740" xr:uid="{00000000-0005-0000-0000-000016080000}"/>
    <cellStyle name="20% - Accent2 18 3 2 2" xfId="26452" xr:uid="{00000000-0005-0000-0000-000017080000}"/>
    <cellStyle name="20% - Accent2 18 3 3" xfId="17893" xr:uid="{00000000-0005-0000-0000-000018080000}"/>
    <cellStyle name="20% - Accent2 18 4" xfId="571" xr:uid="{00000000-0005-0000-0000-000019080000}"/>
    <cellStyle name="20% - Accent2 18 4 2" xfId="14654" xr:uid="{00000000-0005-0000-0000-00001A080000}"/>
    <cellStyle name="20% - Accent2 18 4 2 2" xfId="28203" xr:uid="{00000000-0005-0000-0000-00001B080000}"/>
    <cellStyle name="20% - Accent2 18 4 3" xfId="17894" xr:uid="{00000000-0005-0000-0000-00001C080000}"/>
    <cellStyle name="20% - Accent2 18 5" xfId="8900" xr:uid="{00000000-0005-0000-0000-00001D080000}"/>
    <cellStyle name="20% - Accent2 18 5 2" xfId="23375" xr:uid="{00000000-0005-0000-0000-00001E080000}"/>
    <cellStyle name="20% - Accent2 18 6" xfId="17891" xr:uid="{00000000-0005-0000-0000-00001F080000}"/>
    <cellStyle name="20% - Accent2 19" xfId="572" xr:uid="{00000000-0005-0000-0000-000020080000}"/>
    <cellStyle name="20% - Accent2 19 2" xfId="573" xr:uid="{00000000-0005-0000-0000-000021080000}"/>
    <cellStyle name="20% - Accent2 19 2 2" xfId="11711" xr:uid="{00000000-0005-0000-0000-000022080000}"/>
    <cellStyle name="20% - Accent2 19 2 2 2" xfId="25431" xr:uid="{00000000-0005-0000-0000-000023080000}"/>
    <cellStyle name="20% - Accent2 19 2 3" xfId="17896" xr:uid="{00000000-0005-0000-0000-000024080000}"/>
    <cellStyle name="20% - Accent2 19 3" xfId="574" xr:uid="{00000000-0005-0000-0000-000025080000}"/>
    <cellStyle name="20% - Accent2 19 3 2" xfId="12630" xr:uid="{00000000-0005-0000-0000-000026080000}"/>
    <cellStyle name="20% - Accent2 19 3 2 2" xfId="26342" xr:uid="{00000000-0005-0000-0000-000027080000}"/>
    <cellStyle name="20% - Accent2 19 3 3" xfId="17897" xr:uid="{00000000-0005-0000-0000-000028080000}"/>
    <cellStyle name="20% - Accent2 19 4" xfId="575" xr:uid="{00000000-0005-0000-0000-000029080000}"/>
    <cellStyle name="20% - Accent2 19 4 2" xfId="14655" xr:uid="{00000000-0005-0000-0000-00002A080000}"/>
    <cellStyle name="20% - Accent2 19 4 2 2" xfId="28204" xr:uid="{00000000-0005-0000-0000-00002B080000}"/>
    <cellStyle name="20% - Accent2 19 4 3" xfId="17898" xr:uid="{00000000-0005-0000-0000-00002C080000}"/>
    <cellStyle name="20% - Accent2 19 5" xfId="10463" xr:uid="{00000000-0005-0000-0000-00002D080000}"/>
    <cellStyle name="20% - Accent2 19 5 2" xfId="24422" xr:uid="{00000000-0005-0000-0000-00002E080000}"/>
    <cellStyle name="20% - Accent2 19 6" xfId="17895" xr:uid="{00000000-0005-0000-0000-00002F080000}"/>
    <cellStyle name="20% - Accent2 2" xfId="576" xr:uid="{00000000-0005-0000-0000-000030080000}"/>
    <cellStyle name="20% - Accent2 2 10" xfId="577" xr:uid="{00000000-0005-0000-0000-000031080000}"/>
    <cellStyle name="20% - Accent2 2 10 2" xfId="578" xr:uid="{00000000-0005-0000-0000-000032080000}"/>
    <cellStyle name="20% - Accent2 2 10 2 2" xfId="14657" xr:uid="{00000000-0005-0000-0000-000033080000}"/>
    <cellStyle name="20% - Accent2 2 10 2 2 2" xfId="28206" xr:uid="{00000000-0005-0000-0000-000034080000}"/>
    <cellStyle name="20% - Accent2 2 10 2 3" xfId="17901" xr:uid="{00000000-0005-0000-0000-000035080000}"/>
    <cellStyle name="20% - Accent2 2 10 3" xfId="11838" xr:uid="{00000000-0005-0000-0000-000036080000}"/>
    <cellStyle name="20% - Accent2 2 10 3 2" xfId="25553" xr:uid="{00000000-0005-0000-0000-000037080000}"/>
    <cellStyle name="20% - Accent2 2 10 4" xfId="17900" xr:uid="{00000000-0005-0000-0000-000038080000}"/>
    <cellStyle name="20% - Accent2 2 11" xfId="579" xr:uid="{00000000-0005-0000-0000-000039080000}"/>
    <cellStyle name="20% - Accent2 2 11 2" xfId="11764" xr:uid="{00000000-0005-0000-0000-00003A080000}"/>
    <cellStyle name="20% - Accent2 2 11 2 2" xfId="25479" xr:uid="{00000000-0005-0000-0000-00003B080000}"/>
    <cellStyle name="20% - Accent2 2 11 3" xfId="17902" xr:uid="{00000000-0005-0000-0000-00003C080000}"/>
    <cellStyle name="20% - Accent2 2 12" xfId="580" xr:uid="{00000000-0005-0000-0000-00003D080000}"/>
    <cellStyle name="20% - Accent2 2 12 2" xfId="13437" xr:uid="{00000000-0005-0000-0000-00003E080000}"/>
    <cellStyle name="20% - Accent2 2 12 2 2" xfId="26986" xr:uid="{00000000-0005-0000-0000-00003F080000}"/>
    <cellStyle name="20% - Accent2 2 12 3" xfId="17903" xr:uid="{00000000-0005-0000-0000-000040080000}"/>
    <cellStyle name="20% - Accent2 2 13" xfId="581" xr:uid="{00000000-0005-0000-0000-000041080000}"/>
    <cellStyle name="20% - Accent2 2 13 2" xfId="14018" xr:uid="{00000000-0005-0000-0000-000042080000}"/>
    <cellStyle name="20% - Accent2 2 13 2 2" xfId="27567" xr:uid="{00000000-0005-0000-0000-000043080000}"/>
    <cellStyle name="20% - Accent2 2 13 3" xfId="17904" xr:uid="{00000000-0005-0000-0000-000044080000}"/>
    <cellStyle name="20% - Accent2 2 14" xfId="582" xr:uid="{00000000-0005-0000-0000-000045080000}"/>
    <cellStyle name="20% - Accent2 2 14 2" xfId="14656" xr:uid="{00000000-0005-0000-0000-000046080000}"/>
    <cellStyle name="20% - Accent2 2 14 2 2" xfId="28205" xr:uid="{00000000-0005-0000-0000-000047080000}"/>
    <cellStyle name="20% - Accent2 2 14 3" xfId="17905" xr:uid="{00000000-0005-0000-0000-000048080000}"/>
    <cellStyle name="20% - Accent2 2 15" xfId="583" xr:uid="{00000000-0005-0000-0000-000049080000}"/>
    <cellStyle name="20% - Accent2 2 15 2" xfId="15904" xr:uid="{00000000-0005-0000-0000-00004A080000}"/>
    <cellStyle name="20% - Accent2 2 15 2 2" xfId="29311" xr:uid="{00000000-0005-0000-0000-00004B080000}"/>
    <cellStyle name="20% - Accent2 2 15 3" xfId="17906" xr:uid="{00000000-0005-0000-0000-00004C080000}"/>
    <cellStyle name="20% - Accent2 2 16" xfId="8901" xr:uid="{00000000-0005-0000-0000-00004D080000}"/>
    <cellStyle name="20% - Accent2 2 16 2" xfId="23376" xr:uid="{00000000-0005-0000-0000-00004E080000}"/>
    <cellStyle name="20% - Accent2 2 17" xfId="17899" xr:uid="{00000000-0005-0000-0000-00004F080000}"/>
    <cellStyle name="20% - Accent2 2 18" xfId="33066" xr:uid="{00000000-0005-0000-0000-000050080000}"/>
    <cellStyle name="20% - Accent2 2 2" xfId="584" xr:uid="{00000000-0005-0000-0000-000051080000}"/>
    <cellStyle name="20% - Accent2 2 2 10" xfId="585" xr:uid="{00000000-0005-0000-0000-000052080000}"/>
    <cellStyle name="20% - Accent2 2 2 10 2" xfId="14658" xr:uid="{00000000-0005-0000-0000-000053080000}"/>
    <cellStyle name="20% - Accent2 2 2 10 2 2" xfId="28207" xr:uid="{00000000-0005-0000-0000-000054080000}"/>
    <cellStyle name="20% - Accent2 2 2 10 3" xfId="17908" xr:uid="{00000000-0005-0000-0000-000055080000}"/>
    <cellStyle name="20% - Accent2 2 2 11" xfId="586" xr:uid="{00000000-0005-0000-0000-000056080000}"/>
    <cellStyle name="20% - Accent2 2 2 11 2" xfId="15950" xr:uid="{00000000-0005-0000-0000-000057080000}"/>
    <cellStyle name="20% - Accent2 2 2 11 2 2" xfId="29357" xr:uid="{00000000-0005-0000-0000-000058080000}"/>
    <cellStyle name="20% - Accent2 2 2 11 3" xfId="17909" xr:uid="{00000000-0005-0000-0000-000059080000}"/>
    <cellStyle name="20% - Accent2 2 2 12" xfId="8902" xr:uid="{00000000-0005-0000-0000-00005A080000}"/>
    <cellStyle name="20% - Accent2 2 2 12 2" xfId="23377" xr:uid="{00000000-0005-0000-0000-00005B080000}"/>
    <cellStyle name="20% - Accent2 2 2 13" xfId="17907" xr:uid="{00000000-0005-0000-0000-00005C080000}"/>
    <cellStyle name="20% - Accent2 2 2 2" xfId="587" xr:uid="{00000000-0005-0000-0000-00005D080000}"/>
    <cellStyle name="20% - Accent2 2 2 2 10" xfId="588" xr:uid="{00000000-0005-0000-0000-00005E080000}"/>
    <cellStyle name="20% - Accent2 2 2 2 10 2" xfId="16093" xr:uid="{00000000-0005-0000-0000-00005F080000}"/>
    <cellStyle name="20% - Accent2 2 2 2 10 2 2" xfId="29500" xr:uid="{00000000-0005-0000-0000-000060080000}"/>
    <cellStyle name="20% - Accent2 2 2 2 10 3" xfId="17911" xr:uid="{00000000-0005-0000-0000-000061080000}"/>
    <cellStyle name="20% - Accent2 2 2 2 11" xfId="8903" xr:uid="{00000000-0005-0000-0000-000062080000}"/>
    <cellStyle name="20% - Accent2 2 2 2 11 2" xfId="23378" xr:uid="{00000000-0005-0000-0000-000063080000}"/>
    <cellStyle name="20% - Accent2 2 2 2 12" xfId="17910" xr:uid="{00000000-0005-0000-0000-000064080000}"/>
    <cellStyle name="20% - Accent2 2 2 2 2" xfId="589" xr:uid="{00000000-0005-0000-0000-000065080000}"/>
    <cellStyle name="20% - Accent2 2 2 2 2 10" xfId="8904" xr:uid="{00000000-0005-0000-0000-000066080000}"/>
    <cellStyle name="20% - Accent2 2 2 2 2 10 2" xfId="23379" xr:uid="{00000000-0005-0000-0000-000067080000}"/>
    <cellStyle name="20% - Accent2 2 2 2 2 11" xfId="17912" xr:uid="{00000000-0005-0000-0000-000068080000}"/>
    <cellStyle name="20% - Accent2 2 2 2 2 2" xfId="590" xr:uid="{00000000-0005-0000-0000-000069080000}"/>
    <cellStyle name="20% - Accent2 2 2 2 2 2 2" xfId="591" xr:uid="{00000000-0005-0000-0000-00006A080000}"/>
    <cellStyle name="20% - Accent2 2 2 2 2 2 2 2" xfId="10630" xr:uid="{00000000-0005-0000-0000-00006B080000}"/>
    <cellStyle name="20% - Accent2 2 2 2 2 2 2 2 2" xfId="24572" xr:uid="{00000000-0005-0000-0000-00006C080000}"/>
    <cellStyle name="20% - Accent2 2 2 2 2 2 2 3" xfId="17914" xr:uid="{00000000-0005-0000-0000-00006D080000}"/>
    <cellStyle name="20% - Accent2 2 2 2 2 2 3" xfId="592" xr:uid="{00000000-0005-0000-0000-00006E080000}"/>
    <cellStyle name="20% - Accent2 2 2 2 2 2 3 2" xfId="12662" xr:uid="{00000000-0005-0000-0000-00006F080000}"/>
    <cellStyle name="20% - Accent2 2 2 2 2 2 3 2 2" xfId="26374" xr:uid="{00000000-0005-0000-0000-000070080000}"/>
    <cellStyle name="20% - Accent2 2 2 2 2 2 3 3" xfId="17915" xr:uid="{00000000-0005-0000-0000-000071080000}"/>
    <cellStyle name="20% - Accent2 2 2 2 2 2 4" xfId="593" xr:uid="{00000000-0005-0000-0000-000072080000}"/>
    <cellStyle name="20% - Accent2 2 2 2 2 2 4 2" xfId="14661" xr:uid="{00000000-0005-0000-0000-000073080000}"/>
    <cellStyle name="20% - Accent2 2 2 2 2 2 4 2 2" xfId="28210" xr:uid="{00000000-0005-0000-0000-000074080000}"/>
    <cellStyle name="20% - Accent2 2 2 2 2 2 4 3" xfId="17916" xr:uid="{00000000-0005-0000-0000-000075080000}"/>
    <cellStyle name="20% - Accent2 2 2 2 2 2 5" xfId="594" xr:uid="{00000000-0005-0000-0000-000076080000}"/>
    <cellStyle name="20% - Accent2 2 2 2 2 2 5 2" xfId="16963" xr:uid="{00000000-0005-0000-0000-000077080000}"/>
    <cellStyle name="20% - Accent2 2 2 2 2 2 5 2 2" xfId="30370" xr:uid="{00000000-0005-0000-0000-000078080000}"/>
    <cellStyle name="20% - Accent2 2 2 2 2 2 5 3" xfId="17917" xr:uid="{00000000-0005-0000-0000-000079080000}"/>
    <cellStyle name="20% - Accent2 2 2 2 2 2 6" xfId="8905" xr:uid="{00000000-0005-0000-0000-00007A080000}"/>
    <cellStyle name="20% - Accent2 2 2 2 2 2 6 2" xfId="23380" xr:uid="{00000000-0005-0000-0000-00007B080000}"/>
    <cellStyle name="20% - Accent2 2 2 2 2 2 7" xfId="17913" xr:uid="{00000000-0005-0000-0000-00007C080000}"/>
    <cellStyle name="20% - Accent2 2 2 2 2 3" xfId="595" xr:uid="{00000000-0005-0000-0000-00007D080000}"/>
    <cellStyle name="20% - Accent2 2 2 2 2 3 2" xfId="596" xr:uid="{00000000-0005-0000-0000-00007E080000}"/>
    <cellStyle name="20% - Accent2 2 2 2 2 3 2 2" xfId="14662" xr:uid="{00000000-0005-0000-0000-00007F080000}"/>
    <cellStyle name="20% - Accent2 2 2 2 2 3 2 2 2" xfId="28211" xr:uid="{00000000-0005-0000-0000-000080080000}"/>
    <cellStyle name="20% - Accent2 2 2 2 2 3 2 3" xfId="17919" xr:uid="{00000000-0005-0000-0000-000081080000}"/>
    <cellStyle name="20% - Accent2 2 2 2 2 3 3" xfId="10629" xr:uid="{00000000-0005-0000-0000-000082080000}"/>
    <cellStyle name="20% - Accent2 2 2 2 2 3 3 2" xfId="24571" xr:uid="{00000000-0005-0000-0000-000083080000}"/>
    <cellStyle name="20% - Accent2 2 2 2 2 3 4" xfId="17918" xr:uid="{00000000-0005-0000-0000-000084080000}"/>
    <cellStyle name="20% - Accent2 2 2 2 2 4" xfId="597" xr:uid="{00000000-0005-0000-0000-000085080000}"/>
    <cellStyle name="20% - Accent2 2 2 2 2 4 2" xfId="12351" xr:uid="{00000000-0005-0000-0000-000086080000}"/>
    <cellStyle name="20% - Accent2 2 2 2 2 4 2 2" xfId="26063" xr:uid="{00000000-0005-0000-0000-000087080000}"/>
    <cellStyle name="20% - Accent2 2 2 2 2 4 3" xfId="17920" xr:uid="{00000000-0005-0000-0000-000088080000}"/>
    <cellStyle name="20% - Accent2 2 2 2 2 5" xfId="598" xr:uid="{00000000-0005-0000-0000-000089080000}"/>
    <cellStyle name="20% - Accent2 2 2 2 2 5 2" xfId="12790" xr:uid="{00000000-0005-0000-0000-00008A080000}"/>
    <cellStyle name="20% - Accent2 2 2 2 2 5 2 2" xfId="26502" xr:uid="{00000000-0005-0000-0000-00008B080000}"/>
    <cellStyle name="20% - Accent2 2 2 2 2 5 3" xfId="17921" xr:uid="{00000000-0005-0000-0000-00008C080000}"/>
    <cellStyle name="20% - Accent2 2 2 2 2 6" xfId="599" xr:uid="{00000000-0005-0000-0000-00008D080000}"/>
    <cellStyle name="20% - Accent2 2 2 2 2 6 2" xfId="13915" xr:uid="{00000000-0005-0000-0000-00008E080000}"/>
    <cellStyle name="20% - Accent2 2 2 2 2 6 2 2" xfId="27464" xr:uid="{00000000-0005-0000-0000-00008F080000}"/>
    <cellStyle name="20% - Accent2 2 2 2 2 6 3" xfId="17922" xr:uid="{00000000-0005-0000-0000-000090080000}"/>
    <cellStyle name="20% - Accent2 2 2 2 2 7" xfId="600" xr:uid="{00000000-0005-0000-0000-000091080000}"/>
    <cellStyle name="20% - Accent2 2 2 2 2 7 2" xfId="14496" xr:uid="{00000000-0005-0000-0000-000092080000}"/>
    <cellStyle name="20% - Accent2 2 2 2 2 7 2 2" xfId="28045" xr:uid="{00000000-0005-0000-0000-000093080000}"/>
    <cellStyle name="20% - Accent2 2 2 2 2 7 3" xfId="17923" xr:uid="{00000000-0005-0000-0000-000094080000}"/>
    <cellStyle name="20% - Accent2 2 2 2 2 8" xfId="601" xr:uid="{00000000-0005-0000-0000-000095080000}"/>
    <cellStyle name="20% - Accent2 2 2 2 2 8 2" xfId="14660" xr:uid="{00000000-0005-0000-0000-000096080000}"/>
    <cellStyle name="20% - Accent2 2 2 2 2 8 2 2" xfId="28209" xr:uid="{00000000-0005-0000-0000-000097080000}"/>
    <cellStyle name="20% - Accent2 2 2 2 2 8 3" xfId="17924" xr:uid="{00000000-0005-0000-0000-000098080000}"/>
    <cellStyle name="20% - Accent2 2 2 2 2 9" xfId="602" xr:uid="{00000000-0005-0000-0000-000099080000}"/>
    <cellStyle name="20% - Accent2 2 2 2 2 9 2" xfId="16382" xr:uid="{00000000-0005-0000-0000-00009A080000}"/>
    <cellStyle name="20% - Accent2 2 2 2 2 9 2 2" xfId="29789" xr:uid="{00000000-0005-0000-0000-00009B080000}"/>
    <cellStyle name="20% - Accent2 2 2 2 2 9 3" xfId="17925" xr:uid="{00000000-0005-0000-0000-00009C080000}"/>
    <cellStyle name="20% - Accent2 2 2 2 3" xfId="603" xr:uid="{00000000-0005-0000-0000-00009D080000}"/>
    <cellStyle name="20% - Accent2 2 2 2 3 2" xfId="604" xr:uid="{00000000-0005-0000-0000-00009E080000}"/>
    <cellStyle name="20% - Accent2 2 2 2 3 2 2" xfId="10631" xr:uid="{00000000-0005-0000-0000-00009F080000}"/>
    <cellStyle name="20% - Accent2 2 2 2 3 2 2 2" xfId="24573" xr:uid="{00000000-0005-0000-0000-0000A0080000}"/>
    <cellStyle name="20% - Accent2 2 2 2 3 2 3" xfId="17927" xr:uid="{00000000-0005-0000-0000-0000A1080000}"/>
    <cellStyle name="20% - Accent2 2 2 2 3 3" xfId="605" xr:uid="{00000000-0005-0000-0000-0000A2080000}"/>
    <cellStyle name="20% - Accent2 2 2 2 3 3 2" xfId="12557" xr:uid="{00000000-0005-0000-0000-0000A3080000}"/>
    <cellStyle name="20% - Accent2 2 2 2 3 3 2 2" xfId="26269" xr:uid="{00000000-0005-0000-0000-0000A4080000}"/>
    <cellStyle name="20% - Accent2 2 2 2 3 3 3" xfId="17928" xr:uid="{00000000-0005-0000-0000-0000A5080000}"/>
    <cellStyle name="20% - Accent2 2 2 2 3 4" xfId="606" xr:uid="{00000000-0005-0000-0000-0000A6080000}"/>
    <cellStyle name="20% - Accent2 2 2 2 3 4 2" xfId="14663" xr:uid="{00000000-0005-0000-0000-0000A7080000}"/>
    <cellStyle name="20% - Accent2 2 2 2 3 4 2 2" xfId="28212" xr:uid="{00000000-0005-0000-0000-0000A8080000}"/>
    <cellStyle name="20% - Accent2 2 2 2 3 4 3" xfId="17929" xr:uid="{00000000-0005-0000-0000-0000A9080000}"/>
    <cellStyle name="20% - Accent2 2 2 2 3 5" xfId="607" xr:uid="{00000000-0005-0000-0000-0000AA080000}"/>
    <cellStyle name="20% - Accent2 2 2 2 3 5 2" xfId="16674" xr:uid="{00000000-0005-0000-0000-0000AB080000}"/>
    <cellStyle name="20% - Accent2 2 2 2 3 5 2 2" xfId="30081" xr:uid="{00000000-0005-0000-0000-0000AC080000}"/>
    <cellStyle name="20% - Accent2 2 2 2 3 5 3" xfId="17930" xr:uid="{00000000-0005-0000-0000-0000AD080000}"/>
    <cellStyle name="20% - Accent2 2 2 2 3 6" xfId="8906" xr:uid="{00000000-0005-0000-0000-0000AE080000}"/>
    <cellStyle name="20% - Accent2 2 2 2 3 6 2" xfId="23381" xr:uid="{00000000-0005-0000-0000-0000AF080000}"/>
    <cellStyle name="20% - Accent2 2 2 2 3 7" xfId="17926" xr:uid="{00000000-0005-0000-0000-0000B0080000}"/>
    <cellStyle name="20% - Accent2 2 2 2 4" xfId="608" xr:uid="{00000000-0005-0000-0000-0000B1080000}"/>
    <cellStyle name="20% - Accent2 2 2 2 4 2" xfId="609" xr:uid="{00000000-0005-0000-0000-0000B2080000}"/>
    <cellStyle name="20% - Accent2 2 2 2 4 2 2" xfId="14664" xr:uid="{00000000-0005-0000-0000-0000B3080000}"/>
    <cellStyle name="20% - Accent2 2 2 2 4 2 2 2" xfId="28213" xr:uid="{00000000-0005-0000-0000-0000B4080000}"/>
    <cellStyle name="20% - Accent2 2 2 2 4 2 3" xfId="17932" xr:uid="{00000000-0005-0000-0000-0000B5080000}"/>
    <cellStyle name="20% - Accent2 2 2 2 4 3" xfId="10628" xr:uid="{00000000-0005-0000-0000-0000B6080000}"/>
    <cellStyle name="20% - Accent2 2 2 2 4 3 2" xfId="24570" xr:uid="{00000000-0005-0000-0000-0000B7080000}"/>
    <cellStyle name="20% - Accent2 2 2 2 4 4" xfId="17931" xr:uid="{00000000-0005-0000-0000-0000B8080000}"/>
    <cellStyle name="20% - Accent2 2 2 2 5" xfId="610" xr:uid="{00000000-0005-0000-0000-0000B9080000}"/>
    <cellStyle name="20% - Accent2 2 2 2 5 2" xfId="12051" xr:uid="{00000000-0005-0000-0000-0000BA080000}"/>
    <cellStyle name="20% - Accent2 2 2 2 5 2 2" xfId="25766" xr:uid="{00000000-0005-0000-0000-0000BB080000}"/>
    <cellStyle name="20% - Accent2 2 2 2 5 3" xfId="17933" xr:uid="{00000000-0005-0000-0000-0000BC080000}"/>
    <cellStyle name="20% - Accent2 2 2 2 6" xfId="611" xr:uid="{00000000-0005-0000-0000-0000BD080000}"/>
    <cellStyle name="20% - Accent2 2 2 2 6 2" xfId="12760" xr:uid="{00000000-0005-0000-0000-0000BE080000}"/>
    <cellStyle name="20% - Accent2 2 2 2 6 2 2" xfId="26472" xr:uid="{00000000-0005-0000-0000-0000BF080000}"/>
    <cellStyle name="20% - Accent2 2 2 2 6 3" xfId="17934" xr:uid="{00000000-0005-0000-0000-0000C0080000}"/>
    <cellStyle name="20% - Accent2 2 2 2 7" xfId="612" xr:uid="{00000000-0005-0000-0000-0000C1080000}"/>
    <cellStyle name="20% - Accent2 2 2 2 7 2" xfId="13626" xr:uid="{00000000-0005-0000-0000-0000C2080000}"/>
    <cellStyle name="20% - Accent2 2 2 2 7 2 2" xfId="27175" xr:uid="{00000000-0005-0000-0000-0000C3080000}"/>
    <cellStyle name="20% - Accent2 2 2 2 7 3" xfId="17935" xr:uid="{00000000-0005-0000-0000-0000C4080000}"/>
    <cellStyle name="20% - Accent2 2 2 2 8" xfId="613" xr:uid="{00000000-0005-0000-0000-0000C5080000}"/>
    <cellStyle name="20% - Accent2 2 2 2 8 2" xfId="14207" xr:uid="{00000000-0005-0000-0000-0000C6080000}"/>
    <cellStyle name="20% - Accent2 2 2 2 8 2 2" xfId="27756" xr:uid="{00000000-0005-0000-0000-0000C7080000}"/>
    <cellStyle name="20% - Accent2 2 2 2 8 3" xfId="17936" xr:uid="{00000000-0005-0000-0000-0000C8080000}"/>
    <cellStyle name="20% - Accent2 2 2 2 9" xfId="614" xr:uid="{00000000-0005-0000-0000-0000C9080000}"/>
    <cellStyle name="20% - Accent2 2 2 2 9 2" xfId="14659" xr:uid="{00000000-0005-0000-0000-0000CA080000}"/>
    <cellStyle name="20% - Accent2 2 2 2 9 2 2" xfId="28208" xr:uid="{00000000-0005-0000-0000-0000CB080000}"/>
    <cellStyle name="20% - Accent2 2 2 2 9 3" xfId="17937" xr:uid="{00000000-0005-0000-0000-0000CC080000}"/>
    <cellStyle name="20% - Accent2 2 2 3" xfId="615" xr:uid="{00000000-0005-0000-0000-0000CD080000}"/>
    <cellStyle name="20% - Accent2 2 2 3 10" xfId="8907" xr:uid="{00000000-0005-0000-0000-0000CE080000}"/>
    <cellStyle name="20% - Accent2 2 2 3 10 2" xfId="23382" xr:uid="{00000000-0005-0000-0000-0000CF080000}"/>
    <cellStyle name="20% - Accent2 2 2 3 11" xfId="17938" xr:uid="{00000000-0005-0000-0000-0000D0080000}"/>
    <cellStyle name="20% - Accent2 2 2 3 2" xfId="616" xr:uid="{00000000-0005-0000-0000-0000D1080000}"/>
    <cellStyle name="20% - Accent2 2 2 3 2 2" xfId="617" xr:uid="{00000000-0005-0000-0000-0000D2080000}"/>
    <cellStyle name="20% - Accent2 2 2 3 2 2 2" xfId="10633" xr:uid="{00000000-0005-0000-0000-0000D3080000}"/>
    <cellStyle name="20% - Accent2 2 2 3 2 2 2 2" xfId="24575" xr:uid="{00000000-0005-0000-0000-0000D4080000}"/>
    <cellStyle name="20% - Accent2 2 2 3 2 2 3" xfId="17940" xr:uid="{00000000-0005-0000-0000-0000D5080000}"/>
    <cellStyle name="20% - Accent2 2 2 3 2 3" xfId="618" xr:uid="{00000000-0005-0000-0000-0000D6080000}"/>
    <cellStyle name="20% - Accent2 2 2 3 2 3 2" xfId="12749" xr:uid="{00000000-0005-0000-0000-0000D7080000}"/>
    <cellStyle name="20% - Accent2 2 2 3 2 3 2 2" xfId="26461" xr:uid="{00000000-0005-0000-0000-0000D8080000}"/>
    <cellStyle name="20% - Accent2 2 2 3 2 3 3" xfId="17941" xr:uid="{00000000-0005-0000-0000-0000D9080000}"/>
    <cellStyle name="20% - Accent2 2 2 3 2 4" xfId="619" xr:uid="{00000000-0005-0000-0000-0000DA080000}"/>
    <cellStyle name="20% - Accent2 2 2 3 2 4 2" xfId="14666" xr:uid="{00000000-0005-0000-0000-0000DB080000}"/>
    <cellStyle name="20% - Accent2 2 2 3 2 4 2 2" xfId="28215" xr:uid="{00000000-0005-0000-0000-0000DC080000}"/>
    <cellStyle name="20% - Accent2 2 2 3 2 4 3" xfId="17942" xr:uid="{00000000-0005-0000-0000-0000DD080000}"/>
    <cellStyle name="20% - Accent2 2 2 3 2 5" xfId="620" xr:uid="{00000000-0005-0000-0000-0000DE080000}"/>
    <cellStyle name="20% - Accent2 2 2 3 2 5 2" xfId="16820" xr:uid="{00000000-0005-0000-0000-0000DF080000}"/>
    <cellStyle name="20% - Accent2 2 2 3 2 5 2 2" xfId="30227" xr:uid="{00000000-0005-0000-0000-0000E0080000}"/>
    <cellStyle name="20% - Accent2 2 2 3 2 5 3" xfId="17943" xr:uid="{00000000-0005-0000-0000-0000E1080000}"/>
    <cellStyle name="20% - Accent2 2 2 3 2 6" xfId="8908" xr:uid="{00000000-0005-0000-0000-0000E2080000}"/>
    <cellStyle name="20% - Accent2 2 2 3 2 6 2" xfId="23383" xr:uid="{00000000-0005-0000-0000-0000E3080000}"/>
    <cellStyle name="20% - Accent2 2 2 3 2 7" xfId="17939" xr:uid="{00000000-0005-0000-0000-0000E4080000}"/>
    <cellStyle name="20% - Accent2 2 2 3 3" xfId="621" xr:uid="{00000000-0005-0000-0000-0000E5080000}"/>
    <cellStyle name="20% - Accent2 2 2 3 3 2" xfId="622" xr:uid="{00000000-0005-0000-0000-0000E6080000}"/>
    <cellStyle name="20% - Accent2 2 2 3 3 2 2" xfId="14667" xr:uid="{00000000-0005-0000-0000-0000E7080000}"/>
    <cellStyle name="20% - Accent2 2 2 3 3 2 2 2" xfId="28216" xr:uid="{00000000-0005-0000-0000-0000E8080000}"/>
    <cellStyle name="20% - Accent2 2 2 3 3 2 3" xfId="17945" xr:uid="{00000000-0005-0000-0000-0000E9080000}"/>
    <cellStyle name="20% - Accent2 2 2 3 3 3" xfId="10632" xr:uid="{00000000-0005-0000-0000-0000EA080000}"/>
    <cellStyle name="20% - Accent2 2 2 3 3 3 2" xfId="24574" xr:uid="{00000000-0005-0000-0000-0000EB080000}"/>
    <cellStyle name="20% - Accent2 2 2 3 3 4" xfId="17944" xr:uid="{00000000-0005-0000-0000-0000EC080000}"/>
    <cellStyle name="20% - Accent2 2 2 3 4" xfId="623" xr:uid="{00000000-0005-0000-0000-0000ED080000}"/>
    <cellStyle name="20% - Accent2 2 2 3 4 2" xfId="12208" xr:uid="{00000000-0005-0000-0000-0000EE080000}"/>
    <cellStyle name="20% - Accent2 2 2 3 4 2 2" xfId="25920" xr:uid="{00000000-0005-0000-0000-0000EF080000}"/>
    <cellStyle name="20% - Accent2 2 2 3 4 3" xfId="17946" xr:uid="{00000000-0005-0000-0000-0000F0080000}"/>
    <cellStyle name="20% - Accent2 2 2 3 5" xfId="624" xr:uid="{00000000-0005-0000-0000-0000F1080000}"/>
    <cellStyle name="20% - Accent2 2 2 3 5 2" xfId="12663" xr:uid="{00000000-0005-0000-0000-0000F2080000}"/>
    <cellStyle name="20% - Accent2 2 2 3 5 2 2" xfId="26375" xr:uid="{00000000-0005-0000-0000-0000F3080000}"/>
    <cellStyle name="20% - Accent2 2 2 3 5 3" xfId="17947" xr:uid="{00000000-0005-0000-0000-0000F4080000}"/>
    <cellStyle name="20% - Accent2 2 2 3 6" xfId="625" xr:uid="{00000000-0005-0000-0000-0000F5080000}"/>
    <cellStyle name="20% - Accent2 2 2 3 6 2" xfId="13772" xr:uid="{00000000-0005-0000-0000-0000F6080000}"/>
    <cellStyle name="20% - Accent2 2 2 3 6 2 2" xfId="27321" xr:uid="{00000000-0005-0000-0000-0000F7080000}"/>
    <cellStyle name="20% - Accent2 2 2 3 6 3" xfId="17948" xr:uid="{00000000-0005-0000-0000-0000F8080000}"/>
    <cellStyle name="20% - Accent2 2 2 3 7" xfId="626" xr:uid="{00000000-0005-0000-0000-0000F9080000}"/>
    <cellStyle name="20% - Accent2 2 2 3 7 2" xfId="14353" xr:uid="{00000000-0005-0000-0000-0000FA080000}"/>
    <cellStyle name="20% - Accent2 2 2 3 7 2 2" xfId="27902" xr:uid="{00000000-0005-0000-0000-0000FB080000}"/>
    <cellStyle name="20% - Accent2 2 2 3 7 3" xfId="17949" xr:uid="{00000000-0005-0000-0000-0000FC080000}"/>
    <cellStyle name="20% - Accent2 2 2 3 8" xfId="627" xr:uid="{00000000-0005-0000-0000-0000FD080000}"/>
    <cellStyle name="20% - Accent2 2 2 3 8 2" xfId="14665" xr:uid="{00000000-0005-0000-0000-0000FE080000}"/>
    <cellStyle name="20% - Accent2 2 2 3 8 2 2" xfId="28214" xr:uid="{00000000-0005-0000-0000-0000FF080000}"/>
    <cellStyle name="20% - Accent2 2 2 3 8 3" xfId="17950" xr:uid="{00000000-0005-0000-0000-000000090000}"/>
    <cellStyle name="20% - Accent2 2 2 3 9" xfId="628" xr:uid="{00000000-0005-0000-0000-000001090000}"/>
    <cellStyle name="20% - Accent2 2 2 3 9 2" xfId="16239" xr:uid="{00000000-0005-0000-0000-000002090000}"/>
    <cellStyle name="20% - Accent2 2 2 3 9 2 2" xfId="29646" xr:uid="{00000000-0005-0000-0000-000003090000}"/>
    <cellStyle name="20% - Accent2 2 2 3 9 3" xfId="17951" xr:uid="{00000000-0005-0000-0000-000004090000}"/>
    <cellStyle name="20% - Accent2 2 2 4" xfId="629" xr:uid="{00000000-0005-0000-0000-000005090000}"/>
    <cellStyle name="20% - Accent2 2 2 4 2" xfId="630" xr:uid="{00000000-0005-0000-0000-000006090000}"/>
    <cellStyle name="20% - Accent2 2 2 4 2 2" xfId="10634" xr:uid="{00000000-0005-0000-0000-000007090000}"/>
    <cellStyle name="20% - Accent2 2 2 4 2 2 2" xfId="24576" xr:uid="{00000000-0005-0000-0000-000008090000}"/>
    <cellStyle name="20% - Accent2 2 2 4 2 3" xfId="17953" xr:uid="{00000000-0005-0000-0000-000009090000}"/>
    <cellStyle name="20% - Accent2 2 2 4 3" xfId="631" xr:uid="{00000000-0005-0000-0000-00000A090000}"/>
    <cellStyle name="20% - Accent2 2 2 4 3 2" xfId="12550" xr:uid="{00000000-0005-0000-0000-00000B090000}"/>
    <cellStyle name="20% - Accent2 2 2 4 3 2 2" xfId="26262" xr:uid="{00000000-0005-0000-0000-00000C090000}"/>
    <cellStyle name="20% - Accent2 2 2 4 3 3" xfId="17954" xr:uid="{00000000-0005-0000-0000-00000D090000}"/>
    <cellStyle name="20% - Accent2 2 2 4 4" xfId="632" xr:uid="{00000000-0005-0000-0000-00000E090000}"/>
    <cellStyle name="20% - Accent2 2 2 4 4 2" xfId="14668" xr:uid="{00000000-0005-0000-0000-00000F090000}"/>
    <cellStyle name="20% - Accent2 2 2 4 4 2 2" xfId="28217" xr:uid="{00000000-0005-0000-0000-000010090000}"/>
    <cellStyle name="20% - Accent2 2 2 4 4 3" xfId="17955" xr:uid="{00000000-0005-0000-0000-000011090000}"/>
    <cellStyle name="20% - Accent2 2 2 4 5" xfId="633" xr:uid="{00000000-0005-0000-0000-000012090000}"/>
    <cellStyle name="20% - Accent2 2 2 4 5 2" xfId="17167" xr:uid="{00000000-0005-0000-0000-000013090000}"/>
    <cellStyle name="20% - Accent2 2 2 4 5 2 2" xfId="30526" xr:uid="{00000000-0005-0000-0000-000014090000}"/>
    <cellStyle name="20% - Accent2 2 2 4 5 3" xfId="17956" xr:uid="{00000000-0005-0000-0000-000015090000}"/>
    <cellStyle name="20% - Accent2 2 2 4 6" xfId="8909" xr:uid="{00000000-0005-0000-0000-000016090000}"/>
    <cellStyle name="20% - Accent2 2 2 4 6 2" xfId="23384" xr:uid="{00000000-0005-0000-0000-000017090000}"/>
    <cellStyle name="20% - Accent2 2 2 4 7" xfId="17952" xr:uid="{00000000-0005-0000-0000-000018090000}"/>
    <cellStyle name="20% - Accent2 2 2 5" xfId="634" xr:uid="{00000000-0005-0000-0000-000019090000}"/>
    <cellStyle name="20% - Accent2 2 2 5 2" xfId="635" xr:uid="{00000000-0005-0000-0000-00001A090000}"/>
    <cellStyle name="20% - Accent2 2 2 5 2 2" xfId="14669" xr:uid="{00000000-0005-0000-0000-00001B090000}"/>
    <cellStyle name="20% - Accent2 2 2 5 2 2 2" xfId="28218" xr:uid="{00000000-0005-0000-0000-00001C090000}"/>
    <cellStyle name="20% - Accent2 2 2 5 2 3" xfId="17958" xr:uid="{00000000-0005-0000-0000-00001D090000}"/>
    <cellStyle name="20% - Accent2 2 2 5 3" xfId="636" xr:uid="{00000000-0005-0000-0000-00001E090000}"/>
    <cellStyle name="20% - Accent2 2 2 5 3 2" xfId="17256" xr:uid="{00000000-0005-0000-0000-00001F090000}"/>
    <cellStyle name="20% - Accent2 2 2 5 3 2 2" xfId="30615" xr:uid="{00000000-0005-0000-0000-000020090000}"/>
    <cellStyle name="20% - Accent2 2 2 5 3 3" xfId="17959" xr:uid="{00000000-0005-0000-0000-000021090000}"/>
    <cellStyle name="20% - Accent2 2 2 5 4" xfId="10627" xr:uid="{00000000-0005-0000-0000-000022090000}"/>
    <cellStyle name="20% - Accent2 2 2 5 4 2" xfId="24569" xr:uid="{00000000-0005-0000-0000-000023090000}"/>
    <cellStyle name="20% - Accent2 2 2 5 5" xfId="17957" xr:uid="{00000000-0005-0000-0000-000024090000}"/>
    <cellStyle name="20% - Accent2 2 2 6" xfId="637" xr:uid="{00000000-0005-0000-0000-000025090000}"/>
    <cellStyle name="20% - Accent2 2 2 6 2" xfId="638" xr:uid="{00000000-0005-0000-0000-000026090000}"/>
    <cellStyle name="20% - Accent2 2 2 6 2 2" xfId="16531" xr:uid="{00000000-0005-0000-0000-000027090000}"/>
    <cellStyle name="20% - Accent2 2 2 6 2 2 2" xfId="29938" xr:uid="{00000000-0005-0000-0000-000028090000}"/>
    <cellStyle name="20% - Accent2 2 2 6 2 3" xfId="17961" xr:uid="{00000000-0005-0000-0000-000029090000}"/>
    <cellStyle name="20% - Accent2 2 2 6 3" xfId="11906" xr:uid="{00000000-0005-0000-0000-00002A090000}"/>
    <cellStyle name="20% - Accent2 2 2 6 3 2" xfId="25621" xr:uid="{00000000-0005-0000-0000-00002B090000}"/>
    <cellStyle name="20% - Accent2 2 2 6 4" xfId="17960" xr:uid="{00000000-0005-0000-0000-00002C090000}"/>
    <cellStyle name="20% - Accent2 2 2 7" xfId="639" xr:uid="{00000000-0005-0000-0000-00002D090000}"/>
    <cellStyle name="20% - Accent2 2 2 7 2" xfId="11873" xr:uid="{00000000-0005-0000-0000-00002E090000}"/>
    <cellStyle name="20% - Accent2 2 2 7 2 2" xfId="25588" xr:uid="{00000000-0005-0000-0000-00002F090000}"/>
    <cellStyle name="20% - Accent2 2 2 7 3" xfId="17962" xr:uid="{00000000-0005-0000-0000-000030090000}"/>
    <cellStyle name="20% - Accent2 2 2 8" xfId="640" xr:uid="{00000000-0005-0000-0000-000031090000}"/>
    <cellStyle name="20% - Accent2 2 2 8 2" xfId="13483" xr:uid="{00000000-0005-0000-0000-000032090000}"/>
    <cellStyle name="20% - Accent2 2 2 8 2 2" xfId="27032" xr:uid="{00000000-0005-0000-0000-000033090000}"/>
    <cellStyle name="20% - Accent2 2 2 8 3" xfId="17963" xr:uid="{00000000-0005-0000-0000-000034090000}"/>
    <cellStyle name="20% - Accent2 2 2 9" xfId="641" xr:uid="{00000000-0005-0000-0000-000035090000}"/>
    <cellStyle name="20% - Accent2 2 2 9 2" xfId="14064" xr:uid="{00000000-0005-0000-0000-000036090000}"/>
    <cellStyle name="20% - Accent2 2 2 9 2 2" xfId="27613" xr:uid="{00000000-0005-0000-0000-000037090000}"/>
    <cellStyle name="20% - Accent2 2 2 9 3" xfId="17964" xr:uid="{00000000-0005-0000-0000-000038090000}"/>
    <cellStyle name="20% - Accent2 2 3" xfId="642" xr:uid="{00000000-0005-0000-0000-000039090000}"/>
    <cellStyle name="20% - Accent2 2 3 10" xfId="643" xr:uid="{00000000-0005-0000-0000-00003A090000}"/>
    <cellStyle name="20% - Accent2 2 3 10 2" xfId="16047" xr:uid="{00000000-0005-0000-0000-00003B090000}"/>
    <cellStyle name="20% - Accent2 2 3 10 2 2" xfId="29454" xr:uid="{00000000-0005-0000-0000-00003C090000}"/>
    <cellStyle name="20% - Accent2 2 3 10 3" xfId="17966" xr:uid="{00000000-0005-0000-0000-00003D090000}"/>
    <cellStyle name="20% - Accent2 2 3 11" xfId="8910" xr:uid="{00000000-0005-0000-0000-00003E090000}"/>
    <cellStyle name="20% - Accent2 2 3 11 2" xfId="23385" xr:uid="{00000000-0005-0000-0000-00003F090000}"/>
    <cellStyle name="20% - Accent2 2 3 12" xfId="17965" xr:uid="{00000000-0005-0000-0000-000040090000}"/>
    <cellStyle name="20% - Accent2 2 3 2" xfId="644" xr:uid="{00000000-0005-0000-0000-000041090000}"/>
    <cellStyle name="20% - Accent2 2 3 2 10" xfId="8911" xr:uid="{00000000-0005-0000-0000-000042090000}"/>
    <cellStyle name="20% - Accent2 2 3 2 10 2" xfId="23386" xr:uid="{00000000-0005-0000-0000-000043090000}"/>
    <cellStyle name="20% - Accent2 2 3 2 11" xfId="17967" xr:uid="{00000000-0005-0000-0000-000044090000}"/>
    <cellStyle name="20% - Accent2 2 3 2 2" xfId="645" xr:uid="{00000000-0005-0000-0000-000045090000}"/>
    <cellStyle name="20% - Accent2 2 3 2 2 2" xfId="646" xr:uid="{00000000-0005-0000-0000-000046090000}"/>
    <cellStyle name="20% - Accent2 2 3 2 2 2 2" xfId="10637" xr:uid="{00000000-0005-0000-0000-000047090000}"/>
    <cellStyle name="20% - Accent2 2 3 2 2 2 2 2" xfId="24579" xr:uid="{00000000-0005-0000-0000-000048090000}"/>
    <cellStyle name="20% - Accent2 2 3 2 2 2 3" xfId="17969" xr:uid="{00000000-0005-0000-0000-000049090000}"/>
    <cellStyle name="20% - Accent2 2 3 2 2 3" xfId="647" xr:uid="{00000000-0005-0000-0000-00004A090000}"/>
    <cellStyle name="20% - Accent2 2 3 2 2 3 2" xfId="12647" xr:uid="{00000000-0005-0000-0000-00004B090000}"/>
    <cellStyle name="20% - Accent2 2 3 2 2 3 2 2" xfId="26359" xr:uid="{00000000-0005-0000-0000-00004C090000}"/>
    <cellStyle name="20% - Accent2 2 3 2 2 3 3" xfId="17970" xr:uid="{00000000-0005-0000-0000-00004D090000}"/>
    <cellStyle name="20% - Accent2 2 3 2 2 4" xfId="648" xr:uid="{00000000-0005-0000-0000-00004E090000}"/>
    <cellStyle name="20% - Accent2 2 3 2 2 4 2" xfId="14672" xr:uid="{00000000-0005-0000-0000-00004F090000}"/>
    <cellStyle name="20% - Accent2 2 3 2 2 4 2 2" xfId="28221" xr:uid="{00000000-0005-0000-0000-000050090000}"/>
    <cellStyle name="20% - Accent2 2 3 2 2 4 3" xfId="17971" xr:uid="{00000000-0005-0000-0000-000051090000}"/>
    <cellStyle name="20% - Accent2 2 3 2 2 5" xfId="649" xr:uid="{00000000-0005-0000-0000-000052090000}"/>
    <cellStyle name="20% - Accent2 2 3 2 2 5 2" xfId="16917" xr:uid="{00000000-0005-0000-0000-000053090000}"/>
    <cellStyle name="20% - Accent2 2 3 2 2 5 2 2" xfId="30324" xr:uid="{00000000-0005-0000-0000-000054090000}"/>
    <cellStyle name="20% - Accent2 2 3 2 2 5 3" xfId="17972" xr:uid="{00000000-0005-0000-0000-000055090000}"/>
    <cellStyle name="20% - Accent2 2 3 2 2 6" xfId="8912" xr:uid="{00000000-0005-0000-0000-000056090000}"/>
    <cellStyle name="20% - Accent2 2 3 2 2 6 2" xfId="23387" xr:uid="{00000000-0005-0000-0000-000057090000}"/>
    <cellStyle name="20% - Accent2 2 3 2 2 7" xfId="17968" xr:uid="{00000000-0005-0000-0000-000058090000}"/>
    <cellStyle name="20% - Accent2 2 3 2 3" xfId="650" xr:uid="{00000000-0005-0000-0000-000059090000}"/>
    <cellStyle name="20% - Accent2 2 3 2 3 2" xfId="651" xr:uid="{00000000-0005-0000-0000-00005A090000}"/>
    <cellStyle name="20% - Accent2 2 3 2 3 2 2" xfId="14673" xr:uid="{00000000-0005-0000-0000-00005B090000}"/>
    <cellStyle name="20% - Accent2 2 3 2 3 2 2 2" xfId="28222" xr:uid="{00000000-0005-0000-0000-00005C090000}"/>
    <cellStyle name="20% - Accent2 2 3 2 3 2 3" xfId="17974" xr:uid="{00000000-0005-0000-0000-00005D090000}"/>
    <cellStyle name="20% - Accent2 2 3 2 3 3" xfId="10636" xr:uid="{00000000-0005-0000-0000-00005E090000}"/>
    <cellStyle name="20% - Accent2 2 3 2 3 3 2" xfId="24578" xr:uid="{00000000-0005-0000-0000-00005F090000}"/>
    <cellStyle name="20% - Accent2 2 3 2 3 4" xfId="17973" xr:uid="{00000000-0005-0000-0000-000060090000}"/>
    <cellStyle name="20% - Accent2 2 3 2 4" xfId="652" xr:uid="{00000000-0005-0000-0000-000061090000}"/>
    <cellStyle name="20% - Accent2 2 3 2 4 2" xfId="12305" xr:uid="{00000000-0005-0000-0000-000062090000}"/>
    <cellStyle name="20% - Accent2 2 3 2 4 2 2" xfId="26017" xr:uid="{00000000-0005-0000-0000-000063090000}"/>
    <cellStyle name="20% - Accent2 2 3 2 4 3" xfId="17975" xr:uid="{00000000-0005-0000-0000-000064090000}"/>
    <cellStyle name="20% - Accent2 2 3 2 5" xfId="653" xr:uid="{00000000-0005-0000-0000-000065090000}"/>
    <cellStyle name="20% - Accent2 2 3 2 5 2" xfId="12423" xr:uid="{00000000-0005-0000-0000-000066090000}"/>
    <cellStyle name="20% - Accent2 2 3 2 5 2 2" xfId="26135" xr:uid="{00000000-0005-0000-0000-000067090000}"/>
    <cellStyle name="20% - Accent2 2 3 2 5 3" xfId="17976" xr:uid="{00000000-0005-0000-0000-000068090000}"/>
    <cellStyle name="20% - Accent2 2 3 2 6" xfId="654" xr:uid="{00000000-0005-0000-0000-000069090000}"/>
    <cellStyle name="20% - Accent2 2 3 2 6 2" xfId="13869" xr:uid="{00000000-0005-0000-0000-00006A090000}"/>
    <cellStyle name="20% - Accent2 2 3 2 6 2 2" xfId="27418" xr:uid="{00000000-0005-0000-0000-00006B090000}"/>
    <cellStyle name="20% - Accent2 2 3 2 6 3" xfId="17977" xr:uid="{00000000-0005-0000-0000-00006C090000}"/>
    <cellStyle name="20% - Accent2 2 3 2 7" xfId="655" xr:uid="{00000000-0005-0000-0000-00006D090000}"/>
    <cellStyle name="20% - Accent2 2 3 2 7 2" xfId="14450" xr:uid="{00000000-0005-0000-0000-00006E090000}"/>
    <cellStyle name="20% - Accent2 2 3 2 7 2 2" xfId="27999" xr:uid="{00000000-0005-0000-0000-00006F090000}"/>
    <cellStyle name="20% - Accent2 2 3 2 7 3" xfId="17978" xr:uid="{00000000-0005-0000-0000-000070090000}"/>
    <cellStyle name="20% - Accent2 2 3 2 8" xfId="656" xr:uid="{00000000-0005-0000-0000-000071090000}"/>
    <cellStyle name="20% - Accent2 2 3 2 8 2" xfId="14671" xr:uid="{00000000-0005-0000-0000-000072090000}"/>
    <cellStyle name="20% - Accent2 2 3 2 8 2 2" xfId="28220" xr:uid="{00000000-0005-0000-0000-000073090000}"/>
    <cellStyle name="20% - Accent2 2 3 2 8 3" xfId="17979" xr:uid="{00000000-0005-0000-0000-000074090000}"/>
    <cellStyle name="20% - Accent2 2 3 2 9" xfId="657" xr:uid="{00000000-0005-0000-0000-000075090000}"/>
    <cellStyle name="20% - Accent2 2 3 2 9 2" xfId="16336" xr:uid="{00000000-0005-0000-0000-000076090000}"/>
    <cellStyle name="20% - Accent2 2 3 2 9 2 2" xfId="29743" xr:uid="{00000000-0005-0000-0000-000077090000}"/>
    <cellStyle name="20% - Accent2 2 3 2 9 3" xfId="17980" xr:uid="{00000000-0005-0000-0000-000078090000}"/>
    <cellStyle name="20% - Accent2 2 3 3" xfId="658" xr:uid="{00000000-0005-0000-0000-000079090000}"/>
    <cellStyle name="20% - Accent2 2 3 3 2" xfId="659" xr:uid="{00000000-0005-0000-0000-00007A090000}"/>
    <cellStyle name="20% - Accent2 2 3 3 2 2" xfId="10638" xr:uid="{00000000-0005-0000-0000-00007B090000}"/>
    <cellStyle name="20% - Accent2 2 3 3 2 2 2" xfId="24580" xr:uid="{00000000-0005-0000-0000-00007C090000}"/>
    <cellStyle name="20% - Accent2 2 3 3 2 3" xfId="17982" xr:uid="{00000000-0005-0000-0000-00007D090000}"/>
    <cellStyle name="20% - Accent2 2 3 3 3" xfId="660" xr:uid="{00000000-0005-0000-0000-00007E090000}"/>
    <cellStyle name="20% - Accent2 2 3 3 3 2" xfId="12678" xr:uid="{00000000-0005-0000-0000-00007F090000}"/>
    <cellStyle name="20% - Accent2 2 3 3 3 2 2" xfId="26390" xr:uid="{00000000-0005-0000-0000-000080090000}"/>
    <cellStyle name="20% - Accent2 2 3 3 3 3" xfId="17983" xr:uid="{00000000-0005-0000-0000-000081090000}"/>
    <cellStyle name="20% - Accent2 2 3 3 4" xfId="661" xr:uid="{00000000-0005-0000-0000-000082090000}"/>
    <cellStyle name="20% - Accent2 2 3 3 4 2" xfId="14674" xr:uid="{00000000-0005-0000-0000-000083090000}"/>
    <cellStyle name="20% - Accent2 2 3 3 4 2 2" xfId="28223" xr:uid="{00000000-0005-0000-0000-000084090000}"/>
    <cellStyle name="20% - Accent2 2 3 3 4 3" xfId="17984" xr:uid="{00000000-0005-0000-0000-000085090000}"/>
    <cellStyle name="20% - Accent2 2 3 3 5" xfId="662" xr:uid="{00000000-0005-0000-0000-000086090000}"/>
    <cellStyle name="20% - Accent2 2 3 3 5 2" xfId="16628" xr:uid="{00000000-0005-0000-0000-000087090000}"/>
    <cellStyle name="20% - Accent2 2 3 3 5 2 2" xfId="30035" xr:uid="{00000000-0005-0000-0000-000088090000}"/>
    <cellStyle name="20% - Accent2 2 3 3 5 3" xfId="17985" xr:uid="{00000000-0005-0000-0000-000089090000}"/>
    <cellStyle name="20% - Accent2 2 3 3 6" xfId="8913" xr:uid="{00000000-0005-0000-0000-00008A090000}"/>
    <cellStyle name="20% - Accent2 2 3 3 6 2" xfId="23388" xr:uid="{00000000-0005-0000-0000-00008B090000}"/>
    <cellStyle name="20% - Accent2 2 3 3 7" xfId="17981" xr:uid="{00000000-0005-0000-0000-00008C090000}"/>
    <cellStyle name="20% - Accent2 2 3 4" xfId="663" xr:uid="{00000000-0005-0000-0000-00008D090000}"/>
    <cellStyle name="20% - Accent2 2 3 4 2" xfId="664" xr:uid="{00000000-0005-0000-0000-00008E090000}"/>
    <cellStyle name="20% - Accent2 2 3 4 2 2" xfId="14675" xr:uid="{00000000-0005-0000-0000-00008F090000}"/>
    <cellStyle name="20% - Accent2 2 3 4 2 2 2" xfId="28224" xr:uid="{00000000-0005-0000-0000-000090090000}"/>
    <cellStyle name="20% - Accent2 2 3 4 2 3" xfId="17987" xr:uid="{00000000-0005-0000-0000-000091090000}"/>
    <cellStyle name="20% - Accent2 2 3 4 3" xfId="10635" xr:uid="{00000000-0005-0000-0000-000092090000}"/>
    <cellStyle name="20% - Accent2 2 3 4 3 2" xfId="24577" xr:uid="{00000000-0005-0000-0000-000093090000}"/>
    <cellStyle name="20% - Accent2 2 3 4 4" xfId="17986" xr:uid="{00000000-0005-0000-0000-000094090000}"/>
    <cellStyle name="20% - Accent2 2 3 5" xfId="665" xr:uid="{00000000-0005-0000-0000-000095090000}"/>
    <cellStyle name="20% - Accent2 2 3 5 2" xfId="12005" xr:uid="{00000000-0005-0000-0000-000096090000}"/>
    <cellStyle name="20% - Accent2 2 3 5 2 2" xfId="25720" xr:uid="{00000000-0005-0000-0000-000097090000}"/>
    <cellStyle name="20% - Accent2 2 3 5 3" xfId="17988" xr:uid="{00000000-0005-0000-0000-000098090000}"/>
    <cellStyle name="20% - Accent2 2 3 6" xfId="666" xr:uid="{00000000-0005-0000-0000-000099090000}"/>
    <cellStyle name="20% - Accent2 2 3 6 2" xfId="12605" xr:uid="{00000000-0005-0000-0000-00009A090000}"/>
    <cellStyle name="20% - Accent2 2 3 6 2 2" xfId="26317" xr:uid="{00000000-0005-0000-0000-00009B090000}"/>
    <cellStyle name="20% - Accent2 2 3 6 3" xfId="17989" xr:uid="{00000000-0005-0000-0000-00009C090000}"/>
    <cellStyle name="20% - Accent2 2 3 7" xfId="667" xr:uid="{00000000-0005-0000-0000-00009D090000}"/>
    <cellStyle name="20% - Accent2 2 3 7 2" xfId="13580" xr:uid="{00000000-0005-0000-0000-00009E090000}"/>
    <cellStyle name="20% - Accent2 2 3 7 2 2" xfId="27129" xr:uid="{00000000-0005-0000-0000-00009F090000}"/>
    <cellStyle name="20% - Accent2 2 3 7 3" xfId="17990" xr:uid="{00000000-0005-0000-0000-0000A0090000}"/>
    <cellStyle name="20% - Accent2 2 3 8" xfId="668" xr:uid="{00000000-0005-0000-0000-0000A1090000}"/>
    <cellStyle name="20% - Accent2 2 3 8 2" xfId="14161" xr:uid="{00000000-0005-0000-0000-0000A2090000}"/>
    <cellStyle name="20% - Accent2 2 3 8 2 2" xfId="27710" xr:uid="{00000000-0005-0000-0000-0000A3090000}"/>
    <cellStyle name="20% - Accent2 2 3 8 3" xfId="17991" xr:uid="{00000000-0005-0000-0000-0000A4090000}"/>
    <cellStyle name="20% - Accent2 2 3 9" xfId="669" xr:uid="{00000000-0005-0000-0000-0000A5090000}"/>
    <cellStyle name="20% - Accent2 2 3 9 2" xfId="14670" xr:uid="{00000000-0005-0000-0000-0000A6090000}"/>
    <cellStyle name="20% - Accent2 2 3 9 2 2" xfId="28219" xr:uid="{00000000-0005-0000-0000-0000A7090000}"/>
    <cellStyle name="20% - Accent2 2 3 9 3" xfId="17992" xr:uid="{00000000-0005-0000-0000-0000A8090000}"/>
    <cellStyle name="20% - Accent2 2 4" xfId="670" xr:uid="{00000000-0005-0000-0000-0000A9090000}"/>
    <cellStyle name="20% - Accent2 2 4 10" xfId="8914" xr:uid="{00000000-0005-0000-0000-0000AA090000}"/>
    <cellStyle name="20% - Accent2 2 4 10 2" xfId="23389" xr:uid="{00000000-0005-0000-0000-0000AB090000}"/>
    <cellStyle name="20% - Accent2 2 4 11" xfId="17993" xr:uid="{00000000-0005-0000-0000-0000AC090000}"/>
    <cellStyle name="20% - Accent2 2 4 2" xfId="671" xr:uid="{00000000-0005-0000-0000-0000AD090000}"/>
    <cellStyle name="20% - Accent2 2 4 2 2" xfId="672" xr:uid="{00000000-0005-0000-0000-0000AE090000}"/>
    <cellStyle name="20% - Accent2 2 4 2 2 2" xfId="10640" xr:uid="{00000000-0005-0000-0000-0000AF090000}"/>
    <cellStyle name="20% - Accent2 2 4 2 2 2 2" xfId="24582" xr:uid="{00000000-0005-0000-0000-0000B0090000}"/>
    <cellStyle name="20% - Accent2 2 4 2 2 3" xfId="17995" xr:uid="{00000000-0005-0000-0000-0000B1090000}"/>
    <cellStyle name="20% - Accent2 2 4 2 3" xfId="673" xr:uid="{00000000-0005-0000-0000-0000B2090000}"/>
    <cellStyle name="20% - Accent2 2 4 2 3 2" xfId="12774" xr:uid="{00000000-0005-0000-0000-0000B3090000}"/>
    <cellStyle name="20% - Accent2 2 4 2 3 2 2" xfId="26486" xr:uid="{00000000-0005-0000-0000-0000B4090000}"/>
    <cellStyle name="20% - Accent2 2 4 2 3 3" xfId="17996" xr:uid="{00000000-0005-0000-0000-0000B5090000}"/>
    <cellStyle name="20% - Accent2 2 4 2 4" xfId="674" xr:uid="{00000000-0005-0000-0000-0000B6090000}"/>
    <cellStyle name="20% - Accent2 2 4 2 4 2" xfId="14677" xr:uid="{00000000-0005-0000-0000-0000B7090000}"/>
    <cellStyle name="20% - Accent2 2 4 2 4 2 2" xfId="28226" xr:uid="{00000000-0005-0000-0000-0000B8090000}"/>
    <cellStyle name="20% - Accent2 2 4 2 4 3" xfId="17997" xr:uid="{00000000-0005-0000-0000-0000B9090000}"/>
    <cellStyle name="20% - Accent2 2 4 2 5" xfId="675" xr:uid="{00000000-0005-0000-0000-0000BA090000}"/>
    <cellStyle name="20% - Accent2 2 4 2 5 2" xfId="16774" xr:uid="{00000000-0005-0000-0000-0000BB090000}"/>
    <cellStyle name="20% - Accent2 2 4 2 5 2 2" xfId="30181" xr:uid="{00000000-0005-0000-0000-0000BC090000}"/>
    <cellStyle name="20% - Accent2 2 4 2 5 3" xfId="17998" xr:uid="{00000000-0005-0000-0000-0000BD090000}"/>
    <cellStyle name="20% - Accent2 2 4 2 6" xfId="8915" xr:uid="{00000000-0005-0000-0000-0000BE090000}"/>
    <cellStyle name="20% - Accent2 2 4 2 6 2" xfId="23390" xr:uid="{00000000-0005-0000-0000-0000BF090000}"/>
    <cellStyle name="20% - Accent2 2 4 2 7" xfId="17994" xr:uid="{00000000-0005-0000-0000-0000C0090000}"/>
    <cellStyle name="20% - Accent2 2 4 3" xfId="676" xr:uid="{00000000-0005-0000-0000-0000C1090000}"/>
    <cellStyle name="20% - Accent2 2 4 3 2" xfId="677" xr:uid="{00000000-0005-0000-0000-0000C2090000}"/>
    <cellStyle name="20% - Accent2 2 4 3 2 2" xfId="14678" xr:uid="{00000000-0005-0000-0000-0000C3090000}"/>
    <cellStyle name="20% - Accent2 2 4 3 2 2 2" xfId="28227" xr:uid="{00000000-0005-0000-0000-0000C4090000}"/>
    <cellStyle name="20% - Accent2 2 4 3 2 3" xfId="18000" xr:uid="{00000000-0005-0000-0000-0000C5090000}"/>
    <cellStyle name="20% - Accent2 2 4 3 3" xfId="10639" xr:uid="{00000000-0005-0000-0000-0000C6090000}"/>
    <cellStyle name="20% - Accent2 2 4 3 3 2" xfId="24581" xr:uid="{00000000-0005-0000-0000-0000C7090000}"/>
    <cellStyle name="20% - Accent2 2 4 3 4" xfId="17999" xr:uid="{00000000-0005-0000-0000-0000C8090000}"/>
    <cellStyle name="20% - Accent2 2 4 4" xfId="678" xr:uid="{00000000-0005-0000-0000-0000C9090000}"/>
    <cellStyle name="20% - Accent2 2 4 4 2" xfId="12162" xr:uid="{00000000-0005-0000-0000-0000CA090000}"/>
    <cellStyle name="20% - Accent2 2 4 4 2 2" xfId="25874" xr:uid="{00000000-0005-0000-0000-0000CB090000}"/>
    <cellStyle name="20% - Accent2 2 4 4 3" xfId="18001" xr:uid="{00000000-0005-0000-0000-0000CC090000}"/>
    <cellStyle name="20% - Accent2 2 4 5" xfId="679" xr:uid="{00000000-0005-0000-0000-0000CD090000}"/>
    <cellStyle name="20% - Accent2 2 4 5 2" xfId="12679" xr:uid="{00000000-0005-0000-0000-0000CE090000}"/>
    <cellStyle name="20% - Accent2 2 4 5 2 2" xfId="26391" xr:uid="{00000000-0005-0000-0000-0000CF090000}"/>
    <cellStyle name="20% - Accent2 2 4 5 3" xfId="18002" xr:uid="{00000000-0005-0000-0000-0000D0090000}"/>
    <cellStyle name="20% - Accent2 2 4 6" xfId="680" xr:uid="{00000000-0005-0000-0000-0000D1090000}"/>
    <cellStyle name="20% - Accent2 2 4 6 2" xfId="13726" xr:uid="{00000000-0005-0000-0000-0000D2090000}"/>
    <cellStyle name="20% - Accent2 2 4 6 2 2" xfId="27275" xr:uid="{00000000-0005-0000-0000-0000D3090000}"/>
    <cellStyle name="20% - Accent2 2 4 6 3" xfId="18003" xr:uid="{00000000-0005-0000-0000-0000D4090000}"/>
    <cellStyle name="20% - Accent2 2 4 7" xfId="681" xr:uid="{00000000-0005-0000-0000-0000D5090000}"/>
    <cellStyle name="20% - Accent2 2 4 7 2" xfId="14307" xr:uid="{00000000-0005-0000-0000-0000D6090000}"/>
    <cellStyle name="20% - Accent2 2 4 7 2 2" xfId="27856" xr:uid="{00000000-0005-0000-0000-0000D7090000}"/>
    <cellStyle name="20% - Accent2 2 4 7 3" xfId="18004" xr:uid="{00000000-0005-0000-0000-0000D8090000}"/>
    <cellStyle name="20% - Accent2 2 4 8" xfId="682" xr:uid="{00000000-0005-0000-0000-0000D9090000}"/>
    <cellStyle name="20% - Accent2 2 4 8 2" xfId="14676" xr:uid="{00000000-0005-0000-0000-0000DA090000}"/>
    <cellStyle name="20% - Accent2 2 4 8 2 2" xfId="28225" xr:uid="{00000000-0005-0000-0000-0000DB090000}"/>
    <cellStyle name="20% - Accent2 2 4 8 3" xfId="18005" xr:uid="{00000000-0005-0000-0000-0000DC090000}"/>
    <cellStyle name="20% - Accent2 2 4 9" xfId="683" xr:uid="{00000000-0005-0000-0000-0000DD090000}"/>
    <cellStyle name="20% - Accent2 2 4 9 2" xfId="16193" xr:uid="{00000000-0005-0000-0000-0000DE090000}"/>
    <cellStyle name="20% - Accent2 2 4 9 2 2" xfId="29600" xr:uid="{00000000-0005-0000-0000-0000DF090000}"/>
    <cellStyle name="20% - Accent2 2 4 9 3" xfId="18006" xr:uid="{00000000-0005-0000-0000-0000E0090000}"/>
    <cellStyle name="20% - Accent2 2 5" xfId="684" xr:uid="{00000000-0005-0000-0000-0000E1090000}"/>
    <cellStyle name="20% - Accent2 2 5 2" xfId="685" xr:uid="{00000000-0005-0000-0000-0000E2090000}"/>
    <cellStyle name="20% - Accent2 2 5 2 2" xfId="686" xr:uid="{00000000-0005-0000-0000-0000E3090000}"/>
    <cellStyle name="20% - Accent2 2 5 2 2 2" xfId="10642" xr:uid="{00000000-0005-0000-0000-0000E4090000}"/>
    <cellStyle name="20% - Accent2 2 5 2 2 2 2" xfId="24584" xr:uid="{00000000-0005-0000-0000-0000E5090000}"/>
    <cellStyle name="20% - Accent2 2 5 2 2 3" xfId="18009" xr:uid="{00000000-0005-0000-0000-0000E6090000}"/>
    <cellStyle name="20% - Accent2 2 5 2 3" xfId="687" xr:uid="{00000000-0005-0000-0000-0000E7090000}"/>
    <cellStyle name="20% - Accent2 2 5 2 3 2" xfId="12533" xr:uid="{00000000-0005-0000-0000-0000E8090000}"/>
    <cellStyle name="20% - Accent2 2 5 2 3 2 2" xfId="26245" xr:uid="{00000000-0005-0000-0000-0000E9090000}"/>
    <cellStyle name="20% - Accent2 2 5 2 3 3" xfId="18010" xr:uid="{00000000-0005-0000-0000-0000EA090000}"/>
    <cellStyle name="20% - Accent2 2 5 2 4" xfId="688" xr:uid="{00000000-0005-0000-0000-0000EB090000}"/>
    <cellStyle name="20% - Accent2 2 5 2 4 2" xfId="14680" xr:uid="{00000000-0005-0000-0000-0000EC090000}"/>
    <cellStyle name="20% - Accent2 2 5 2 4 2 2" xfId="28229" xr:uid="{00000000-0005-0000-0000-0000ED090000}"/>
    <cellStyle name="20% - Accent2 2 5 2 4 3" xfId="18011" xr:uid="{00000000-0005-0000-0000-0000EE090000}"/>
    <cellStyle name="20% - Accent2 2 5 2 5" xfId="8917" xr:uid="{00000000-0005-0000-0000-0000EF090000}"/>
    <cellStyle name="20% - Accent2 2 5 2 5 2" xfId="23392" xr:uid="{00000000-0005-0000-0000-0000F0090000}"/>
    <cellStyle name="20% - Accent2 2 5 2 6" xfId="18008" xr:uid="{00000000-0005-0000-0000-0000F1090000}"/>
    <cellStyle name="20% - Accent2 2 5 3" xfId="689" xr:uid="{00000000-0005-0000-0000-0000F2090000}"/>
    <cellStyle name="20% - Accent2 2 5 3 2" xfId="10641" xr:uid="{00000000-0005-0000-0000-0000F3090000}"/>
    <cellStyle name="20% - Accent2 2 5 3 2 2" xfId="24583" xr:uid="{00000000-0005-0000-0000-0000F4090000}"/>
    <cellStyle name="20% - Accent2 2 5 3 3" xfId="18012" xr:uid="{00000000-0005-0000-0000-0000F5090000}"/>
    <cellStyle name="20% - Accent2 2 5 4" xfId="690" xr:uid="{00000000-0005-0000-0000-0000F6090000}"/>
    <cellStyle name="20% - Accent2 2 5 4 2" xfId="12523" xr:uid="{00000000-0005-0000-0000-0000F7090000}"/>
    <cellStyle name="20% - Accent2 2 5 4 2 2" xfId="26235" xr:uid="{00000000-0005-0000-0000-0000F8090000}"/>
    <cellStyle name="20% - Accent2 2 5 4 3" xfId="18013" xr:uid="{00000000-0005-0000-0000-0000F9090000}"/>
    <cellStyle name="20% - Accent2 2 5 5" xfId="691" xr:uid="{00000000-0005-0000-0000-0000FA090000}"/>
    <cellStyle name="20% - Accent2 2 5 5 2" xfId="14679" xr:uid="{00000000-0005-0000-0000-0000FB090000}"/>
    <cellStyle name="20% - Accent2 2 5 5 2 2" xfId="28228" xr:uid="{00000000-0005-0000-0000-0000FC090000}"/>
    <cellStyle name="20% - Accent2 2 5 5 3" xfId="18014" xr:uid="{00000000-0005-0000-0000-0000FD090000}"/>
    <cellStyle name="20% - Accent2 2 5 6" xfId="692" xr:uid="{00000000-0005-0000-0000-0000FE090000}"/>
    <cellStyle name="20% - Accent2 2 5 6 2" xfId="17008" xr:uid="{00000000-0005-0000-0000-0000FF090000}"/>
    <cellStyle name="20% - Accent2 2 5 6 2 2" xfId="30415" xr:uid="{00000000-0005-0000-0000-0000000A0000}"/>
    <cellStyle name="20% - Accent2 2 5 6 3" xfId="18015" xr:uid="{00000000-0005-0000-0000-0000010A0000}"/>
    <cellStyle name="20% - Accent2 2 5 7" xfId="8916" xr:uid="{00000000-0005-0000-0000-0000020A0000}"/>
    <cellStyle name="20% - Accent2 2 5 7 2" xfId="23391" xr:uid="{00000000-0005-0000-0000-0000030A0000}"/>
    <cellStyle name="20% - Accent2 2 5 8" xfId="18007" xr:uid="{00000000-0005-0000-0000-0000040A0000}"/>
    <cellStyle name="20% - Accent2 2 6" xfId="693" xr:uid="{00000000-0005-0000-0000-0000050A0000}"/>
    <cellStyle name="20% - Accent2 2 6 2" xfId="694" xr:uid="{00000000-0005-0000-0000-0000060A0000}"/>
    <cellStyle name="20% - Accent2 2 6 2 2" xfId="10643" xr:uid="{00000000-0005-0000-0000-0000070A0000}"/>
    <cellStyle name="20% - Accent2 2 6 2 2 2" xfId="24585" xr:uid="{00000000-0005-0000-0000-0000080A0000}"/>
    <cellStyle name="20% - Accent2 2 6 2 3" xfId="18017" xr:uid="{00000000-0005-0000-0000-0000090A0000}"/>
    <cellStyle name="20% - Accent2 2 6 3" xfId="695" xr:uid="{00000000-0005-0000-0000-00000A0A0000}"/>
    <cellStyle name="20% - Accent2 2 6 3 2" xfId="12690" xr:uid="{00000000-0005-0000-0000-00000B0A0000}"/>
    <cellStyle name="20% - Accent2 2 6 3 2 2" xfId="26402" xr:uid="{00000000-0005-0000-0000-00000C0A0000}"/>
    <cellStyle name="20% - Accent2 2 6 3 3" xfId="18018" xr:uid="{00000000-0005-0000-0000-00000D0A0000}"/>
    <cellStyle name="20% - Accent2 2 6 4" xfId="696" xr:uid="{00000000-0005-0000-0000-00000E0A0000}"/>
    <cellStyle name="20% - Accent2 2 6 4 2" xfId="14681" xr:uid="{00000000-0005-0000-0000-00000F0A0000}"/>
    <cellStyle name="20% - Accent2 2 6 4 2 2" xfId="28230" xr:uid="{00000000-0005-0000-0000-0000100A0000}"/>
    <cellStyle name="20% - Accent2 2 6 4 3" xfId="18019" xr:uid="{00000000-0005-0000-0000-0000110A0000}"/>
    <cellStyle name="20% - Accent2 2 6 5" xfId="697" xr:uid="{00000000-0005-0000-0000-0000120A0000}"/>
    <cellStyle name="20% - Accent2 2 6 5 2" xfId="17121" xr:uid="{00000000-0005-0000-0000-0000130A0000}"/>
    <cellStyle name="20% - Accent2 2 6 5 2 2" xfId="30480" xr:uid="{00000000-0005-0000-0000-0000140A0000}"/>
    <cellStyle name="20% - Accent2 2 6 5 3" xfId="18020" xr:uid="{00000000-0005-0000-0000-0000150A0000}"/>
    <cellStyle name="20% - Accent2 2 6 6" xfId="8918" xr:uid="{00000000-0005-0000-0000-0000160A0000}"/>
    <cellStyle name="20% - Accent2 2 6 6 2" xfId="23393" xr:uid="{00000000-0005-0000-0000-0000170A0000}"/>
    <cellStyle name="20% - Accent2 2 6 7" xfId="18016" xr:uid="{00000000-0005-0000-0000-0000180A0000}"/>
    <cellStyle name="20% - Accent2 2 7" xfId="698" xr:uid="{00000000-0005-0000-0000-0000190A0000}"/>
    <cellStyle name="20% - Accent2 2 7 2" xfId="699" xr:uid="{00000000-0005-0000-0000-00001A0A0000}"/>
    <cellStyle name="20% - Accent2 2 7 2 2" xfId="10644" xr:uid="{00000000-0005-0000-0000-00001B0A0000}"/>
    <cellStyle name="20% - Accent2 2 7 2 2 2" xfId="24586" xr:uid="{00000000-0005-0000-0000-00001C0A0000}"/>
    <cellStyle name="20% - Accent2 2 7 2 3" xfId="18022" xr:uid="{00000000-0005-0000-0000-00001D0A0000}"/>
    <cellStyle name="20% - Accent2 2 7 3" xfId="700" xr:uid="{00000000-0005-0000-0000-00001E0A0000}"/>
    <cellStyle name="20% - Accent2 2 7 3 2" xfId="12466" xr:uid="{00000000-0005-0000-0000-00001F0A0000}"/>
    <cellStyle name="20% - Accent2 2 7 3 2 2" xfId="26178" xr:uid="{00000000-0005-0000-0000-0000200A0000}"/>
    <cellStyle name="20% - Accent2 2 7 3 3" xfId="18023" xr:uid="{00000000-0005-0000-0000-0000210A0000}"/>
    <cellStyle name="20% - Accent2 2 7 4" xfId="701" xr:uid="{00000000-0005-0000-0000-0000220A0000}"/>
    <cellStyle name="20% - Accent2 2 7 4 2" xfId="14682" xr:uid="{00000000-0005-0000-0000-0000230A0000}"/>
    <cellStyle name="20% - Accent2 2 7 4 2 2" xfId="28231" xr:uid="{00000000-0005-0000-0000-0000240A0000}"/>
    <cellStyle name="20% - Accent2 2 7 4 3" xfId="18024" xr:uid="{00000000-0005-0000-0000-0000250A0000}"/>
    <cellStyle name="20% - Accent2 2 7 5" xfId="702" xr:uid="{00000000-0005-0000-0000-0000260A0000}"/>
    <cellStyle name="20% - Accent2 2 7 5 2" xfId="17210" xr:uid="{00000000-0005-0000-0000-0000270A0000}"/>
    <cellStyle name="20% - Accent2 2 7 5 2 2" xfId="30569" xr:uid="{00000000-0005-0000-0000-0000280A0000}"/>
    <cellStyle name="20% - Accent2 2 7 5 3" xfId="18025" xr:uid="{00000000-0005-0000-0000-0000290A0000}"/>
    <cellStyle name="20% - Accent2 2 7 6" xfId="8919" xr:uid="{00000000-0005-0000-0000-00002A0A0000}"/>
    <cellStyle name="20% - Accent2 2 7 6 2" xfId="23394" xr:uid="{00000000-0005-0000-0000-00002B0A0000}"/>
    <cellStyle name="20% - Accent2 2 7 7" xfId="18021" xr:uid="{00000000-0005-0000-0000-00002C0A0000}"/>
    <cellStyle name="20% - Accent2 2 8" xfId="703" xr:uid="{00000000-0005-0000-0000-00002D0A0000}"/>
    <cellStyle name="20% - Accent2 2 8 2" xfId="704" xr:uid="{00000000-0005-0000-0000-00002E0A0000}"/>
    <cellStyle name="20% - Accent2 2 8 2 2" xfId="12572" xr:uid="{00000000-0005-0000-0000-00002F0A0000}"/>
    <cellStyle name="20% - Accent2 2 8 2 2 2" xfId="26284" xr:uid="{00000000-0005-0000-0000-0000300A0000}"/>
    <cellStyle name="20% - Accent2 2 8 2 3" xfId="18027" xr:uid="{00000000-0005-0000-0000-0000310A0000}"/>
    <cellStyle name="20% - Accent2 2 8 3" xfId="705" xr:uid="{00000000-0005-0000-0000-0000320A0000}"/>
    <cellStyle name="20% - Accent2 2 8 3 2" xfId="14683" xr:uid="{00000000-0005-0000-0000-0000330A0000}"/>
    <cellStyle name="20% - Accent2 2 8 3 2 2" xfId="28232" xr:uid="{00000000-0005-0000-0000-0000340A0000}"/>
    <cellStyle name="20% - Accent2 2 8 3 3" xfId="18028" xr:uid="{00000000-0005-0000-0000-0000350A0000}"/>
    <cellStyle name="20% - Accent2 2 8 4" xfId="706" xr:uid="{00000000-0005-0000-0000-0000360A0000}"/>
    <cellStyle name="20% - Accent2 2 8 4 2" xfId="16485" xr:uid="{00000000-0005-0000-0000-0000370A0000}"/>
    <cellStyle name="20% - Accent2 2 8 4 2 2" xfId="29892" xr:uid="{00000000-0005-0000-0000-0000380A0000}"/>
    <cellStyle name="20% - Accent2 2 8 4 3" xfId="18029" xr:uid="{00000000-0005-0000-0000-0000390A0000}"/>
    <cellStyle name="20% - Accent2 2 8 5" xfId="10529" xr:uid="{00000000-0005-0000-0000-00003A0A0000}"/>
    <cellStyle name="20% - Accent2 2 8 5 2" xfId="24471" xr:uid="{00000000-0005-0000-0000-00003B0A0000}"/>
    <cellStyle name="20% - Accent2 2 8 6" xfId="18026" xr:uid="{00000000-0005-0000-0000-00003C0A0000}"/>
    <cellStyle name="20% - Accent2 2 9" xfId="707" xr:uid="{00000000-0005-0000-0000-00003D0A0000}"/>
    <cellStyle name="20% - Accent2 2 9 2" xfId="708" xr:uid="{00000000-0005-0000-0000-00003E0A0000}"/>
    <cellStyle name="20% - Accent2 2 9 2 2" xfId="12789" xr:uid="{00000000-0005-0000-0000-00003F0A0000}"/>
    <cellStyle name="20% - Accent2 2 9 2 2 2" xfId="26501" xr:uid="{00000000-0005-0000-0000-0000400A0000}"/>
    <cellStyle name="20% - Accent2 2 9 2 3" xfId="18031" xr:uid="{00000000-0005-0000-0000-0000410A0000}"/>
    <cellStyle name="20% - Accent2 2 9 3" xfId="709" xr:uid="{00000000-0005-0000-0000-0000420A0000}"/>
    <cellStyle name="20% - Accent2 2 9 3 2" xfId="14684" xr:uid="{00000000-0005-0000-0000-0000430A0000}"/>
    <cellStyle name="20% - Accent2 2 9 3 2 2" xfId="28233" xr:uid="{00000000-0005-0000-0000-0000440A0000}"/>
    <cellStyle name="20% - Accent2 2 9 3 3" xfId="18032" xr:uid="{00000000-0005-0000-0000-0000450A0000}"/>
    <cellStyle name="20% - Accent2 2 9 4" xfId="10626" xr:uid="{00000000-0005-0000-0000-0000460A0000}"/>
    <cellStyle name="20% - Accent2 2 9 4 2" xfId="24568" xr:uid="{00000000-0005-0000-0000-0000470A0000}"/>
    <cellStyle name="20% - Accent2 2 9 5" xfId="18030" xr:uid="{00000000-0005-0000-0000-0000480A0000}"/>
    <cellStyle name="20% - Accent2 20" xfId="710" xr:uid="{00000000-0005-0000-0000-0000490A0000}"/>
    <cellStyle name="20% - Accent2 20 2" xfId="711" xr:uid="{00000000-0005-0000-0000-00004A0A0000}"/>
    <cellStyle name="20% - Accent2 20 2 2" xfId="12677" xr:uid="{00000000-0005-0000-0000-00004B0A0000}"/>
    <cellStyle name="20% - Accent2 20 2 2 2" xfId="26389" xr:uid="{00000000-0005-0000-0000-00004C0A0000}"/>
    <cellStyle name="20% - Accent2 20 2 3" xfId="18034" xr:uid="{00000000-0005-0000-0000-00004D0A0000}"/>
    <cellStyle name="20% - Accent2 20 3" xfId="712" xr:uid="{00000000-0005-0000-0000-00004E0A0000}"/>
    <cellStyle name="20% - Accent2 20 3 2" xfId="14685" xr:uid="{00000000-0005-0000-0000-00004F0A0000}"/>
    <cellStyle name="20% - Accent2 20 3 2 2" xfId="28234" xr:uid="{00000000-0005-0000-0000-0000500A0000}"/>
    <cellStyle name="20% - Accent2 20 3 3" xfId="18035" xr:uid="{00000000-0005-0000-0000-0000510A0000}"/>
    <cellStyle name="20% - Accent2 20 4" xfId="10504" xr:uid="{00000000-0005-0000-0000-0000520A0000}"/>
    <cellStyle name="20% - Accent2 20 4 2" xfId="24452" xr:uid="{00000000-0005-0000-0000-0000530A0000}"/>
    <cellStyle name="20% - Accent2 20 5" xfId="18033" xr:uid="{00000000-0005-0000-0000-0000540A0000}"/>
    <cellStyle name="20% - Accent2 21" xfId="713" xr:uid="{00000000-0005-0000-0000-0000550A0000}"/>
    <cellStyle name="20% - Accent2 21 2" xfId="714" xr:uid="{00000000-0005-0000-0000-0000560A0000}"/>
    <cellStyle name="20% - Accent2 21 2 2" xfId="12539" xr:uid="{00000000-0005-0000-0000-0000570A0000}"/>
    <cellStyle name="20% - Accent2 21 2 2 2" xfId="26251" xr:uid="{00000000-0005-0000-0000-0000580A0000}"/>
    <cellStyle name="20% - Accent2 21 2 3" xfId="18037" xr:uid="{00000000-0005-0000-0000-0000590A0000}"/>
    <cellStyle name="20% - Accent2 21 3" xfId="715" xr:uid="{00000000-0005-0000-0000-00005A0A0000}"/>
    <cellStyle name="20% - Accent2 21 3 2" xfId="14686" xr:uid="{00000000-0005-0000-0000-00005B0A0000}"/>
    <cellStyle name="20% - Accent2 21 3 2 2" xfId="28235" xr:uid="{00000000-0005-0000-0000-00005C0A0000}"/>
    <cellStyle name="20% - Accent2 21 3 3" xfId="18038" xr:uid="{00000000-0005-0000-0000-00005D0A0000}"/>
    <cellStyle name="20% - Accent2 21 4" xfId="10615" xr:uid="{00000000-0005-0000-0000-00005E0A0000}"/>
    <cellStyle name="20% - Accent2 21 4 2" xfId="24557" xr:uid="{00000000-0005-0000-0000-00005F0A0000}"/>
    <cellStyle name="20% - Accent2 21 5" xfId="18036" xr:uid="{00000000-0005-0000-0000-0000600A0000}"/>
    <cellStyle name="20% - Accent2 22" xfId="716" xr:uid="{00000000-0005-0000-0000-0000610A0000}"/>
    <cellStyle name="20% - Accent2 22 2" xfId="11740" xr:uid="{00000000-0005-0000-0000-0000620A0000}"/>
    <cellStyle name="20% - Accent2 22 2 2" xfId="25455" xr:uid="{00000000-0005-0000-0000-0000630A0000}"/>
    <cellStyle name="20% - Accent2 22 3" xfId="18039" xr:uid="{00000000-0005-0000-0000-0000640A0000}"/>
    <cellStyle name="20% - Accent2 23" xfId="717" xr:uid="{00000000-0005-0000-0000-0000650A0000}"/>
    <cellStyle name="20% - Accent2 23 2" xfId="12778" xr:uid="{00000000-0005-0000-0000-0000660A0000}"/>
    <cellStyle name="20% - Accent2 23 2 2" xfId="26490" xr:uid="{00000000-0005-0000-0000-0000670A0000}"/>
    <cellStyle name="20% - Accent2 23 3" xfId="18040" xr:uid="{00000000-0005-0000-0000-0000680A0000}"/>
    <cellStyle name="20% - Accent2 24" xfId="718" xr:uid="{00000000-0005-0000-0000-0000690A0000}"/>
    <cellStyle name="20% - Accent2 24 2" xfId="13379" xr:uid="{00000000-0005-0000-0000-00006A0A0000}"/>
    <cellStyle name="20% - Accent2 24 2 2" xfId="26928" xr:uid="{00000000-0005-0000-0000-00006B0A0000}"/>
    <cellStyle name="20% - Accent2 24 3" xfId="18041" xr:uid="{00000000-0005-0000-0000-00006C0A0000}"/>
    <cellStyle name="20% - Accent2 25" xfId="719" xr:uid="{00000000-0005-0000-0000-00006D0A0000}"/>
    <cellStyle name="20% - Accent2 25 2" xfId="13960" xr:uid="{00000000-0005-0000-0000-00006E0A0000}"/>
    <cellStyle name="20% - Accent2 25 2 2" xfId="27509" xr:uid="{00000000-0005-0000-0000-00006F0A0000}"/>
    <cellStyle name="20% - Accent2 25 3" xfId="18042" xr:uid="{00000000-0005-0000-0000-0000700A0000}"/>
    <cellStyle name="20% - Accent2 26" xfId="720" xr:uid="{00000000-0005-0000-0000-0000710A0000}"/>
    <cellStyle name="20% - Accent2 26 2" xfId="14643" xr:uid="{00000000-0005-0000-0000-0000720A0000}"/>
    <cellStyle name="20% - Accent2 26 2 2" xfId="28192" xr:uid="{00000000-0005-0000-0000-0000730A0000}"/>
    <cellStyle name="20% - Accent2 26 3" xfId="18043" xr:uid="{00000000-0005-0000-0000-0000740A0000}"/>
    <cellStyle name="20% - Accent2 27" xfId="721" xr:uid="{00000000-0005-0000-0000-0000750A0000}"/>
    <cellStyle name="20% - Accent2 27 2" xfId="15839" xr:uid="{00000000-0005-0000-0000-0000760A0000}"/>
    <cellStyle name="20% - Accent2 27 2 2" xfId="29246" xr:uid="{00000000-0005-0000-0000-0000770A0000}"/>
    <cellStyle name="20% - Accent2 27 3" xfId="18044" xr:uid="{00000000-0005-0000-0000-0000780A0000}"/>
    <cellStyle name="20% - Accent2 28" xfId="722" xr:uid="{00000000-0005-0000-0000-0000790A0000}"/>
    <cellStyle name="20% - Accent2 28 2" xfId="15846" xr:uid="{00000000-0005-0000-0000-00007A0A0000}"/>
    <cellStyle name="20% - Accent2 28 2 2" xfId="29253" xr:uid="{00000000-0005-0000-0000-00007B0A0000}"/>
    <cellStyle name="20% - Accent2 28 3" xfId="18045" xr:uid="{00000000-0005-0000-0000-00007C0A0000}"/>
    <cellStyle name="20% - Accent2 29" xfId="723" xr:uid="{00000000-0005-0000-0000-00007D0A0000}"/>
    <cellStyle name="20% - Accent2 29 2" xfId="8890" xr:uid="{00000000-0005-0000-0000-00007E0A0000}"/>
    <cellStyle name="20% - Accent2 29 2 2" xfId="23365" xr:uid="{00000000-0005-0000-0000-00007F0A0000}"/>
    <cellStyle name="20% - Accent2 29 3" xfId="18046" xr:uid="{00000000-0005-0000-0000-0000800A0000}"/>
    <cellStyle name="20% - Accent2 3" xfId="724" xr:uid="{00000000-0005-0000-0000-0000810A0000}"/>
    <cellStyle name="20% - Accent2 3 10" xfId="725" xr:uid="{00000000-0005-0000-0000-0000820A0000}"/>
    <cellStyle name="20% - Accent2 3 10 2" xfId="14041" xr:uid="{00000000-0005-0000-0000-0000830A0000}"/>
    <cellStyle name="20% - Accent2 3 10 2 2" xfId="27590" xr:uid="{00000000-0005-0000-0000-0000840A0000}"/>
    <cellStyle name="20% - Accent2 3 10 3" xfId="18048" xr:uid="{00000000-0005-0000-0000-0000850A0000}"/>
    <cellStyle name="20% - Accent2 3 11" xfId="726" xr:uid="{00000000-0005-0000-0000-0000860A0000}"/>
    <cellStyle name="20% - Accent2 3 11 2" xfId="14687" xr:uid="{00000000-0005-0000-0000-0000870A0000}"/>
    <cellStyle name="20% - Accent2 3 11 2 2" xfId="28236" xr:uid="{00000000-0005-0000-0000-0000880A0000}"/>
    <cellStyle name="20% - Accent2 3 11 3" xfId="18049" xr:uid="{00000000-0005-0000-0000-0000890A0000}"/>
    <cellStyle name="20% - Accent2 3 12" xfId="727" xr:uid="{00000000-0005-0000-0000-00008A0A0000}"/>
    <cellStyle name="20% - Accent2 3 12 2" xfId="15927" xr:uid="{00000000-0005-0000-0000-00008B0A0000}"/>
    <cellStyle name="20% - Accent2 3 12 2 2" xfId="29334" xr:uid="{00000000-0005-0000-0000-00008C0A0000}"/>
    <cellStyle name="20% - Accent2 3 12 3" xfId="18050" xr:uid="{00000000-0005-0000-0000-00008D0A0000}"/>
    <cellStyle name="20% - Accent2 3 13" xfId="8920" xr:uid="{00000000-0005-0000-0000-00008E0A0000}"/>
    <cellStyle name="20% - Accent2 3 13 2" xfId="23395" xr:uid="{00000000-0005-0000-0000-00008F0A0000}"/>
    <cellStyle name="20% - Accent2 3 14" xfId="18047" xr:uid="{00000000-0005-0000-0000-0000900A0000}"/>
    <cellStyle name="20% - Accent2 3 2" xfId="728" xr:uid="{00000000-0005-0000-0000-0000910A0000}"/>
    <cellStyle name="20% - Accent2 3 2 10" xfId="729" xr:uid="{00000000-0005-0000-0000-0000920A0000}"/>
    <cellStyle name="20% - Accent2 3 2 10 2" xfId="16070" xr:uid="{00000000-0005-0000-0000-0000930A0000}"/>
    <cellStyle name="20% - Accent2 3 2 10 2 2" xfId="29477" xr:uid="{00000000-0005-0000-0000-0000940A0000}"/>
    <cellStyle name="20% - Accent2 3 2 10 3" xfId="18052" xr:uid="{00000000-0005-0000-0000-0000950A0000}"/>
    <cellStyle name="20% - Accent2 3 2 11" xfId="8921" xr:uid="{00000000-0005-0000-0000-0000960A0000}"/>
    <cellStyle name="20% - Accent2 3 2 11 2" xfId="23396" xr:uid="{00000000-0005-0000-0000-0000970A0000}"/>
    <cellStyle name="20% - Accent2 3 2 12" xfId="18051" xr:uid="{00000000-0005-0000-0000-0000980A0000}"/>
    <cellStyle name="20% - Accent2 3 2 2" xfId="730" xr:uid="{00000000-0005-0000-0000-0000990A0000}"/>
    <cellStyle name="20% - Accent2 3 2 2 10" xfId="8922" xr:uid="{00000000-0005-0000-0000-00009A0A0000}"/>
    <cellStyle name="20% - Accent2 3 2 2 10 2" xfId="23397" xr:uid="{00000000-0005-0000-0000-00009B0A0000}"/>
    <cellStyle name="20% - Accent2 3 2 2 11" xfId="18053" xr:uid="{00000000-0005-0000-0000-00009C0A0000}"/>
    <cellStyle name="20% - Accent2 3 2 2 2" xfId="731" xr:uid="{00000000-0005-0000-0000-00009D0A0000}"/>
    <cellStyle name="20% - Accent2 3 2 2 2 2" xfId="732" xr:uid="{00000000-0005-0000-0000-00009E0A0000}"/>
    <cellStyle name="20% - Accent2 3 2 2 2 2 2" xfId="10648" xr:uid="{00000000-0005-0000-0000-00009F0A0000}"/>
    <cellStyle name="20% - Accent2 3 2 2 2 2 2 2" xfId="24590" xr:uid="{00000000-0005-0000-0000-0000A00A0000}"/>
    <cellStyle name="20% - Accent2 3 2 2 2 2 3" xfId="18055" xr:uid="{00000000-0005-0000-0000-0000A10A0000}"/>
    <cellStyle name="20% - Accent2 3 2 2 2 3" xfId="733" xr:uid="{00000000-0005-0000-0000-0000A20A0000}"/>
    <cellStyle name="20% - Accent2 3 2 2 2 3 2" xfId="12730" xr:uid="{00000000-0005-0000-0000-0000A30A0000}"/>
    <cellStyle name="20% - Accent2 3 2 2 2 3 2 2" xfId="26442" xr:uid="{00000000-0005-0000-0000-0000A40A0000}"/>
    <cellStyle name="20% - Accent2 3 2 2 2 3 3" xfId="18056" xr:uid="{00000000-0005-0000-0000-0000A50A0000}"/>
    <cellStyle name="20% - Accent2 3 2 2 2 4" xfId="734" xr:uid="{00000000-0005-0000-0000-0000A60A0000}"/>
    <cellStyle name="20% - Accent2 3 2 2 2 4 2" xfId="14690" xr:uid="{00000000-0005-0000-0000-0000A70A0000}"/>
    <cellStyle name="20% - Accent2 3 2 2 2 4 2 2" xfId="28239" xr:uid="{00000000-0005-0000-0000-0000A80A0000}"/>
    <cellStyle name="20% - Accent2 3 2 2 2 4 3" xfId="18057" xr:uid="{00000000-0005-0000-0000-0000A90A0000}"/>
    <cellStyle name="20% - Accent2 3 2 2 2 5" xfId="735" xr:uid="{00000000-0005-0000-0000-0000AA0A0000}"/>
    <cellStyle name="20% - Accent2 3 2 2 2 5 2" xfId="16940" xr:uid="{00000000-0005-0000-0000-0000AB0A0000}"/>
    <cellStyle name="20% - Accent2 3 2 2 2 5 2 2" xfId="30347" xr:uid="{00000000-0005-0000-0000-0000AC0A0000}"/>
    <cellStyle name="20% - Accent2 3 2 2 2 5 3" xfId="18058" xr:uid="{00000000-0005-0000-0000-0000AD0A0000}"/>
    <cellStyle name="20% - Accent2 3 2 2 2 6" xfId="8923" xr:uid="{00000000-0005-0000-0000-0000AE0A0000}"/>
    <cellStyle name="20% - Accent2 3 2 2 2 6 2" xfId="23398" xr:uid="{00000000-0005-0000-0000-0000AF0A0000}"/>
    <cellStyle name="20% - Accent2 3 2 2 2 7" xfId="18054" xr:uid="{00000000-0005-0000-0000-0000B00A0000}"/>
    <cellStyle name="20% - Accent2 3 2 2 3" xfId="736" xr:uid="{00000000-0005-0000-0000-0000B10A0000}"/>
    <cellStyle name="20% - Accent2 3 2 2 3 2" xfId="737" xr:uid="{00000000-0005-0000-0000-0000B20A0000}"/>
    <cellStyle name="20% - Accent2 3 2 2 3 2 2" xfId="14691" xr:uid="{00000000-0005-0000-0000-0000B30A0000}"/>
    <cellStyle name="20% - Accent2 3 2 2 3 2 2 2" xfId="28240" xr:uid="{00000000-0005-0000-0000-0000B40A0000}"/>
    <cellStyle name="20% - Accent2 3 2 2 3 2 3" xfId="18060" xr:uid="{00000000-0005-0000-0000-0000B50A0000}"/>
    <cellStyle name="20% - Accent2 3 2 2 3 3" xfId="10647" xr:uid="{00000000-0005-0000-0000-0000B60A0000}"/>
    <cellStyle name="20% - Accent2 3 2 2 3 3 2" xfId="24589" xr:uid="{00000000-0005-0000-0000-0000B70A0000}"/>
    <cellStyle name="20% - Accent2 3 2 2 3 4" xfId="18059" xr:uid="{00000000-0005-0000-0000-0000B80A0000}"/>
    <cellStyle name="20% - Accent2 3 2 2 4" xfId="738" xr:uid="{00000000-0005-0000-0000-0000B90A0000}"/>
    <cellStyle name="20% - Accent2 3 2 2 4 2" xfId="12328" xr:uid="{00000000-0005-0000-0000-0000BA0A0000}"/>
    <cellStyle name="20% - Accent2 3 2 2 4 2 2" xfId="26040" xr:uid="{00000000-0005-0000-0000-0000BB0A0000}"/>
    <cellStyle name="20% - Accent2 3 2 2 4 3" xfId="18061" xr:uid="{00000000-0005-0000-0000-0000BC0A0000}"/>
    <cellStyle name="20% - Accent2 3 2 2 5" xfId="739" xr:uid="{00000000-0005-0000-0000-0000BD0A0000}"/>
    <cellStyle name="20% - Accent2 3 2 2 5 2" xfId="12756" xr:uid="{00000000-0005-0000-0000-0000BE0A0000}"/>
    <cellStyle name="20% - Accent2 3 2 2 5 2 2" xfId="26468" xr:uid="{00000000-0005-0000-0000-0000BF0A0000}"/>
    <cellStyle name="20% - Accent2 3 2 2 5 3" xfId="18062" xr:uid="{00000000-0005-0000-0000-0000C00A0000}"/>
    <cellStyle name="20% - Accent2 3 2 2 6" xfId="740" xr:uid="{00000000-0005-0000-0000-0000C10A0000}"/>
    <cellStyle name="20% - Accent2 3 2 2 6 2" xfId="13892" xr:uid="{00000000-0005-0000-0000-0000C20A0000}"/>
    <cellStyle name="20% - Accent2 3 2 2 6 2 2" xfId="27441" xr:uid="{00000000-0005-0000-0000-0000C30A0000}"/>
    <cellStyle name="20% - Accent2 3 2 2 6 3" xfId="18063" xr:uid="{00000000-0005-0000-0000-0000C40A0000}"/>
    <cellStyle name="20% - Accent2 3 2 2 7" xfId="741" xr:uid="{00000000-0005-0000-0000-0000C50A0000}"/>
    <cellStyle name="20% - Accent2 3 2 2 7 2" xfId="14473" xr:uid="{00000000-0005-0000-0000-0000C60A0000}"/>
    <cellStyle name="20% - Accent2 3 2 2 7 2 2" xfId="28022" xr:uid="{00000000-0005-0000-0000-0000C70A0000}"/>
    <cellStyle name="20% - Accent2 3 2 2 7 3" xfId="18064" xr:uid="{00000000-0005-0000-0000-0000C80A0000}"/>
    <cellStyle name="20% - Accent2 3 2 2 8" xfId="742" xr:uid="{00000000-0005-0000-0000-0000C90A0000}"/>
    <cellStyle name="20% - Accent2 3 2 2 8 2" xfId="14689" xr:uid="{00000000-0005-0000-0000-0000CA0A0000}"/>
    <cellStyle name="20% - Accent2 3 2 2 8 2 2" xfId="28238" xr:uid="{00000000-0005-0000-0000-0000CB0A0000}"/>
    <cellStyle name="20% - Accent2 3 2 2 8 3" xfId="18065" xr:uid="{00000000-0005-0000-0000-0000CC0A0000}"/>
    <cellStyle name="20% - Accent2 3 2 2 9" xfId="743" xr:uid="{00000000-0005-0000-0000-0000CD0A0000}"/>
    <cellStyle name="20% - Accent2 3 2 2 9 2" xfId="16359" xr:uid="{00000000-0005-0000-0000-0000CE0A0000}"/>
    <cellStyle name="20% - Accent2 3 2 2 9 2 2" xfId="29766" xr:uid="{00000000-0005-0000-0000-0000CF0A0000}"/>
    <cellStyle name="20% - Accent2 3 2 2 9 3" xfId="18066" xr:uid="{00000000-0005-0000-0000-0000D00A0000}"/>
    <cellStyle name="20% - Accent2 3 2 3" xfId="744" xr:uid="{00000000-0005-0000-0000-0000D10A0000}"/>
    <cellStyle name="20% - Accent2 3 2 3 2" xfId="745" xr:uid="{00000000-0005-0000-0000-0000D20A0000}"/>
    <cellStyle name="20% - Accent2 3 2 3 2 2" xfId="10649" xr:uid="{00000000-0005-0000-0000-0000D30A0000}"/>
    <cellStyle name="20% - Accent2 3 2 3 2 2 2" xfId="24591" xr:uid="{00000000-0005-0000-0000-0000D40A0000}"/>
    <cellStyle name="20% - Accent2 3 2 3 2 3" xfId="18068" xr:uid="{00000000-0005-0000-0000-0000D50A0000}"/>
    <cellStyle name="20% - Accent2 3 2 3 3" xfId="746" xr:uid="{00000000-0005-0000-0000-0000D60A0000}"/>
    <cellStyle name="20% - Accent2 3 2 3 3 2" xfId="12652" xr:uid="{00000000-0005-0000-0000-0000D70A0000}"/>
    <cellStyle name="20% - Accent2 3 2 3 3 2 2" xfId="26364" xr:uid="{00000000-0005-0000-0000-0000D80A0000}"/>
    <cellStyle name="20% - Accent2 3 2 3 3 3" xfId="18069" xr:uid="{00000000-0005-0000-0000-0000D90A0000}"/>
    <cellStyle name="20% - Accent2 3 2 3 4" xfId="747" xr:uid="{00000000-0005-0000-0000-0000DA0A0000}"/>
    <cellStyle name="20% - Accent2 3 2 3 4 2" xfId="14692" xr:uid="{00000000-0005-0000-0000-0000DB0A0000}"/>
    <cellStyle name="20% - Accent2 3 2 3 4 2 2" xfId="28241" xr:uid="{00000000-0005-0000-0000-0000DC0A0000}"/>
    <cellStyle name="20% - Accent2 3 2 3 4 3" xfId="18070" xr:uid="{00000000-0005-0000-0000-0000DD0A0000}"/>
    <cellStyle name="20% - Accent2 3 2 3 5" xfId="748" xr:uid="{00000000-0005-0000-0000-0000DE0A0000}"/>
    <cellStyle name="20% - Accent2 3 2 3 5 2" xfId="16651" xr:uid="{00000000-0005-0000-0000-0000DF0A0000}"/>
    <cellStyle name="20% - Accent2 3 2 3 5 2 2" xfId="30058" xr:uid="{00000000-0005-0000-0000-0000E00A0000}"/>
    <cellStyle name="20% - Accent2 3 2 3 5 3" xfId="18071" xr:uid="{00000000-0005-0000-0000-0000E10A0000}"/>
    <cellStyle name="20% - Accent2 3 2 3 6" xfId="8924" xr:uid="{00000000-0005-0000-0000-0000E20A0000}"/>
    <cellStyle name="20% - Accent2 3 2 3 6 2" xfId="23399" xr:uid="{00000000-0005-0000-0000-0000E30A0000}"/>
    <cellStyle name="20% - Accent2 3 2 3 7" xfId="18067" xr:uid="{00000000-0005-0000-0000-0000E40A0000}"/>
    <cellStyle name="20% - Accent2 3 2 4" xfId="749" xr:uid="{00000000-0005-0000-0000-0000E50A0000}"/>
    <cellStyle name="20% - Accent2 3 2 4 2" xfId="750" xr:uid="{00000000-0005-0000-0000-0000E60A0000}"/>
    <cellStyle name="20% - Accent2 3 2 4 2 2" xfId="14693" xr:uid="{00000000-0005-0000-0000-0000E70A0000}"/>
    <cellStyle name="20% - Accent2 3 2 4 2 2 2" xfId="28242" xr:uid="{00000000-0005-0000-0000-0000E80A0000}"/>
    <cellStyle name="20% - Accent2 3 2 4 2 3" xfId="18073" xr:uid="{00000000-0005-0000-0000-0000E90A0000}"/>
    <cellStyle name="20% - Accent2 3 2 4 3" xfId="10646" xr:uid="{00000000-0005-0000-0000-0000EA0A0000}"/>
    <cellStyle name="20% - Accent2 3 2 4 3 2" xfId="24588" xr:uid="{00000000-0005-0000-0000-0000EB0A0000}"/>
    <cellStyle name="20% - Accent2 3 2 4 4" xfId="18072" xr:uid="{00000000-0005-0000-0000-0000EC0A0000}"/>
    <cellStyle name="20% - Accent2 3 2 5" xfId="751" xr:uid="{00000000-0005-0000-0000-0000ED0A0000}"/>
    <cellStyle name="20% - Accent2 3 2 5 2" xfId="12028" xr:uid="{00000000-0005-0000-0000-0000EE0A0000}"/>
    <cellStyle name="20% - Accent2 3 2 5 2 2" xfId="25743" xr:uid="{00000000-0005-0000-0000-0000EF0A0000}"/>
    <cellStyle name="20% - Accent2 3 2 5 3" xfId="18074" xr:uid="{00000000-0005-0000-0000-0000F00A0000}"/>
    <cellStyle name="20% - Accent2 3 2 6" xfId="752" xr:uid="{00000000-0005-0000-0000-0000F10A0000}"/>
    <cellStyle name="20% - Accent2 3 2 6 2" xfId="12642" xr:uid="{00000000-0005-0000-0000-0000F20A0000}"/>
    <cellStyle name="20% - Accent2 3 2 6 2 2" xfId="26354" xr:uid="{00000000-0005-0000-0000-0000F30A0000}"/>
    <cellStyle name="20% - Accent2 3 2 6 3" xfId="18075" xr:uid="{00000000-0005-0000-0000-0000F40A0000}"/>
    <cellStyle name="20% - Accent2 3 2 7" xfId="753" xr:uid="{00000000-0005-0000-0000-0000F50A0000}"/>
    <cellStyle name="20% - Accent2 3 2 7 2" xfId="13603" xr:uid="{00000000-0005-0000-0000-0000F60A0000}"/>
    <cellStyle name="20% - Accent2 3 2 7 2 2" xfId="27152" xr:uid="{00000000-0005-0000-0000-0000F70A0000}"/>
    <cellStyle name="20% - Accent2 3 2 7 3" xfId="18076" xr:uid="{00000000-0005-0000-0000-0000F80A0000}"/>
    <cellStyle name="20% - Accent2 3 2 8" xfId="754" xr:uid="{00000000-0005-0000-0000-0000F90A0000}"/>
    <cellStyle name="20% - Accent2 3 2 8 2" xfId="14184" xr:uid="{00000000-0005-0000-0000-0000FA0A0000}"/>
    <cellStyle name="20% - Accent2 3 2 8 2 2" xfId="27733" xr:uid="{00000000-0005-0000-0000-0000FB0A0000}"/>
    <cellStyle name="20% - Accent2 3 2 8 3" xfId="18077" xr:uid="{00000000-0005-0000-0000-0000FC0A0000}"/>
    <cellStyle name="20% - Accent2 3 2 9" xfId="755" xr:uid="{00000000-0005-0000-0000-0000FD0A0000}"/>
    <cellStyle name="20% - Accent2 3 2 9 2" xfId="14688" xr:uid="{00000000-0005-0000-0000-0000FE0A0000}"/>
    <cellStyle name="20% - Accent2 3 2 9 2 2" xfId="28237" xr:uid="{00000000-0005-0000-0000-0000FF0A0000}"/>
    <cellStyle name="20% - Accent2 3 2 9 3" xfId="18078" xr:uid="{00000000-0005-0000-0000-0000000B0000}"/>
    <cellStyle name="20% - Accent2 3 3" xfId="756" xr:uid="{00000000-0005-0000-0000-0000010B0000}"/>
    <cellStyle name="20% - Accent2 3 3 10" xfId="8925" xr:uid="{00000000-0005-0000-0000-0000020B0000}"/>
    <cellStyle name="20% - Accent2 3 3 10 2" xfId="23400" xr:uid="{00000000-0005-0000-0000-0000030B0000}"/>
    <cellStyle name="20% - Accent2 3 3 11" xfId="18079" xr:uid="{00000000-0005-0000-0000-0000040B0000}"/>
    <cellStyle name="20% - Accent2 3 3 2" xfId="757" xr:uid="{00000000-0005-0000-0000-0000050B0000}"/>
    <cellStyle name="20% - Accent2 3 3 2 2" xfId="758" xr:uid="{00000000-0005-0000-0000-0000060B0000}"/>
    <cellStyle name="20% - Accent2 3 3 2 2 2" xfId="10651" xr:uid="{00000000-0005-0000-0000-0000070B0000}"/>
    <cellStyle name="20% - Accent2 3 3 2 2 2 2" xfId="24593" xr:uid="{00000000-0005-0000-0000-0000080B0000}"/>
    <cellStyle name="20% - Accent2 3 3 2 2 3" xfId="18081" xr:uid="{00000000-0005-0000-0000-0000090B0000}"/>
    <cellStyle name="20% - Accent2 3 3 2 3" xfId="759" xr:uid="{00000000-0005-0000-0000-00000A0B0000}"/>
    <cellStyle name="20% - Accent2 3 3 2 3 2" xfId="12791" xr:uid="{00000000-0005-0000-0000-00000B0B0000}"/>
    <cellStyle name="20% - Accent2 3 3 2 3 2 2" xfId="26503" xr:uid="{00000000-0005-0000-0000-00000C0B0000}"/>
    <cellStyle name="20% - Accent2 3 3 2 3 3" xfId="18082" xr:uid="{00000000-0005-0000-0000-00000D0B0000}"/>
    <cellStyle name="20% - Accent2 3 3 2 4" xfId="760" xr:uid="{00000000-0005-0000-0000-00000E0B0000}"/>
    <cellStyle name="20% - Accent2 3 3 2 4 2" xfId="14695" xr:uid="{00000000-0005-0000-0000-00000F0B0000}"/>
    <cellStyle name="20% - Accent2 3 3 2 4 2 2" xfId="28244" xr:uid="{00000000-0005-0000-0000-0000100B0000}"/>
    <cellStyle name="20% - Accent2 3 3 2 4 3" xfId="18083" xr:uid="{00000000-0005-0000-0000-0000110B0000}"/>
    <cellStyle name="20% - Accent2 3 3 2 5" xfId="761" xr:uid="{00000000-0005-0000-0000-0000120B0000}"/>
    <cellStyle name="20% - Accent2 3 3 2 5 2" xfId="16797" xr:uid="{00000000-0005-0000-0000-0000130B0000}"/>
    <cellStyle name="20% - Accent2 3 3 2 5 2 2" xfId="30204" xr:uid="{00000000-0005-0000-0000-0000140B0000}"/>
    <cellStyle name="20% - Accent2 3 3 2 5 3" xfId="18084" xr:uid="{00000000-0005-0000-0000-0000150B0000}"/>
    <cellStyle name="20% - Accent2 3 3 2 6" xfId="8926" xr:uid="{00000000-0005-0000-0000-0000160B0000}"/>
    <cellStyle name="20% - Accent2 3 3 2 6 2" xfId="23401" xr:uid="{00000000-0005-0000-0000-0000170B0000}"/>
    <cellStyle name="20% - Accent2 3 3 2 7" xfId="18080" xr:uid="{00000000-0005-0000-0000-0000180B0000}"/>
    <cellStyle name="20% - Accent2 3 3 3" xfId="762" xr:uid="{00000000-0005-0000-0000-0000190B0000}"/>
    <cellStyle name="20% - Accent2 3 3 3 2" xfId="763" xr:uid="{00000000-0005-0000-0000-00001A0B0000}"/>
    <cellStyle name="20% - Accent2 3 3 3 2 2" xfId="14696" xr:uid="{00000000-0005-0000-0000-00001B0B0000}"/>
    <cellStyle name="20% - Accent2 3 3 3 2 2 2" xfId="28245" xr:uid="{00000000-0005-0000-0000-00001C0B0000}"/>
    <cellStyle name="20% - Accent2 3 3 3 2 3" xfId="18086" xr:uid="{00000000-0005-0000-0000-00001D0B0000}"/>
    <cellStyle name="20% - Accent2 3 3 3 3" xfId="10650" xr:uid="{00000000-0005-0000-0000-00001E0B0000}"/>
    <cellStyle name="20% - Accent2 3 3 3 3 2" xfId="24592" xr:uid="{00000000-0005-0000-0000-00001F0B0000}"/>
    <cellStyle name="20% - Accent2 3 3 3 4" xfId="18085" xr:uid="{00000000-0005-0000-0000-0000200B0000}"/>
    <cellStyle name="20% - Accent2 3 3 4" xfId="764" xr:uid="{00000000-0005-0000-0000-0000210B0000}"/>
    <cellStyle name="20% - Accent2 3 3 4 2" xfId="12185" xr:uid="{00000000-0005-0000-0000-0000220B0000}"/>
    <cellStyle name="20% - Accent2 3 3 4 2 2" xfId="25897" xr:uid="{00000000-0005-0000-0000-0000230B0000}"/>
    <cellStyle name="20% - Accent2 3 3 4 3" xfId="18087" xr:uid="{00000000-0005-0000-0000-0000240B0000}"/>
    <cellStyle name="20% - Accent2 3 3 5" xfId="765" xr:uid="{00000000-0005-0000-0000-0000250B0000}"/>
    <cellStyle name="20% - Accent2 3 3 5 2" xfId="12734" xr:uid="{00000000-0005-0000-0000-0000260B0000}"/>
    <cellStyle name="20% - Accent2 3 3 5 2 2" xfId="26446" xr:uid="{00000000-0005-0000-0000-0000270B0000}"/>
    <cellStyle name="20% - Accent2 3 3 5 3" xfId="18088" xr:uid="{00000000-0005-0000-0000-0000280B0000}"/>
    <cellStyle name="20% - Accent2 3 3 6" xfId="766" xr:uid="{00000000-0005-0000-0000-0000290B0000}"/>
    <cellStyle name="20% - Accent2 3 3 6 2" xfId="13749" xr:uid="{00000000-0005-0000-0000-00002A0B0000}"/>
    <cellStyle name="20% - Accent2 3 3 6 2 2" xfId="27298" xr:uid="{00000000-0005-0000-0000-00002B0B0000}"/>
    <cellStyle name="20% - Accent2 3 3 6 3" xfId="18089" xr:uid="{00000000-0005-0000-0000-00002C0B0000}"/>
    <cellStyle name="20% - Accent2 3 3 7" xfId="767" xr:uid="{00000000-0005-0000-0000-00002D0B0000}"/>
    <cellStyle name="20% - Accent2 3 3 7 2" xfId="14330" xr:uid="{00000000-0005-0000-0000-00002E0B0000}"/>
    <cellStyle name="20% - Accent2 3 3 7 2 2" xfId="27879" xr:uid="{00000000-0005-0000-0000-00002F0B0000}"/>
    <cellStyle name="20% - Accent2 3 3 7 3" xfId="18090" xr:uid="{00000000-0005-0000-0000-0000300B0000}"/>
    <cellStyle name="20% - Accent2 3 3 8" xfId="768" xr:uid="{00000000-0005-0000-0000-0000310B0000}"/>
    <cellStyle name="20% - Accent2 3 3 8 2" xfId="14694" xr:uid="{00000000-0005-0000-0000-0000320B0000}"/>
    <cellStyle name="20% - Accent2 3 3 8 2 2" xfId="28243" xr:uid="{00000000-0005-0000-0000-0000330B0000}"/>
    <cellStyle name="20% - Accent2 3 3 8 3" xfId="18091" xr:uid="{00000000-0005-0000-0000-0000340B0000}"/>
    <cellStyle name="20% - Accent2 3 3 9" xfId="769" xr:uid="{00000000-0005-0000-0000-0000350B0000}"/>
    <cellStyle name="20% - Accent2 3 3 9 2" xfId="16216" xr:uid="{00000000-0005-0000-0000-0000360B0000}"/>
    <cellStyle name="20% - Accent2 3 3 9 2 2" xfId="29623" xr:uid="{00000000-0005-0000-0000-0000370B0000}"/>
    <cellStyle name="20% - Accent2 3 3 9 3" xfId="18092" xr:uid="{00000000-0005-0000-0000-0000380B0000}"/>
    <cellStyle name="20% - Accent2 3 4" xfId="770" xr:uid="{00000000-0005-0000-0000-0000390B0000}"/>
    <cellStyle name="20% - Accent2 3 4 2" xfId="771" xr:uid="{00000000-0005-0000-0000-00003A0B0000}"/>
    <cellStyle name="20% - Accent2 3 4 2 2" xfId="10652" xr:uid="{00000000-0005-0000-0000-00003B0B0000}"/>
    <cellStyle name="20% - Accent2 3 4 2 2 2" xfId="24594" xr:uid="{00000000-0005-0000-0000-00003C0B0000}"/>
    <cellStyle name="20% - Accent2 3 4 2 3" xfId="18094" xr:uid="{00000000-0005-0000-0000-00003D0B0000}"/>
    <cellStyle name="20% - Accent2 3 4 3" xfId="772" xr:uid="{00000000-0005-0000-0000-00003E0B0000}"/>
    <cellStyle name="20% - Accent2 3 4 3 2" xfId="12758" xr:uid="{00000000-0005-0000-0000-00003F0B0000}"/>
    <cellStyle name="20% - Accent2 3 4 3 2 2" xfId="26470" xr:uid="{00000000-0005-0000-0000-0000400B0000}"/>
    <cellStyle name="20% - Accent2 3 4 3 3" xfId="18095" xr:uid="{00000000-0005-0000-0000-0000410B0000}"/>
    <cellStyle name="20% - Accent2 3 4 4" xfId="773" xr:uid="{00000000-0005-0000-0000-0000420B0000}"/>
    <cellStyle name="20% - Accent2 3 4 4 2" xfId="14697" xr:uid="{00000000-0005-0000-0000-0000430B0000}"/>
    <cellStyle name="20% - Accent2 3 4 4 2 2" xfId="28246" xr:uid="{00000000-0005-0000-0000-0000440B0000}"/>
    <cellStyle name="20% - Accent2 3 4 4 3" xfId="18096" xr:uid="{00000000-0005-0000-0000-0000450B0000}"/>
    <cellStyle name="20% - Accent2 3 4 5" xfId="774" xr:uid="{00000000-0005-0000-0000-0000460B0000}"/>
    <cellStyle name="20% - Accent2 3 4 5 2" xfId="17144" xr:uid="{00000000-0005-0000-0000-0000470B0000}"/>
    <cellStyle name="20% - Accent2 3 4 5 2 2" xfId="30503" xr:uid="{00000000-0005-0000-0000-0000480B0000}"/>
    <cellStyle name="20% - Accent2 3 4 5 3" xfId="18097" xr:uid="{00000000-0005-0000-0000-0000490B0000}"/>
    <cellStyle name="20% - Accent2 3 4 6" xfId="8927" xr:uid="{00000000-0005-0000-0000-00004A0B0000}"/>
    <cellStyle name="20% - Accent2 3 4 6 2" xfId="23402" xr:uid="{00000000-0005-0000-0000-00004B0B0000}"/>
    <cellStyle name="20% - Accent2 3 4 7" xfId="18093" xr:uid="{00000000-0005-0000-0000-00004C0B0000}"/>
    <cellStyle name="20% - Accent2 3 5" xfId="775" xr:uid="{00000000-0005-0000-0000-00004D0B0000}"/>
    <cellStyle name="20% - Accent2 3 5 2" xfId="776" xr:uid="{00000000-0005-0000-0000-00004E0B0000}"/>
    <cellStyle name="20% - Accent2 3 5 2 2" xfId="10653" xr:uid="{00000000-0005-0000-0000-00004F0B0000}"/>
    <cellStyle name="20% - Accent2 3 5 2 2 2" xfId="24595" xr:uid="{00000000-0005-0000-0000-0000500B0000}"/>
    <cellStyle name="20% - Accent2 3 5 2 3" xfId="18099" xr:uid="{00000000-0005-0000-0000-0000510B0000}"/>
    <cellStyle name="20% - Accent2 3 5 3" xfId="777" xr:uid="{00000000-0005-0000-0000-0000520B0000}"/>
    <cellStyle name="20% - Accent2 3 5 3 2" xfId="12424" xr:uid="{00000000-0005-0000-0000-0000530B0000}"/>
    <cellStyle name="20% - Accent2 3 5 3 2 2" xfId="26136" xr:uid="{00000000-0005-0000-0000-0000540B0000}"/>
    <cellStyle name="20% - Accent2 3 5 3 3" xfId="18100" xr:uid="{00000000-0005-0000-0000-0000550B0000}"/>
    <cellStyle name="20% - Accent2 3 5 4" xfId="778" xr:uid="{00000000-0005-0000-0000-0000560B0000}"/>
    <cellStyle name="20% - Accent2 3 5 4 2" xfId="14698" xr:uid="{00000000-0005-0000-0000-0000570B0000}"/>
    <cellStyle name="20% - Accent2 3 5 4 2 2" xfId="28247" xr:uid="{00000000-0005-0000-0000-0000580B0000}"/>
    <cellStyle name="20% - Accent2 3 5 4 3" xfId="18101" xr:uid="{00000000-0005-0000-0000-0000590B0000}"/>
    <cellStyle name="20% - Accent2 3 5 5" xfId="779" xr:uid="{00000000-0005-0000-0000-00005A0B0000}"/>
    <cellStyle name="20% - Accent2 3 5 5 2" xfId="17233" xr:uid="{00000000-0005-0000-0000-00005B0B0000}"/>
    <cellStyle name="20% - Accent2 3 5 5 2 2" xfId="30592" xr:uid="{00000000-0005-0000-0000-00005C0B0000}"/>
    <cellStyle name="20% - Accent2 3 5 5 3" xfId="18102" xr:uid="{00000000-0005-0000-0000-00005D0B0000}"/>
    <cellStyle name="20% - Accent2 3 5 6" xfId="8928" xr:uid="{00000000-0005-0000-0000-00005E0B0000}"/>
    <cellStyle name="20% - Accent2 3 5 6 2" xfId="23403" xr:uid="{00000000-0005-0000-0000-00005F0B0000}"/>
    <cellStyle name="20% - Accent2 3 5 7" xfId="18098" xr:uid="{00000000-0005-0000-0000-0000600B0000}"/>
    <cellStyle name="20% - Accent2 3 6" xfId="780" xr:uid="{00000000-0005-0000-0000-0000610B0000}"/>
    <cellStyle name="20% - Accent2 3 6 2" xfId="781" xr:uid="{00000000-0005-0000-0000-0000620B0000}"/>
    <cellStyle name="20% - Accent2 3 6 2 2" xfId="14699" xr:uid="{00000000-0005-0000-0000-0000630B0000}"/>
    <cellStyle name="20% - Accent2 3 6 2 2 2" xfId="28248" xr:uid="{00000000-0005-0000-0000-0000640B0000}"/>
    <cellStyle name="20% - Accent2 3 6 2 3" xfId="18104" xr:uid="{00000000-0005-0000-0000-0000650B0000}"/>
    <cellStyle name="20% - Accent2 3 6 3" xfId="782" xr:uid="{00000000-0005-0000-0000-0000660B0000}"/>
    <cellStyle name="20% - Accent2 3 6 3 2" xfId="16508" xr:uid="{00000000-0005-0000-0000-0000670B0000}"/>
    <cellStyle name="20% - Accent2 3 6 3 2 2" xfId="29915" xr:uid="{00000000-0005-0000-0000-0000680B0000}"/>
    <cellStyle name="20% - Accent2 3 6 3 3" xfId="18105" xr:uid="{00000000-0005-0000-0000-0000690B0000}"/>
    <cellStyle name="20% - Accent2 3 6 4" xfId="10645" xr:uid="{00000000-0005-0000-0000-00006A0B0000}"/>
    <cellStyle name="20% - Accent2 3 6 4 2" xfId="24587" xr:uid="{00000000-0005-0000-0000-00006B0B0000}"/>
    <cellStyle name="20% - Accent2 3 6 5" xfId="18103" xr:uid="{00000000-0005-0000-0000-00006C0B0000}"/>
    <cellStyle name="20% - Accent2 3 7" xfId="783" xr:uid="{00000000-0005-0000-0000-00006D0B0000}"/>
    <cellStyle name="20% - Accent2 3 7 2" xfId="11880" xr:uid="{00000000-0005-0000-0000-00006E0B0000}"/>
    <cellStyle name="20% - Accent2 3 7 2 2" xfId="25595" xr:uid="{00000000-0005-0000-0000-00006F0B0000}"/>
    <cellStyle name="20% - Accent2 3 7 3" xfId="18106" xr:uid="{00000000-0005-0000-0000-0000700B0000}"/>
    <cellStyle name="20% - Accent2 3 8" xfId="784" xr:uid="{00000000-0005-0000-0000-0000710B0000}"/>
    <cellStyle name="20% - Accent2 3 8 2" xfId="12755" xr:uid="{00000000-0005-0000-0000-0000720B0000}"/>
    <cellStyle name="20% - Accent2 3 8 2 2" xfId="26467" xr:uid="{00000000-0005-0000-0000-0000730B0000}"/>
    <cellStyle name="20% - Accent2 3 8 3" xfId="18107" xr:uid="{00000000-0005-0000-0000-0000740B0000}"/>
    <cellStyle name="20% - Accent2 3 9" xfId="785" xr:uid="{00000000-0005-0000-0000-0000750B0000}"/>
    <cellStyle name="20% - Accent2 3 9 2" xfId="13460" xr:uid="{00000000-0005-0000-0000-0000760B0000}"/>
    <cellStyle name="20% - Accent2 3 9 2 2" xfId="27009" xr:uid="{00000000-0005-0000-0000-0000770B0000}"/>
    <cellStyle name="20% - Accent2 3 9 3" xfId="18108" xr:uid="{00000000-0005-0000-0000-0000780B0000}"/>
    <cellStyle name="20% - Accent2 30" xfId="23250" xr:uid="{00000000-0005-0000-0000-0000790B0000}"/>
    <cellStyle name="20% - Accent2 4" xfId="786" xr:uid="{00000000-0005-0000-0000-00007A0B0000}"/>
    <cellStyle name="20% - Accent2 4 10" xfId="787" xr:uid="{00000000-0005-0000-0000-00007B0B0000}"/>
    <cellStyle name="20% - Accent2 4 10 2" xfId="14700" xr:uid="{00000000-0005-0000-0000-00007C0B0000}"/>
    <cellStyle name="20% - Accent2 4 10 2 2" xfId="28249" xr:uid="{00000000-0005-0000-0000-00007D0B0000}"/>
    <cellStyle name="20% - Accent2 4 10 3" xfId="18110" xr:uid="{00000000-0005-0000-0000-00007E0B0000}"/>
    <cellStyle name="20% - Accent2 4 11" xfId="788" xr:uid="{00000000-0005-0000-0000-00007F0B0000}"/>
    <cellStyle name="20% - Accent2 4 11 2" xfId="15880" xr:uid="{00000000-0005-0000-0000-0000800B0000}"/>
    <cellStyle name="20% - Accent2 4 11 2 2" xfId="29287" xr:uid="{00000000-0005-0000-0000-0000810B0000}"/>
    <cellStyle name="20% - Accent2 4 11 3" xfId="18111" xr:uid="{00000000-0005-0000-0000-0000820B0000}"/>
    <cellStyle name="20% - Accent2 4 12" xfId="8929" xr:uid="{00000000-0005-0000-0000-0000830B0000}"/>
    <cellStyle name="20% - Accent2 4 12 2" xfId="23404" xr:uid="{00000000-0005-0000-0000-0000840B0000}"/>
    <cellStyle name="20% - Accent2 4 13" xfId="18109" xr:uid="{00000000-0005-0000-0000-0000850B0000}"/>
    <cellStyle name="20% - Accent2 4 2" xfId="789" xr:uid="{00000000-0005-0000-0000-0000860B0000}"/>
    <cellStyle name="20% - Accent2 4 2 10" xfId="790" xr:uid="{00000000-0005-0000-0000-0000870B0000}"/>
    <cellStyle name="20% - Accent2 4 2 10 2" xfId="16023" xr:uid="{00000000-0005-0000-0000-0000880B0000}"/>
    <cellStyle name="20% - Accent2 4 2 10 2 2" xfId="29430" xr:uid="{00000000-0005-0000-0000-0000890B0000}"/>
    <cellStyle name="20% - Accent2 4 2 10 3" xfId="18113" xr:uid="{00000000-0005-0000-0000-00008A0B0000}"/>
    <cellStyle name="20% - Accent2 4 2 11" xfId="8930" xr:uid="{00000000-0005-0000-0000-00008B0B0000}"/>
    <cellStyle name="20% - Accent2 4 2 11 2" xfId="23405" xr:uid="{00000000-0005-0000-0000-00008C0B0000}"/>
    <cellStyle name="20% - Accent2 4 2 12" xfId="18112" xr:uid="{00000000-0005-0000-0000-00008D0B0000}"/>
    <cellStyle name="20% - Accent2 4 2 2" xfId="791" xr:uid="{00000000-0005-0000-0000-00008E0B0000}"/>
    <cellStyle name="20% - Accent2 4 2 2 10" xfId="8931" xr:uid="{00000000-0005-0000-0000-00008F0B0000}"/>
    <cellStyle name="20% - Accent2 4 2 2 10 2" xfId="23406" xr:uid="{00000000-0005-0000-0000-0000900B0000}"/>
    <cellStyle name="20% - Accent2 4 2 2 11" xfId="18114" xr:uid="{00000000-0005-0000-0000-0000910B0000}"/>
    <cellStyle name="20% - Accent2 4 2 2 2" xfId="792" xr:uid="{00000000-0005-0000-0000-0000920B0000}"/>
    <cellStyle name="20% - Accent2 4 2 2 2 2" xfId="793" xr:uid="{00000000-0005-0000-0000-0000930B0000}"/>
    <cellStyle name="20% - Accent2 4 2 2 2 2 2" xfId="10657" xr:uid="{00000000-0005-0000-0000-0000940B0000}"/>
    <cellStyle name="20% - Accent2 4 2 2 2 2 2 2" xfId="24599" xr:uid="{00000000-0005-0000-0000-0000950B0000}"/>
    <cellStyle name="20% - Accent2 4 2 2 2 2 3" xfId="18116" xr:uid="{00000000-0005-0000-0000-0000960B0000}"/>
    <cellStyle name="20% - Accent2 4 2 2 2 3" xfId="794" xr:uid="{00000000-0005-0000-0000-0000970B0000}"/>
    <cellStyle name="20% - Accent2 4 2 2 2 3 2" xfId="12615" xr:uid="{00000000-0005-0000-0000-0000980B0000}"/>
    <cellStyle name="20% - Accent2 4 2 2 2 3 2 2" xfId="26327" xr:uid="{00000000-0005-0000-0000-0000990B0000}"/>
    <cellStyle name="20% - Accent2 4 2 2 2 3 3" xfId="18117" xr:uid="{00000000-0005-0000-0000-00009A0B0000}"/>
    <cellStyle name="20% - Accent2 4 2 2 2 4" xfId="795" xr:uid="{00000000-0005-0000-0000-00009B0B0000}"/>
    <cellStyle name="20% - Accent2 4 2 2 2 4 2" xfId="14703" xr:uid="{00000000-0005-0000-0000-00009C0B0000}"/>
    <cellStyle name="20% - Accent2 4 2 2 2 4 2 2" xfId="28252" xr:uid="{00000000-0005-0000-0000-00009D0B0000}"/>
    <cellStyle name="20% - Accent2 4 2 2 2 4 3" xfId="18118" xr:uid="{00000000-0005-0000-0000-00009E0B0000}"/>
    <cellStyle name="20% - Accent2 4 2 2 2 5" xfId="796" xr:uid="{00000000-0005-0000-0000-00009F0B0000}"/>
    <cellStyle name="20% - Accent2 4 2 2 2 5 2" xfId="16893" xr:uid="{00000000-0005-0000-0000-0000A00B0000}"/>
    <cellStyle name="20% - Accent2 4 2 2 2 5 2 2" xfId="30300" xr:uid="{00000000-0005-0000-0000-0000A10B0000}"/>
    <cellStyle name="20% - Accent2 4 2 2 2 5 3" xfId="18119" xr:uid="{00000000-0005-0000-0000-0000A20B0000}"/>
    <cellStyle name="20% - Accent2 4 2 2 2 6" xfId="8932" xr:uid="{00000000-0005-0000-0000-0000A30B0000}"/>
    <cellStyle name="20% - Accent2 4 2 2 2 6 2" xfId="23407" xr:uid="{00000000-0005-0000-0000-0000A40B0000}"/>
    <cellStyle name="20% - Accent2 4 2 2 2 7" xfId="18115" xr:uid="{00000000-0005-0000-0000-0000A50B0000}"/>
    <cellStyle name="20% - Accent2 4 2 2 3" xfId="797" xr:uid="{00000000-0005-0000-0000-0000A60B0000}"/>
    <cellStyle name="20% - Accent2 4 2 2 3 2" xfId="798" xr:uid="{00000000-0005-0000-0000-0000A70B0000}"/>
    <cellStyle name="20% - Accent2 4 2 2 3 2 2" xfId="14704" xr:uid="{00000000-0005-0000-0000-0000A80B0000}"/>
    <cellStyle name="20% - Accent2 4 2 2 3 2 2 2" xfId="28253" xr:uid="{00000000-0005-0000-0000-0000A90B0000}"/>
    <cellStyle name="20% - Accent2 4 2 2 3 2 3" xfId="18121" xr:uid="{00000000-0005-0000-0000-0000AA0B0000}"/>
    <cellStyle name="20% - Accent2 4 2 2 3 3" xfId="10656" xr:uid="{00000000-0005-0000-0000-0000AB0B0000}"/>
    <cellStyle name="20% - Accent2 4 2 2 3 3 2" xfId="24598" xr:uid="{00000000-0005-0000-0000-0000AC0B0000}"/>
    <cellStyle name="20% - Accent2 4 2 2 3 4" xfId="18120" xr:uid="{00000000-0005-0000-0000-0000AD0B0000}"/>
    <cellStyle name="20% - Accent2 4 2 2 4" xfId="799" xr:uid="{00000000-0005-0000-0000-0000AE0B0000}"/>
    <cellStyle name="20% - Accent2 4 2 2 4 2" xfId="12281" xr:uid="{00000000-0005-0000-0000-0000AF0B0000}"/>
    <cellStyle name="20% - Accent2 4 2 2 4 2 2" xfId="25993" xr:uid="{00000000-0005-0000-0000-0000B00B0000}"/>
    <cellStyle name="20% - Accent2 4 2 2 4 3" xfId="18122" xr:uid="{00000000-0005-0000-0000-0000B10B0000}"/>
    <cellStyle name="20% - Accent2 4 2 2 5" xfId="800" xr:uid="{00000000-0005-0000-0000-0000B20B0000}"/>
    <cellStyle name="20% - Accent2 4 2 2 5 2" xfId="11779" xr:uid="{00000000-0005-0000-0000-0000B30B0000}"/>
    <cellStyle name="20% - Accent2 4 2 2 5 2 2" xfId="25494" xr:uid="{00000000-0005-0000-0000-0000B40B0000}"/>
    <cellStyle name="20% - Accent2 4 2 2 5 3" xfId="18123" xr:uid="{00000000-0005-0000-0000-0000B50B0000}"/>
    <cellStyle name="20% - Accent2 4 2 2 6" xfId="801" xr:uid="{00000000-0005-0000-0000-0000B60B0000}"/>
    <cellStyle name="20% - Accent2 4 2 2 6 2" xfId="13845" xr:uid="{00000000-0005-0000-0000-0000B70B0000}"/>
    <cellStyle name="20% - Accent2 4 2 2 6 2 2" xfId="27394" xr:uid="{00000000-0005-0000-0000-0000B80B0000}"/>
    <cellStyle name="20% - Accent2 4 2 2 6 3" xfId="18124" xr:uid="{00000000-0005-0000-0000-0000B90B0000}"/>
    <cellStyle name="20% - Accent2 4 2 2 7" xfId="802" xr:uid="{00000000-0005-0000-0000-0000BA0B0000}"/>
    <cellStyle name="20% - Accent2 4 2 2 7 2" xfId="14426" xr:uid="{00000000-0005-0000-0000-0000BB0B0000}"/>
    <cellStyle name="20% - Accent2 4 2 2 7 2 2" xfId="27975" xr:uid="{00000000-0005-0000-0000-0000BC0B0000}"/>
    <cellStyle name="20% - Accent2 4 2 2 7 3" xfId="18125" xr:uid="{00000000-0005-0000-0000-0000BD0B0000}"/>
    <cellStyle name="20% - Accent2 4 2 2 8" xfId="803" xr:uid="{00000000-0005-0000-0000-0000BE0B0000}"/>
    <cellStyle name="20% - Accent2 4 2 2 8 2" xfId="14702" xr:uid="{00000000-0005-0000-0000-0000BF0B0000}"/>
    <cellStyle name="20% - Accent2 4 2 2 8 2 2" xfId="28251" xr:uid="{00000000-0005-0000-0000-0000C00B0000}"/>
    <cellStyle name="20% - Accent2 4 2 2 8 3" xfId="18126" xr:uid="{00000000-0005-0000-0000-0000C10B0000}"/>
    <cellStyle name="20% - Accent2 4 2 2 9" xfId="804" xr:uid="{00000000-0005-0000-0000-0000C20B0000}"/>
    <cellStyle name="20% - Accent2 4 2 2 9 2" xfId="16312" xr:uid="{00000000-0005-0000-0000-0000C30B0000}"/>
    <cellStyle name="20% - Accent2 4 2 2 9 2 2" xfId="29719" xr:uid="{00000000-0005-0000-0000-0000C40B0000}"/>
    <cellStyle name="20% - Accent2 4 2 2 9 3" xfId="18127" xr:uid="{00000000-0005-0000-0000-0000C50B0000}"/>
    <cellStyle name="20% - Accent2 4 2 3" xfId="805" xr:uid="{00000000-0005-0000-0000-0000C60B0000}"/>
    <cellStyle name="20% - Accent2 4 2 3 2" xfId="806" xr:uid="{00000000-0005-0000-0000-0000C70B0000}"/>
    <cellStyle name="20% - Accent2 4 2 3 2 2" xfId="10658" xr:uid="{00000000-0005-0000-0000-0000C80B0000}"/>
    <cellStyle name="20% - Accent2 4 2 3 2 2 2" xfId="24600" xr:uid="{00000000-0005-0000-0000-0000C90B0000}"/>
    <cellStyle name="20% - Accent2 4 2 3 2 3" xfId="18129" xr:uid="{00000000-0005-0000-0000-0000CA0B0000}"/>
    <cellStyle name="20% - Accent2 4 2 3 3" xfId="807" xr:uid="{00000000-0005-0000-0000-0000CB0B0000}"/>
    <cellStyle name="20% - Accent2 4 2 3 3 2" xfId="11762" xr:uid="{00000000-0005-0000-0000-0000CC0B0000}"/>
    <cellStyle name="20% - Accent2 4 2 3 3 2 2" xfId="25477" xr:uid="{00000000-0005-0000-0000-0000CD0B0000}"/>
    <cellStyle name="20% - Accent2 4 2 3 3 3" xfId="18130" xr:uid="{00000000-0005-0000-0000-0000CE0B0000}"/>
    <cellStyle name="20% - Accent2 4 2 3 4" xfId="808" xr:uid="{00000000-0005-0000-0000-0000CF0B0000}"/>
    <cellStyle name="20% - Accent2 4 2 3 4 2" xfId="14705" xr:uid="{00000000-0005-0000-0000-0000D00B0000}"/>
    <cellStyle name="20% - Accent2 4 2 3 4 2 2" xfId="28254" xr:uid="{00000000-0005-0000-0000-0000D10B0000}"/>
    <cellStyle name="20% - Accent2 4 2 3 4 3" xfId="18131" xr:uid="{00000000-0005-0000-0000-0000D20B0000}"/>
    <cellStyle name="20% - Accent2 4 2 3 5" xfId="809" xr:uid="{00000000-0005-0000-0000-0000D30B0000}"/>
    <cellStyle name="20% - Accent2 4 2 3 5 2" xfId="16604" xr:uid="{00000000-0005-0000-0000-0000D40B0000}"/>
    <cellStyle name="20% - Accent2 4 2 3 5 2 2" xfId="30011" xr:uid="{00000000-0005-0000-0000-0000D50B0000}"/>
    <cellStyle name="20% - Accent2 4 2 3 5 3" xfId="18132" xr:uid="{00000000-0005-0000-0000-0000D60B0000}"/>
    <cellStyle name="20% - Accent2 4 2 3 6" xfId="8933" xr:uid="{00000000-0005-0000-0000-0000D70B0000}"/>
    <cellStyle name="20% - Accent2 4 2 3 6 2" xfId="23408" xr:uid="{00000000-0005-0000-0000-0000D80B0000}"/>
    <cellStyle name="20% - Accent2 4 2 3 7" xfId="18128" xr:uid="{00000000-0005-0000-0000-0000D90B0000}"/>
    <cellStyle name="20% - Accent2 4 2 4" xfId="810" xr:uid="{00000000-0005-0000-0000-0000DA0B0000}"/>
    <cellStyle name="20% - Accent2 4 2 4 2" xfId="811" xr:uid="{00000000-0005-0000-0000-0000DB0B0000}"/>
    <cellStyle name="20% - Accent2 4 2 4 2 2" xfId="14706" xr:uid="{00000000-0005-0000-0000-0000DC0B0000}"/>
    <cellStyle name="20% - Accent2 4 2 4 2 2 2" xfId="28255" xr:uid="{00000000-0005-0000-0000-0000DD0B0000}"/>
    <cellStyle name="20% - Accent2 4 2 4 2 3" xfId="18134" xr:uid="{00000000-0005-0000-0000-0000DE0B0000}"/>
    <cellStyle name="20% - Accent2 4 2 4 3" xfId="10655" xr:uid="{00000000-0005-0000-0000-0000DF0B0000}"/>
    <cellStyle name="20% - Accent2 4 2 4 3 2" xfId="24597" xr:uid="{00000000-0005-0000-0000-0000E00B0000}"/>
    <cellStyle name="20% - Accent2 4 2 4 4" xfId="18133" xr:uid="{00000000-0005-0000-0000-0000E10B0000}"/>
    <cellStyle name="20% - Accent2 4 2 5" xfId="812" xr:uid="{00000000-0005-0000-0000-0000E20B0000}"/>
    <cellStyle name="20% - Accent2 4 2 5 2" xfId="11981" xr:uid="{00000000-0005-0000-0000-0000E30B0000}"/>
    <cellStyle name="20% - Accent2 4 2 5 2 2" xfId="25696" xr:uid="{00000000-0005-0000-0000-0000E40B0000}"/>
    <cellStyle name="20% - Accent2 4 2 5 3" xfId="18135" xr:uid="{00000000-0005-0000-0000-0000E50B0000}"/>
    <cellStyle name="20% - Accent2 4 2 6" xfId="813" xr:uid="{00000000-0005-0000-0000-0000E60B0000}"/>
    <cellStyle name="20% - Accent2 4 2 6 2" xfId="12746" xr:uid="{00000000-0005-0000-0000-0000E70B0000}"/>
    <cellStyle name="20% - Accent2 4 2 6 2 2" xfId="26458" xr:uid="{00000000-0005-0000-0000-0000E80B0000}"/>
    <cellStyle name="20% - Accent2 4 2 6 3" xfId="18136" xr:uid="{00000000-0005-0000-0000-0000E90B0000}"/>
    <cellStyle name="20% - Accent2 4 2 7" xfId="814" xr:uid="{00000000-0005-0000-0000-0000EA0B0000}"/>
    <cellStyle name="20% - Accent2 4 2 7 2" xfId="13556" xr:uid="{00000000-0005-0000-0000-0000EB0B0000}"/>
    <cellStyle name="20% - Accent2 4 2 7 2 2" xfId="27105" xr:uid="{00000000-0005-0000-0000-0000EC0B0000}"/>
    <cellStyle name="20% - Accent2 4 2 7 3" xfId="18137" xr:uid="{00000000-0005-0000-0000-0000ED0B0000}"/>
    <cellStyle name="20% - Accent2 4 2 8" xfId="815" xr:uid="{00000000-0005-0000-0000-0000EE0B0000}"/>
    <cellStyle name="20% - Accent2 4 2 8 2" xfId="14137" xr:uid="{00000000-0005-0000-0000-0000EF0B0000}"/>
    <cellStyle name="20% - Accent2 4 2 8 2 2" xfId="27686" xr:uid="{00000000-0005-0000-0000-0000F00B0000}"/>
    <cellStyle name="20% - Accent2 4 2 8 3" xfId="18138" xr:uid="{00000000-0005-0000-0000-0000F10B0000}"/>
    <cellStyle name="20% - Accent2 4 2 9" xfId="816" xr:uid="{00000000-0005-0000-0000-0000F20B0000}"/>
    <cellStyle name="20% - Accent2 4 2 9 2" xfId="14701" xr:uid="{00000000-0005-0000-0000-0000F30B0000}"/>
    <cellStyle name="20% - Accent2 4 2 9 2 2" xfId="28250" xr:uid="{00000000-0005-0000-0000-0000F40B0000}"/>
    <cellStyle name="20% - Accent2 4 2 9 3" xfId="18139" xr:uid="{00000000-0005-0000-0000-0000F50B0000}"/>
    <cellStyle name="20% - Accent2 4 3" xfId="817" xr:uid="{00000000-0005-0000-0000-0000F60B0000}"/>
    <cellStyle name="20% - Accent2 4 3 10" xfId="8934" xr:uid="{00000000-0005-0000-0000-0000F70B0000}"/>
    <cellStyle name="20% - Accent2 4 3 10 2" xfId="23409" xr:uid="{00000000-0005-0000-0000-0000F80B0000}"/>
    <cellStyle name="20% - Accent2 4 3 11" xfId="18140" xr:uid="{00000000-0005-0000-0000-0000F90B0000}"/>
    <cellStyle name="20% - Accent2 4 3 2" xfId="818" xr:uid="{00000000-0005-0000-0000-0000FA0B0000}"/>
    <cellStyle name="20% - Accent2 4 3 2 2" xfId="819" xr:uid="{00000000-0005-0000-0000-0000FB0B0000}"/>
    <cellStyle name="20% - Accent2 4 3 2 2 2" xfId="10660" xr:uid="{00000000-0005-0000-0000-0000FC0B0000}"/>
    <cellStyle name="20% - Accent2 4 3 2 2 2 2" xfId="24602" xr:uid="{00000000-0005-0000-0000-0000FD0B0000}"/>
    <cellStyle name="20% - Accent2 4 3 2 2 3" xfId="18142" xr:uid="{00000000-0005-0000-0000-0000FE0B0000}"/>
    <cellStyle name="20% - Accent2 4 3 2 3" xfId="820" xr:uid="{00000000-0005-0000-0000-0000FF0B0000}"/>
    <cellStyle name="20% - Accent2 4 3 2 3 2" xfId="12584" xr:uid="{00000000-0005-0000-0000-0000000C0000}"/>
    <cellStyle name="20% - Accent2 4 3 2 3 2 2" xfId="26296" xr:uid="{00000000-0005-0000-0000-0000010C0000}"/>
    <cellStyle name="20% - Accent2 4 3 2 3 3" xfId="18143" xr:uid="{00000000-0005-0000-0000-0000020C0000}"/>
    <cellStyle name="20% - Accent2 4 3 2 4" xfId="821" xr:uid="{00000000-0005-0000-0000-0000030C0000}"/>
    <cellStyle name="20% - Accent2 4 3 2 4 2" xfId="14708" xr:uid="{00000000-0005-0000-0000-0000040C0000}"/>
    <cellStyle name="20% - Accent2 4 3 2 4 2 2" xfId="28257" xr:uid="{00000000-0005-0000-0000-0000050C0000}"/>
    <cellStyle name="20% - Accent2 4 3 2 4 3" xfId="18144" xr:uid="{00000000-0005-0000-0000-0000060C0000}"/>
    <cellStyle name="20% - Accent2 4 3 2 5" xfId="822" xr:uid="{00000000-0005-0000-0000-0000070C0000}"/>
    <cellStyle name="20% - Accent2 4 3 2 5 2" xfId="16753" xr:uid="{00000000-0005-0000-0000-0000080C0000}"/>
    <cellStyle name="20% - Accent2 4 3 2 5 2 2" xfId="30160" xr:uid="{00000000-0005-0000-0000-0000090C0000}"/>
    <cellStyle name="20% - Accent2 4 3 2 5 3" xfId="18145" xr:uid="{00000000-0005-0000-0000-00000A0C0000}"/>
    <cellStyle name="20% - Accent2 4 3 2 6" xfId="8935" xr:uid="{00000000-0005-0000-0000-00000B0C0000}"/>
    <cellStyle name="20% - Accent2 4 3 2 6 2" xfId="23410" xr:uid="{00000000-0005-0000-0000-00000C0C0000}"/>
    <cellStyle name="20% - Accent2 4 3 2 7" xfId="18141" xr:uid="{00000000-0005-0000-0000-00000D0C0000}"/>
    <cellStyle name="20% - Accent2 4 3 3" xfId="823" xr:uid="{00000000-0005-0000-0000-00000E0C0000}"/>
    <cellStyle name="20% - Accent2 4 3 3 2" xfId="824" xr:uid="{00000000-0005-0000-0000-00000F0C0000}"/>
    <cellStyle name="20% - Accent2 4 3 3 2 2" xfId="14709" xr:uid="{00000000-0005-0000-0000-0000100C0000}"/>
    <cellStyle name="20% - Accent2 4 3 3 2 2 2" xfId="28258" xr:uid="{00000000-0005-0000-0000-0000110C0000}"/>
    <cellStyle name="20% - Accent2 4 3 3 2 3" xfId="18147" xr:uid="{00000000-0005-0000-0000-0000120C0000}"/>
    <cellStyle name="20% - Accent2 4 3 3 3" xfId="10659" xr:uid="{00000000-0005-0000-0000-0000130C0000}"/>
    <cellStyle name="20% - Accent2 4 3 3 3 2" xfId="24601" xr:uid="{00000000-0005-0000-0000-0000140C0000}"/>
    <cellStyle name="20% - Accent2 4 3 3 4" xfId="18146" xr:uid="{00000000-0005-0000-0000-0000150C0000}"/>
    <cellStyle name="20% - Accent2 4 3 4" xfId="825" xr:uid="{00000000-0005-0000-0000-0000160C0000}"/>
    <cellStyle name="20% - Accent2 4 3 4 2" xfId="12141" xr:uid="{00000000-0005-0000-0000-0000170C0000}"/>
    <cellStyle name="20% - Accent2 4 3 4 2 2" xfId="25853" xr:uid="{00000000-0005-0000-0000-0000180C0000}"/>
    <cellStyle name="20% - Accent2 4 3 4 3" xfId="18148" xr:uid="{00000000-0005-0000-0000-0000190C0000}"/>
    <cellStyle name="20% - Accent2 4 3 5" xfId="826" xr:uid="{00000000-0005-0000-0000-00001A0C0000}"/>
    <cellStyle name="20% - Accent2 4 3 5 2" xfId="11784" xr:uid="{00000000-0005-0000-0000-00001B0C0000}"/>
    <cellStyle name="20% - Accent2 4 3 5 2 2" xfId="25499" xr:uid="{00000000-0005-0000-0000-00001C0C0000}"/>
    <cellStyle name="20% - Accent2 4 3 5 3" xfId="18149" xr:uid="{00000000-0005-0000-0000-00001D0C0000}"/>
    <cellStyle name="20% - Accent2 4 3 6" xfId="827" xr:uid="{00000000-0005-0000-0000-00001E0C0000}"/>
    <cellStyle name="20% - Accent2 4 3 6 2" xfId="13705" xr:uid="{00000000-0005-0000-0000-00001F0C0000}"/>
    <cellStyle name="20% - Accent2 4 3 6 2 2" xfId="27254" xr:uid="{00000000-0005-0000-0000-0000200C0000}"/>
    <cellStyle name="20% - Accent2 4 3 6 3" xfId="18150" xr:uid="{00000000-0005-0000-0000-0000210C0000}"/>
    <cellStyle name="20% - Accent2 4 3 7" xfId="828" xr:uid="{00000000-0005-0000-0000-0000220C0000}"/>
    <cellStyle name="20% - Accent2 4 3 7 2" xfId="14286" xr:uid="{00000000-0005-0000-0000-0000230C0000}"/>
    <cellStyle name="20% - Accent2 4 3 7 2 2" xfId="27835" xr:uid="{00000000-0005-0000-0000-0000240C0000}"/>
    <cellStyle name="20% - Accent2 4 3 7 3" xfId="18151" xr:uid="{00000000-0005-0000-0000-0000250C0000}"/>
    <cellStyle name="20% - Accent2 4 3 8" xfId="829" xr:uid="{00000000-0005-0000-0000-0000260C0000}"/>
    <cellStyle name="20% - Accent2 4 3 8 2" xfId="14707" xr:uid="{00000000-0005-0000-0000-0000270C0000}"/>
    <cellStyle name="20% - Accent2 4 3 8 2 2" xfId="28256" xr:uid="{00000000-0005-0000-0000-0000280C0000}"/>
    <cellStyle name="20% - Accent2 4 3 8 3" xfId="18152" xr:uid="{00000000-0005-0000-0000-0000290C0000}"/>
    <cellStyle name="20% - Accent2 4 3 9" xfId="830" xr:uid="{00000000-0005-0000-0000-00002A0C0000}"/>
    <cellStyle name="20% - Accent2 4 3 9 2" xfId="16172" xr:uid="{00000000-0005-0000-0000-00002B0C0000}"/>
    <cellStyle name="20% - Accent2 4 3 9 2 2" xfId="29579" xr:uid="{00000000-0005-0000-0000-00002C0C0000}"/>
    <cellStyle name="20% - Accent2 4 3 9 3" xfId="18153" xr:uid="{00000000-0005-0000-0000-00002D0C0000}"/>
    <cellStyle name="20% - Accent2 4 4" xfId="831" xr:uid="{00000000-0005-0000-0000-00002E0C0000}"/>
    <cellStyle name="20% - Accent2 4 4 2" xfId="832" xr:uid="{00000000-0005-0000-0000-00002F0C0000}"/>
    <cellStyle name="20% - Accent2 4 4 2 2" xfId="10661" xr:uid="{00000000-0005-0000-0000-0000300C0000}"/>
    <cellStyle name="20% - Accent2 4 4 2 2 2" xfId="24603" xr:uid="{00000000-0005-0000-0000-0000310C0000}"/>
    <cellStyle name="20% - Accent2 4 4 2 3" xfId="18155" xr:uid="{00000000-0005-0000-0000-0000320C0000}"/>
    <cellStyle name="20% - Accent2 4 4 3" xfId="833" xr:uid="{00000000-0005-0000-0000-0000330C0000}"/>
    <cellStyle name="20% - Accent2 4 4 3 2" xfId="12541" xr:uid="{00000000-0005-0000-0000-0000340C0000}"/>
    <cellStyle name="20% - Accent2 4 4 3 2 2" xfId="26253" xr:uid="{00000000-0005-0000-0000-0000350C0000}"/>
    <cellStyle name="20% - Accent2 4 4 3 3" xfId="18156" xr:uid="{00000000-0005-0000-0000-0000360C0000}"/>
    <cellStyle name="20% - Accent2 4 4 4" xfId="834" xr:uid="{00000000-0005-0000-0000-0000370C0000}"/>
    <cellStyle name="20% - Accent2 4 4 4 2" xfId="14710" xr:uid="{00000000-0005-0000-0000-0000380C0000}"/>
    <cellStyle name="20% - Accent2 4 4 4 2 2" xfId="28259" xr:uid="{00000000-0005-0000-0000-0000390C0000}"/>
    <cellStyle name="20% - Accent2 4 4 4 3" xfId="18157" xr:uid="{00000000-0005-0000-0000-00003A0C0000}"/>
    <cellStyle name="20% - Accent2 4 4 5" xfId="835" xr:uid="{00000000-0005-0000-0000-00003B0C0000}"/>
    <cellStyle name="20% - Accent2 4 4 5 2" xfId="16461" xr:uid="{00000000-0005-0000-0000-00003C0C0000}"/>
    <cellStyle name="20% - Accent2 4 4 5 2 2" xfId="29868" xr:uid="{00000000-0005-0000-0000-00003D0C0000}"/>
    <cellStyle name="20% - Accent2 4 4 5 3" xfId="18158" xr:uid="{00000000-0005-0000-0000-00003E0C0000}"/>
    <cellStyle name="20% - Accent2 4 4 6" xfId="8936" xr:uid="{00000000-0005-0000-0000-00003F0C0000}"/>
    <cellStyle name="20% - Accent2 4 4 6 2" xfId="23411" xr:uid="{00000000-0005-0000-0000-0000400C0000}"/>
    <cellStyle name="20% - Accent2 4 4 7" xfId="18154" xr:uid="{00000000-0005-0000-0000-0000410C0000}"/>
    <cellStyle name="20% - Accent2 4 5" xfId="836" xr:uid="{00000000-0005-0000-0000-0000420C0000}"/>
    <cellStyle name="20% - Accent2 4 5 2" xfId="837" xr:uid="{00000000-0005-0000-0000-0000430C0000}"/>
    <cellStyle name="20% - Accent2 4 5 2 2" xfId="14711" xr:uid="{00000000-0005-0000-0000-0000440C0000}"/>
    <cellStyle name="20% - Accent2 4 5 2 2 2" xfId="28260" xr:uid="{00000000-0005-0000-0000-0000450C0000}"/>
    <cellStyle name="20% - Accent2 4 5 2 3" xfId="18160" xr:uid="{00000000-0005-0000-0000-0000460C0000}"/>
    <cellStyle name="20% - Accent2 4 5 3" xfId="10654" xr:uid="{00000000-0005-0000-0000-0000470C0000}"/>
    <cellStyle name="20% - Accent2 4 5 3 2" xfId="24596" xr:uid="{00000000-0005-0000-0000-0000480C0000}"/>
    <cellStyle name="20% - Accent2 4 5 4" xfId="18159" xr:uid="{00000000-0005-0000-0000-0000490C0000}"/>
    <cellStyle name="20% - Accent2 4 6" xfId="838" xr:uid="{00000000-0005-0000-0000-00004A0C0000}"/>
    <cellStyle name="20% - Accent2 4 6 2" xfId="11812" xr:uid="{00000000-0005-0000-0000-00004B0C0000}"/>
    <cellStyle name="20% - Accent2 4 6 2 2" xfId="25527" xr:uid="{00000000-0005-0000-0000-00004C0C0000}"/>
    <cellStyle name="20% - Accent2 4 6 3" xfId="18161" xr:uid="{00000000-0005-0000-0000-00004D0C0000}"/>
    <cellStyle name="20% - Accent2 4 7" xfId="839" xr:uid="{00000000-0005-0000-0000-00004E0C0000}"/>
    <cellStyle name="20% - Accent2 4 7 2" xfId="12549" xr:uid="{00000000-0005-0000-0000-00004F0C0000}"/>
    <cellStyle name="20% - Accent2 4 7 2 2" xfId="26261" xr:uid="{00000000-0005-0000-0000-0000500C0000}"/>
    <cellStyle name="20% - Accent2 4 7 3" xfId="18162" xr:uid="{00000000-0005-0000-0000-0000510C0000}"/>
    <cellStyle name="20% - Accent2 4 8" xfId="840" xr:uid="{00000000-0005-0000-0000-0000520C0000}"/>
    <cellStyle name="20% - Accent2 4 8 2" xfId="13413" xr:uid="{00000000-0005-0000-0000-0000530C0000}"/>
    <cellStyle name="20% - Accent2 4 8 2 2" xfId="26962" xr:uid="{00000000-0005-0000-0000-0000540C0000}"/>
    <cellStyle name="20% - Accent2 4 8 3" xfId="18163" xr:uid="{00000000-0005-0000-0000-0000550C0000}"/>
    <cellStyle name="20% - Accent2 4 9" xfId="841" xr:uid="{00000000-0005-0000-0000-0000560C0000}"/>
    <cellStyle name="20% - Accent2 4 9 2" xfId="13994" xr:uid="{00000000-0005-0000-0000-0000570C0000}"/>
    <cellStyle name="20% - Accent2 4 9 2 2" xfId="27543" xr:uid="{00000000-0005-0000-0000-0000580C0000}"/>
    <cellStyle name="20% - Accent2 4 9 3" xfId="18164" xr:uid="{00000000-0005-0000-0000-0000590C0000}"/>
    <cellStyle name="20% - Accent2 5" xfId="842" xr:uid="{00000000-0005-0000-0000-00005A0C0000}"/>
    <cellStyle name="20% - Accent2 5 10" xfId="843" xr:uid="{00000000-0005-0000-0000-00005B0C0000}"/>
    <cellStyle name="20% - Accent2 5 10 2" xfId="14712" xr:uid="{00000000-0005-0000-0000-00005C0C0000}"/>
    <cellStyle name="20% - Accent2 5 10 2 2" xfId="28261" xr:uid="{00000000-0005-0000-0000-00005D0C0000}"/>
    <cellStyle name="20% - Accent2 5 10 3" xfId="18166" xr:uid="{00000000-0005-0000-0000-00005E0C0000}"/>
    <cellStyle name="20% - Accent2 5 11" xfId="844" xr:uid="{00000000-0005-0000-0000-00005F0C0000}"/>
    <cellStyle name="20% - Accent2 5 11 2" xfId="15863" xr:uid="{00000000-0005-0000-0000-0000600C0000}"/>
    <cellStyle name="20% - Accent2 5 11 2 2" xfId="29270" xr:uid="{00000000-0005-0000-0000-0000610C0000}"/>
    <cellStyle name="20% - Accent2 5 11 3" xfId="18167" xr:uid="{00000000-0005-0000-0000-0000620C0000}"/>
    <cellStyle name="20% - Accent2 5 12" xfId="8937" xr:uid="{00000000-0005-0000-0000-0000630C0000}"/>
    <cellStyle name="20% - Accent2 5 12 2" xfId="23412" xr:uid="{00000000-0005-0000-0000-0000640C0000}"/>
    <cellStyle name="20% - Accent2 5 13" xfId="18165" xr:uid="{00000000-0005-0000-0000-0000650C0000}"/>
    <cellStyle name="20% - Accent2 5 2" xfId="845" xr:uid="{00000000-0005-0000-0000-0000660C0000}"/>
    <cellStyle name="20% - Accent2 5 2 10" xfId="846" xr:uid="{00000000-0005-0000-0000-0000670C0000}"/>
    <cellStyle name="20% - Accent2 5 2 10 2" xfId="16006" xr:uid="{00000000-0005-0000-0000-0000680C0000}"/>
    <cellStyle name="20% - Accent2 5 2 10 2 2" xfId="29413" xr:uid="{00000000-0005-0000-0000-0000690C0000}"/>
    <cellStyle name="20% - Accent2 5 2 10 3" xfId="18169" xr:uid="{00000000-0005-0000-0000-00006A0C0000}"/>
    <cellStyle name="20% - Accent2 5 2 11" xfId="8938" xr:uid="{00000000-0005-0000-0000-00006B0C0000}"/>
    <cellStyle name="20% - Accent2 5 2 11 2" xfId="23413" xr:uid="{00000000-0005-0000-0000-00006C0C0000}"/>
    <cellStyle name="20% - Accent2 5 2 12" xfId="18168" xr:uid="{00000000-0005-0000-0000-00006D0C0000}"/>
    <cellStyle name="20% - Accent2 5 2 2" xfId="847" xr:uid="{00000000-0005-0000-0000-00006E0C0000}"/>
    <cellStyle name="20% - Accent2 5 2 2 10" xfId="8939" xr:uid="{00000000-0005-0000-0000-00006F0C0000}"/>
    <cellStyle name="20% - Accent2 5 2 2 10 2" xfId="23414" xr:uid="{00000000-0005-0000-0000-0000700C0000}"/>
    <cellStyle name="20% - Accent2 5 2 2 11" xfId="18170" xr:uid="{00000000-0005-0000-0000-0000710C0000}"/>
    <cellStyle name="20% - Accent2 5 2 2 2" xfId="848" xr:uid="{00000000-0005-0000-0000-0000720C0000}"/>
    <cellStyle name="20% - Accent2 5 2 2 2 2" xfId="849" xr:uid="{00000000-0005-0000-0000-0000730C0000}"/>
    <cellStyle name="20% - Accent2 5 2 2 2 2 2" xfId="10665" xr:uid="{00000000-0005-0000-0000-0000740C0000}"/>
    <cellStyle name="20% - Accent2 5 2 2 2 2 2 2" xfId="24607" xr:uid="{00000000-0005-0000-0000-0000750C0000}"/>
    <cellStyle name="20% - Accent2 5 2 2 2 2 3" xfId="18172" xr:uid="{00000000-0005-0000-0000-0000760C0000}"/>
    <cellStyle name="20% - Accent2 5 2 2 2 3" xfId="850" xr:uid="{00000000-0005-0000-0000-0000770C0000}"/>
    <cellStyle name="20% - Accent2 5 2 2 2 3 2" xfId="12473" xr:uid="{00000000-0005-0000-0000-0000780C0000}"/>
    <cellStyle name="20% - Accent2 5 2 2 2 3 2 2" xfId="26185" xr:uid="{00000000-0005-0000-0000-0000790C0000}"/>
    <cellStyle name="20% - Accent2 5 2 2 2 3 3" xfId="18173" xr:uid="{00000000-0005-0000-0000-00007A0C0000}"/>
    <cellStyle name="20% - Accent2 5 2 2 2 4" xfId="851" xr:uid="{00000000-0005-0000-0000-00007B0C0000}"/>
    <cellStyle name="20% - Accent2 5 2 2 2 4 2" xfId="14715" xr:uid="{00000000-0005-0000-0000-00007C0C0000}"/>
    <cellStyle name="20% - Accent2 5 2 2 2 4 2 2" xfId="28264" xr:uid="{00000000-0005-0000-0000-00007D0C0000}"/>
    <cellStyle name="20% - Accent2 5 2 2 2 4 3" xfId="18174" xr:uid="{00000000-0005-0000-0000-00007E0C0000}"/>
    <cellStyle name="20% - Accent2 5 2 2 2 5" xfId="852" xr:uid="{00000000-0005-0000-0000-00007F0C0000}"/>
    <cellStyle name="20% - Accent2 5 2 2 2 5 2" xfId="16876" xr:uid="{00000000-0005-0000-0000-0000800C0000}"/>
    <cellStyle name="20% - Accent2 5 2 2 2 5 2 2" xfId="30283" xr:uid="{00000000-0005-0000-0000-0000810C0000}"/>
    <cellStyle name="20% - Accent2 5 2 2 2 5 3" xfId="18175" xr:uid="{00000000-0005-0000-0000-0000820C0000}"/>
    <cellStyle name="20% - Accent2 5 2 2 2 6" xfId="8940" xr:uid="{00000000-0005-0000-0000-0000830C0000}"/>
    <cellStyle name="20% - Accent2 5 2 2 2 6 2" xfId="23415" xr:uid="{00000000-0005-0000-0000-0000840C0000}"/>
    <cellStyle name="20% - Accent2 5 2 2 2 7" xfId="18171" xr:uid="{00000000-0005-0000-0000-0000850C0000}"/>
    <cellStyle name="20% - Accent2 5 2 2 3" xfId="853" xr:uid="{00000000-0005-0000-0000-0000860C0000}"/>
    <cellStyle name="20% - Accent2 5 2 2 3 2" xfId="854" xr:uid="{00000000-0005-0000-0000-0000870C0000}"/>
    <cellStyle name="20% - Accent2 5 2 2 3 2 2" xfId="14716" xr:uid="{00000000-0005-0000-0000-0000880C0000}"/>
    <cellStyle name="20% - Accent2 5 2 2 3 2 2 2" xfId="28265" xr:uid="{00000000-0005-0000-0000-0000890C0000}"/>
    <cellStyle name="20% - Accent2 5 2 2 3 2 3" xfId="18177" xr:uid="{00000000-0005-0000-0000-00008A0C0000}"/>
    <cellStyle name="20% - Accent2 5 2 2 3 3" xfId="10664" xr:uid="{00000000-0005-0000-0000-00008B0C0000}"/>
    <cellStyle name="20% - Accent2 5 2 2 3 3 2" xfId="24606" xr:uid="{00000000-0005-0000-0000-00008C0C0000}"/>
    <cellStyle name="20% - Accent2 5 2 2 3 4" xfId="18176" xr:uid="{00000000-0005-0000-0000-00008D0C0000}"/>
    <cellStyle name="20% - Accent2 5 2 2 4" xfId="855" xr:uid="{00000000-0005-0000-0000-00008E0C0000}"/>
    <cellStyle name="20% - Accent2 5 2 2 4 2" xfId="12264" xr:uid="{00000000-0005-0000-0000-00008F0C0000}"/>
    <cellStyle name="20% - Accent2 5 2 2 4 2 2" xfId="25976" xr:uid="{00000000-0005-0000-0000-0000900C0000}"/>
    <cellStyle name="20% - Accent2 5 2 2 4 3" xfId="18178" xr:uid="{00000000-0005-0000-0000-0000910C0000}"/>
    <cellStyle name="20% - Accent2 5 2 2 5" xfId="856" xr:uid="{00000000-0005-0000-0000-0000920C0000}"/>
    <cellStyle name="20% - Accent2 5 2 2 5 2" xfId="12566" xr:uid="{00000000-0005-0000-0000-0000930C0000}"/>
    <cellStyle name="20% - Accent2 5 2 2 5 2 2" xfId="26278" xr:uid="{00000000-0005-0000-0000-0000940C0000}"/>
    <cellStyle name="20% - Accent2 5 2 2 5 3" xfId="18179" xr:uid="{00000000-0005-0000-0000-0000950C0000}"/>
    <cellStyle name="20% - Accent2 5 2 2 6" xfId="857" xr:uid="{00000000-0005-0000-0000-0000960C0000}"/>
    <cellStyle name="20% - Accent2 5 2 2 6 2" xfId="13828" xr:uid="{00000000-0005-0000-0000-0000970C0000}"/>
    <cellStyle name="20% - Accent2 5 2 2 6 2 2" xfId="27377" xr:uid="{00000000-0005-0000-0000-0000980C0000}"/>
    <cellStyle name="20% - Accent2 5 2 2 6 3" xfId="18180" xr:uid="{00000000-0005-0000-0000-0000990C0000}"/>
    <cellStyle name="20% - Accent2 5 2 2 7" xfId="858" xr:uid="{00000000-0005-0000-0000-00009A0C0000}"/>
    <cellStyle name="20% - Accent2 5 2 2 7 2" xfId="14409" xr:uid="{00000000-0005-0000-0000-00009B0C0000}"/>
    <cellStyle name="20% - Accent2 5 2 2 7 2 2" xfId="27958" xr:uid="{00000000-0005-0000-0000-00009C0C0000}"/>
    <cellStyle name="20% - Accent2 5 2 2 7 3" xfId="18181" xr:uid="{00000000-0005-0000-0000-00009D0C0000}"/>
    <cellStyle name="20% - Accent2 5 2 2 8" xfId="859" xr:uid="{00000000-0005-0000-0000-00009E0C0000}"/>
    <cellStyle name="20% - Accent2 5 2 2 8 2" xfId="14714" xr:uid="{00000000-0005-0000-0000-00009F0C0000}"/>
    <cellStyle name="20% - Accent2 5 2 2 8 2 2" xfId="28263" xr:uid="{00000000-0005-0000-0000-0000A00C0000}"/>
    <cellStyle name="20% - Accent2 5 2 2 8 3" xfId="18182" xr:uid="{00000000-0005-0000-0000-0000A10C0000}"/>
    <cellStyle name="20% - Accent2 5 2 2 9" xfId="860" xr:uid="{00000000-0005-0000-0000-0000A20C0000}"/>
    <cellStyle name="20% - Accent2 5 2 2 9 2" xfId="16295" xr:uid="{00000000-0005-0000-0000-0000A30C0000}"/>
    <cellStyle name="20% - Accent2 5 2 2 9 2 2" xfId="29702" xr:uid="{00000000-0005-0000-0000-0000A40C0000}"/>
    <cellStyle name="20% - Accent2 5 2 2 9 3" xfId="18183" xr:uid="{00000000-0005-0000-0000-0000A50C0000}"/>
    <cellStyle name="20% - Accent2 5 2 3" xfId="861" xr:uid="{00000000-0005-0000-0000-0000A60C0000}"/>
    <cellStyle name="20% - Accent2 5 2 3 2" xfId="862" xr:uid="{00000000-0005-0000-0000-0000A70C0000}"/>
    <cellStyle name="20% - Accent2 5 2 3 2 2" xfId="10666" xr:uid="{00000000-0005-0000-0000-0000A80C0000}"/>
    <cellStyle name="20% - Accent2 5 2 3 2 2 2" xfId="24608" xr:uid="{00000000-0005-0000-0000-0000A90C0000}"/>
    <cellStyle name="20% - Accent2 5 2 3 2 3" xfId="18185" xr:uid="{00000000-0005-0000-0000-0000AA0C0000}"/>
    <cellStyle name="20% - Accent2 5 2 3 3" xfId="863" xr:uid="{00000000-0005-0000-0000-0000AB0C0000}"/>
    <cellStyle name="20% - Accent2 5 2 3 3 2" xfId="12446" xr:uid="{00000000-0005-0000-0000-0000AC0C0000}"/>
    <cellStyle name="20% - Accent2 5 2 3 3 2 2" xfId="26158" xr:uid="{00000000-0005-0000-0000-0000AD0C0000}"/>
    <cellStyle name="20% - Accent2 5 2 3 3 3" xfId="18186" xr:uid="{00000000-0005-0000-0000-0000AE0C0000}"/>
    <cellStyle name="20% - Accent2 5 2 3 4" xfId="864" xr:uid="{00000000-0005-0000-0000-0000AF0C0000}"/>
    <cellStyle name="20% - Accent2 5 2 3 4 2" xfId="14717" xr:uid="{00000000-0005-0000-0000-0000B00C0000}"/>
    <cellStyle name="20% - Accent2 5 2 3 4 2 2" xfId="28266" xr:uid="{00000000-0005-0000-0000-0000B10C0000}"/>
    <cellStyle name="20% - Accent2 5 2 3 4 3" xfId="18187" xr:uid="{00000000-0005-0000-0000-0000B20C0000}"/>
    <cellStyle name="20% - Accent2 5 2 3 5" xfId="865" xr:uid="{00000000-0005-0000-0000-0000B30C0000}"/>
    <cellStyle name="20% - Accent2 5 2 3 5 2" xfId="16587" xr:uid="{00000000-0005-0000-0000-0000B40C0000}"/>
    <cellStyle name="20% - Accent2 5 2 3 5 2 2" xfId="29994" xr:uid="{00000000-0005-0000-0000-0000B50C0000}"/>
    <cellStyle name="20% - Accent2 5 2 3 5 3" xfId="18188" xr:uid="{00000000-0005-0000-0000-0000B60C0000}"/>
    <cellStyle name="20% - Accent2 5 2 3 6" xfId="8941" xr:uid="{00000000-0005-0000-0000-0000B70C0000}"/>
    <cellStyle name="20% - Accent2 5 2 3 6 2" xfId="23416" xr:uid="{00000000-0005-0000-0000-0000B80C0000}"/>
    <cellStyle name="20% - Accent2 5 2 3 7" xfId="18184" xr:uid="{00000000-0005-0000-0000-0000B90C0000}"/>
    <cellStyle name="20% - Accent2 5 2 4" xfId="866" xr:uid="{00000000-0005-0000-0000-0000BA0C0000}"/>
    <cellStyle name="20% - Accent2 5 2 4 2" xfId="867" xr:uid="{00000000-0005-0000-0000-0000BB0C0000}"/>
    <cellStyle name="20% - Accent2 5 2 4 2 2" xfId="14718" xr:uid="{00000000-0005-0000-0000-0000BC0C0000}"/>
    <cellStyle name="20% - Accent2 5 2 4 2 2 2" xfId="28267" xr:uid="{00000000-0005-0000-0000-0000BD0C0000}"/>
    <cellStyle name="20% - Accent2 5 2 4 2 3" xfId="18190" xr:uid="{00000000-0005-0000-0000-0000BE0C0000}"/>
    <cellStyle name="20% - Accent2 5 2 4 3" xfId="10663" xr:uid="{00000000-0005-0000-0000-0000BF0C0000}"/>
    <cellStyle name="20% - Accent2 5 2 4 3 2" xfId="24605" xr:uid="{00000000-0005-0000-0000-0000C00C0000}"/>
    <cellStyle name="20% - Accent2 5 2 4 4" xfId="18189" xr:uid="{00000000-0005-0000-0000-0000C10C0000}"/>
    <cellStyle name="20% - Accent2 5 2 5" xfId="868" xr:uid="{00000000-0005-0000-0000-0000C20C0000}"/>
    <cellStyle name="20% - Accent2 5 2 5 2" xfId="11964" xr:uid="{00000000-0005-0000-0000-0000C30C0000}"/>
    <cellStyle name="20% - Accent2 5 2 5 2 2" xfId="25679" xr:uid="{00000000-0005-0000-0000-0000C40C0000}"/>
    <cellStyle name="20% - Accent2 5 2 5 3" xfId="18191" xr:uid="{00000000-0005-0000-0000-0000C50C0000}"/>
    <cellStyle name="20% - Accent2 5 2 6" xfId="869" xr:uid="{00000000-0005-0000-0000-0000C60C0000}"/>
    <cellStyle name="20% - Accent2 5 2 6 2" xfId="12503" xr:uid="{00000000-0005-0000-0000-0000C70C0000}"/>
    <cellStyle name="20% - Accent2 5 2 6 2 2" xfId="26215" xr:uid="{00000000-0005-0000-0000-0000C80C0000}"/>
    <cellStyle name="20% - Accent2 5 2 6 3" xfId="18192" xr:uid="{00000000-0005-0000-0000-0000C90C0000}"/>
    <cellStyle name="20% - Accent2 5 2 7" xfId="870" xr:uid="{00000000-0005-0000-0000-0000CA0C0000}"/>
    <cellStyle name="20% - Accent2 5 2 7 2" xfId="13539" xr:uid="{00000000-0005-0000-0000-0000CB0C0000}"/>
    <cellStyle name="20% - Accent2 5 2 7 2 2" xfId="27088" xr:uid="{00000000-0005-0000-0000-0000CC0C0000}"/>
    <cellStyle name="20% - Accent2 5 2 7 3" xfId="18193" xr:uid="{00000000-0005-0000-0000-0000CD0C0000}"/>
    <cellStyle name="20% - Accent2 5 2 8" xfId="871" xr:uid="{00000000-0005-0000-0000-0000CE0C0000}"/>
    <cellStyle name="20% - Accent2 5 2 8 2" xfId="14120" xr:uid="{00000000-0005-0000-0000-0000CF0C0000}"/>
    <cellStyle name="20% - Accent2 5 2 8 2 2" xfId="27669" xr:uid="{00000000-0005-0000-0000-0000D00C0000}"/>
    <cellStyle name="20% - Accent2 5 2 8 3" xfId="18194" xr:uid="{00000000-0005-0000-0000-0000D10C0000}"/>
    <cellStyle name="20% - Accent2 5 2 9" xfId="872" xr:uid="{00000000-0005-0000-0000-0000D20C0000}"/>
    <cellStyle name="20% - Accent2 5 2 9 2" xfId="14713" xr:uid="{00000000-0005-0000-0000-0000D30C0000}"/>
    <cellStyle name="20% - Accent2 5 2 9 2 2" xfId="28262" xr:uid="{00000000-0005-0000-0000-0000D40C0000}"/>
    <cellStyle name="20% - Accent2 5 2 9 3" xfId="18195" xr:uid="{00000000-0005-0000-0000-0000D50C0000}"/>
    <cellStyle name="20% - Accent2 5 3" xfId="873" xr:uid="{00000000-0005-0000-0000-0000D60C0000}"/>
    <cellStyle name="20% - Accent2 5 3 10" xfId="8942" xr:uid="{00000000-0005-0000-0000-0000D70C0000}"/>
    <cellStyle name="20% - Accent2 5 3 10 2" xfId="23417" xr:uid="{00000000-0005-0000-0000-0000D80C0000}"/>
    <cellStyle name="20% - Accent2 5 3 11" xfId="18196" xr:uid="{00000000-0005-0000-0000-0000D90C0000}"/>
    <cellStyle name="20% - Accent2 5 3 2" xfId="874" xr:uid="{00000000-0005-0000-0000-0000DA0C0000}"/>
    <cellStyle name="20% - Accent2 5 3 2 2" xfId="875" xr:uid="{00000000-0005-0000-0000-0000DB0C0000}"/>
    <cellStyle name="20% - Accent2 5 3 2 2 2" xfId="10668" xr:uid="{00000000-0005-0000-0000-0000DC0C0000}"/>
    <cellStyle name="20% - Accent2 5 3 2 2 2 2" xfId="24610" xr:uid="{00000000-0005-0000-0000-0000DD0C0000}"/>
    <cellStyle name="20% - Accent2 5 3 2 2 3" xfId="18198" xr:uid="{00000000-0005-0000-0000-0000DE0C0000}"/>
    <cellStyle name="20% - Accent2 5 3 2 3" xfId="876" xr:uid="{00000000-0005-0000-0000-0000DF0C0000}"/>
    <cellStyle name="20% - Accent2 5 3 2 3 2" xfId="12546" xr:uid="{00000000-0005-0000-0000-0000E00C0000}"/>
    <cellStyle name="20% - Accent2 5 3 2 3 2 2" xfId="26258" xr:uid="{00000000-0005-0000-0000-0000E10C0000}"/>
    <cellStyle name="20% - Accent2 5 3 2 3 3" xfId="18199" xr:uid="{00000000-0005-0000-0000-0000E20C0000}"/>
    <cellStyle name="20% - Accent2 5 3 2 4" xfId="877" xr:uid="{00000000-0005-0000-0000-0000E30C0000}"/>
    <cellStyle name="20% - Accent2 5 3 2 4 2" xfId="14720" xr:uid="{00000000-0005-0000-0000-0000E40C0000}"/>
    <cellStyle name="20% - Accent2 5 3 2 4 2 2" xfId="28269" xr:uid="{00000000-0005-0000-0000-0000E50C0000}"/>
    <cellStyle name="20% - Accent2 5 3 2 4 3" xfId="18200" xr:uid="{00000000-0005-0000-0000-0000E60C0000}"/>
    <cellStyle name="20% - Accent2 5 3 2 5" xfId="878" xr:uid="{00000000-0005-0000-0000-0000E70C0000}"/>
    <cellStyle name="20% - Accent2 5 3 2 5 2" xfId="16730" xr:uid="{00000000-0005-0000-0000-0000E80C0000}"/>
    <cellStyle name="20% - Accent2 5 3 2 5 2 2" xfId="30137" xr:uid="{00000000-0005-0000-0000-0000E90C0000}"/>
    <cellStyle name="20% - Accent2 5 3 2 5 3" xfId="18201" xr:uid="{00000000-0005-0000-0000-0000EA0C0000}"/>
    <cellStyle name="20% - Accent2 5 3 2 6" xfId="8943" xr:uid="{00000000-0005-0000-0000-0000EB0C0000}"/>
    <cellStyle name="20% - Accent2 5 3 2 6 2" xfId="23418" xr:uid="{00000000-0005-0000-0000-0000EC0C0000}"/>
    <cellStyle name="20% - Accent2 5 3 2 7" xfId="18197" xr:uid="{00000000-0005-0000-0000-0000ED0C0000}"/>
    <cellStyle name="20% - Accent2 5 3 3" xfId="879" xr:uid="{00000000-0005-0000-0000-0000EE0C0000}"/>
    <cellStyle name="20% - Accent2 5 3 3 2" xfId="880" xr:uid="{00000000-0005-0000-0000-0000EF0C0000}"/>
    <cellStyle name="20% - Accent2 5 3 3 2 2" xfId="14721" xr:uid="{00000000-0005-0000-0000-0000F00C0000}"/>
    <cellStyle name="20% - Accent2 5 3 3 2 2 2" xfId="28270" xr:uid="{00000000-0005-0000-0000-0000F10C0000}"/>
    <cellStyle name="20% - Accent2 5 3 3 2 3" xfId="18203" xr:uid="{00000000-0005-0000-0000-0000F20C0000}"/>
    <cellStyle name="20% - Accent2 5 3 3 3" xfId="10667" xr:uid="{00000000-0005-0000-0000-0000F30C0000}"/>
    <cellStyle name="20% - Accent2 5 3 3 3 2" xfId="24609" xr:uid="{00000000-0005-0000-0000-0000F40C0000}"/>
    <cellStyle name="20% - Accent2 5 3 3 4" xfId="18202" xr:uid="{00000000-0005-0000-0000-0000F50C0000}"/>
    <cellStyle name="20% - Accent2 5 3 4" xfId="881" xr:uid="{00000000-0005-0000-0000-0000F60C0000}"/>
    <cellStyle name="20% - Accent2 5 3 4 2" xfId="12118" xr:uid="{00000000-0005-0000-0000-0000F70C0000}"/>
    <cellStyle name="20% - Accent2 5 3 4 2 2" xfId="25830" xr:uid="{00000000-0005-0000-0000-0000F80C0000}"/>
    <cellStyle name="20% - Accent2 5 3 4 3" xfId="18204" xr:uid="{00000000-0005-0000-0000-0000F90C0000}"/>
    <cellStyle name="20% - Accent2 5 3 5" xfId="882" xr:uid="{00000000-0005-0000-0000-0000FA0C0000}"/>
    <cellStyle name="20% - Accent2 5 3 5 2" xfId="11752" xr:uid="{00000000-0005-0000-0000-0000FB0C0000}"/>
    <cellStyle name="20% - Accent2 5 3 5 2 2" xfId="25467" xr:uid="{00000000-0005-0000-0000-0000FC0C0000}"/>
    <cellStyle name="20% - Accent2 5 3 5 3" xfId="18205" xr:uid="{00000000-0005-0000-0000-0000FD0C0000}"/>
    <cellStyle name="20% - Accent2 5 3 6" xfId="883" xr:uid="{00000000-0005-0000-0000-0000FE0C0000}"/>
    <cellStyle name="20% - Accent2 5 3 6 2" xfId="13682" xr:uid="{00000000-0005-0000-0000-0000FF0C0000}"/>
    <cellStyle name="20% - Accent2 5 3 6 2 2" xfId="27231" xr:uid="{00000000-0005-0000-0000-0000000D0000}"/>
    <cellStyle name="20% - Accent2 5 3 6 3" xfId="18206" xr:uid="{00000000-0005-0000-0000-0000010D0000}"/>
    <cellStyle name="20% - Accent2 5 3 7" xfId="884" xr:uid="{00000000-0005-0000-0000-0000020D0000}"/>
    <cellStyle name="20% - Accent2 5 3 7 2" xfId="14263" xr:uid="{00000000-0005-0000-0000-0000030D0000}"/>
    <cellStyle name="20% - Accent2 5 3 7 2 2" xfId="27812" xr:uid="{00000000-0005-0000-0000-0000040D0000}"/>
    <cellStyle name="20% - Accent2 5 3 7 3" xfId="18207" xr:uid="{00000000-0005-0000-0000-0000050D0000}"/>
    <cellStyle name="20% - Accent2 5 3 8" xfId="885" xr:uid="{00000000-0005-0000-0000-0000060D0000}"/>
    <cellStyle name="20% - Accent2 5 3 8 2" xfId="14719" xr:uid="{00000000-0005-0000-0000-0000070D0000}"/>
    <cellStyle name="20% - Accent2 5 3 8 2 2" xfId="28268" xr:uid="{00000000-0005-0000-0000-0000080D0000}"/>
    <cellStyle name="20% - Accent2 5 3 8 3" xfId="18208" xr:uid="{00000000-0005-0000-0000-0000090D0000}"/>
    <cellStyle name="20% - Accent2 5 3 9" xfId="886" xr:uid="{00000000-0005-0000-0000-00000A0D0000}"/>
    <cellStyle name="20% - Accent2 5 3 9 2" xfId="16149" xr:uid="{00000000-0005-0000-0000-00000B0D0000}"/>
    <cellStyle name="20% - Accent2 5 3 9 2 2" xfId="29556" xr:uid="{00000000-0005-0000-0000-00000C0D0000}"/>
    <cellStyle name="20% - Accent2 5 3 9 3" xfId="18209" xr:uid="{00000000-0005-0000-0000-00000D0D0000}"/>
    <cellStyle name="20% - Accent2 5 4" xfId="887" xr:uid="{00000000-0005-0000-0000-00000E0D0000}"/>
    <cellStyle name="20% - Accent2 5 4 2" xfId="888" xr:uid="{00000000-0005-0000-0000-00000F0D0000}"/>
    <cellStyle name="20% - Accent2 5 4 2 2" xfId="10669" xr:uid="{00000000-0005-0000-0000-0000100D0000}"/>
    <cellStyle name="20% - Accent2 5 4 2 2 2" xfId="24611" xr:uid="{00000000-0005-0000-0000-0000110D0000}"/>
    <cellStyle name="20% - Accent2 5 4 2 3" xfId="18211" xr:uid="{00000000-0005-0000-0000-0000120D0000}"/>
    <cellStyle name="20% - Accent2 5 4 3" xfId="889" xr:uid="{00000000-0005-0000-0000-0000130D0000}"/>
    <cellStyle name="20% - Accent2 5 4 3 2" xfId="12567" xr:uid="{00000000-0005-0000-0000-0000140D0000}"/>
    <cellStyle name="20% - Accent2 5 4 3 2 2" xfId="26279" xr:uid="{00000000-0005-0000-0000-0000150D0000}"/>
    <cellStyle name="20% - Accent2 5 4 3 3" xfId="18212" xr:uid="{00000000-0005-0000-0000-0000160D0000}"/>
    <cellStyle name="20% - Accent2 5 4 4" xfId="890" xr:uid="{00000000-0005-0000-0000-0000170D0000}"/>
    <cellStyle name="20% - Accent2 5 4 4 2" xfId="14722" xr:uid="{00000000-0005-0000-0000-0000180D0000}"/>
    <cellStyle name="20% - Accent2 5 4 4 2 2" xfId="28271" xr:uid="{00000000-0005-0000-0000-0000190D0000}"/>
    <cellStyle name="20% - Accent2 5 4 4 3" xfId="18213" xr:uid="{00000000-0005-0000-0000-00001A0D0000}"/>
    <cellStyle name="20% - Accent2 5 4 5" xfId="891" xr:uid="{00000000-0005-0000-0000-00001B0D0000}"/>
    <cellStyle name="20% - Accent2 5 4 5 2" xfId="16444" xr:uid="{00000000-0005-0000-0000-00001C0D0000}"/>
    <cellStyle name="20% - Accent2 5 4 5 2 2" xfId="29851" xr:uid="{00000000-0005-0000-0000-00001D0D0000}"/>
    <cellStyle name="20% - Accent2 5 4 5 3" xfId="18214" xr:uid="{00000000-0005-0000-0000-00001E0D0000}"/>
    <cellStyle name="20% - Accent2 5 4 6" xfId="8944" xr:uid="{00000000-0005-0000-0000-00001F0D0000}"/>
    <cellStyle name="20% - Accent2 5 4 6 2" xfId="23419" xr:uid="{00000000-0005-0000-0000-0000200D0000}"/>
    <cellStyle name="20% - Accent2 5 4 7" xfId="18210" xr:uid="{00000000-0005-0000-0000-0000210D0000}"/>
    <cellStyle name="20% - Accent2 5 5" xfId="892" xr:uid="{00000000-0005-0000-0000-0000220D0000}"/>
    <cellStyle name="20% - Accent2 5 5 2" xfId="893" xr:uid="{00000000-0005-0000-0000-0000230D0000}"/>
    <cellStyle name="20% - Accent2 5 5 2 2" xfId="14723" xr:uid="{00000000-0005-0000-0000-0000240D0000}"/>
    <cellStyle name="20% - Accent2 5 5 2 2 2" xfId="28272" xr:uid="{00000000-0005-0000-0000-0000250D0000}"/>
    <cellStyle name="20% - Accent2 5 5 2 3" xfId="18216" xr:uid="{00000000-0005-0000-0000-0000260D0000}"/>
    <cellStyle name="20% - Accent2 5 5 3" xfId="10662" xr:uid="{00000000-0005-0000-0000-0000270D0000}"/>
    <cellStyle name="20% - Accent2 5 5 3 2" xfId="24604" xr:uid="{00000000-0005-0000-0000-0000280D0000}"/>
    <cellStyle name="20% - Accent2 5 5 4" xfId="18215" xr:uid="{00000000-0005-0000-0000-0000290D0000}"/>
    <cellStyle name="20% - Accent2 5 6" xfId="894" xr:uid="{00000000-0005-0000-0000-00002A0D0000}"/>
    <cellStyle name="20% - Accent2 5 6 2" xfId="11795" xr:uid="{00000000-0005-0000-0000-00002B0D0000}"/>
    <cellStyle name="20% - Accent2 5 6 2 2" xfId="25510" xr:uid="{00000000-0005-0000-0000-00002C0D0000}"/>
    <cellStyle name="20% - Accent2 5 6 3" xfId="18217" xr:uid="{00000000-0005-0000-0000-00002D0D0000}"/>
    <cellStyle name="20% - Accent2 5 7" xfId="895" xr:uid="{00000000-0005-0000-0000-00002E0D0000}"/>
    <cellStyle name="20% - Accent2 5 7 2" xfId="12412" xr:uid="{00000000-0005-0000-0000-00002F0D0000}"/>
    <cellStyle name="20% - Accent2 5 7 2 2" xfId="26124" xr:uid="{00000000-0005-0000-0000-0000300D0000}"/>
    <cellStyle name="20% - Accent2 5 7 3" xfId="18218" xr:uid="{00000000-0005-0000-0000-0000310D0000}"/>
    <cellStyle name="20% - Accent2 5 8" xfId="896" xr:uid="{00000000-0005-0000-0000-0000320D0000}"/>
    <cellStyle name="20% - Accent2 5 8 2" xfId="13396" xr:uid="{00000000-0005-0000-0000-0000330D0000}"/>
    <cellStyle name="20% - Accent2 5 8 2 2" xfId="26945" xr:uid="{00000000-0005-0000-0000-0000340D0000}"/>
    <cellStyle name="20% - Accent2 5 8 3" xfId="18219" xr:uid="{00000000-0005-0000-0000-0000350D0000}"/>
    <cellStyle name="20% - Accent2 5 9" xfId="897" xr:uid="{00000000-0005-0000-0000-0000360D0000}"/>
    <cellStyle name="20% - Accent2 5 9 2" xfId="13977" xr:uid="{00000000-0005-0000-0000-0000370D0000}"/>
    <cellStyle name="20% - Accent2 5 9 2 2" xfId="27526" xr:uid="{00000000-0005-0000-0000-0000380D0000}"/>
    <cellStyle name="20% - Accent2 5 9 3" xfId="18220" xr:uid="{00000000-0005-0000-0000-0000390D0000}"/>
    <cellStyle name="20% - Accent2 6" xfId="898" xr:uid="{00000000-0005-0000-0000-00003A0D0000}"/>
    <cellStyle name="20% - Accent2 6 10" xfId="899" xr:uid="{00000000-0005-0000-0000-00003B0D0000}"/>
    <cellStyle name="20% - Accent2 6 10 2" xfId="14724" xr:uid="{00000000-0005-0000-0000-00003C0D0000}"/>
    <cellStyle name="20% - Accent2 6 10 2 2" xfId="28273" xr:uid="{00000000-0005-0000-0000-00003D0D0000}"/>
    <cellStyle name="20% - Accent2 6 10 3" xfId="18222" xr:uid="{00000000-0005-0000-0000-00003E0D0000}"/>
    <cellStyle name="20% - Accent2 6 11" xfId="900" xr:uid="{00000000-0005-0000-0000-00003F0D0000}"/>
    <cellStyle name="20% - Accent2 6 11 2" xfId="15969" xr:uid="{00000000-0005-0000-0000-0000400D0000}"/>
    <cellStyle name="20% - Accent2 6 11 2 2" xfId="29376" xr:uid="{00000000-0005-0000-0000-0000410D0000}"/>
    <cellStyle name="20% - Accent2 6 11 3" xfId="18223" xr:uid="{00000000-0005-0000-0000-0000420D0000}"/>
    <cellStyle name="20% - Accent2 6 12" xfId="8945" xr:uid="{00000000-0005-0000-0000-0000430D0000}"/>
    <cellStyle name="20% - Accent2 6 12 2" xfId="23420" xr:uid="{00000000-0005-0000-0000-0000440D0000}"/>
    <cellStyle name="20% - Accent2 6 13" xfId="18221" xr:uid="{00000000-0005-0000-0000-0000450D0000}"/>
    <cellStyle name="20% - Accent2 6 2" xfId="901" xr:uid="{00000000-0005-0000-0000-0000460D0000}"/>
    <cellStyle name="20% - Accent2 6 2 10" xfId="902" xr:uid="{00000000-0005-0000-0000-0000470D0000}"/>
    <cellStyle name="20% - Accent2 6 2 10 2" xfId="16112" xr:uid="{00000000-0005-0000-0000-0000480D0000}"/>
    <cellStyle name="20% - Accent2 6 2 10 2 2" xfId="29519" xr:uid="{00000000-0005-0000-0000-0000490D0000}"/>
    <cellStyle name="20% - Accent2 6 2 10 3" xfId="18225" xr:uid="{00000000-0005-0000-0000-00004A0D0000}"/>
    <cellStyle name="20% - Accent2 6 2 11" xfId="8946" xr:uid="{00000000-0005-0000-0000-00004B0D0000}"/>
    <cellStyle name="20% - Accent2 6 2 11 2" xfId="23421" xr:uid="{00000000-0005-0000-0000-00004C0D0000}"/>
    <cellStyle name="20% - Accent2 6 2 12" xfId="18224" xr:uid="{00000000-0005-0000-0000-00004D0D0000}"/>
    <cellStyle name="20% - Accent2 6 2 2" xfId="903" xr:uid="{00000000-0005-0000-0000-00004E0D0000}"/>
    <cellStyle name="20% - Accent2 6 2 2 10" xfId="8947" xr:uid="{00000000-0005-0000-0000-00004F0D0000}"/>
    <cellStyle name="20% - Accent2 6 2 2 10 2" xfId="23422" xr:uid="{00000000-0005-0000-0000-0000500D0000}"/>
    <cellStyle name="20% - Accent2 6 2 2 11" xfId="18226" xr:uid="{00000000-0005-0000-0000-0000510D0000}"/>
    <cellStyle name="20% - Accent2 6 2 2 2" xfId="904" xr:uid="{00000000-0005-0000-0000-0000520D0000}"/>
    <cellStyle name="20% - Accent2 6 2 2 2 2" xfId="905" xr:uid="{00000000-0005-0000-0000-0000530D0000}"/>
    <cellStyle name="20% - Accent2 6 2 2 2 2 2" xfId="10673" xr:uid="{00000000-0005-0000-0000-0000540D0000}"/>
    <cellStyle name="20% - Accent2 6 2 2 2 2 2 2" xfId="24615" xr:uid="{00000000-0005-0000-0000-0000550D0000}"/>
    <cellStyle name="20% - Accent2 6 2 2 2 2 3" xfId="18228" xr:uid="{00000000-0005-0000-0000-0000560D0000}"/>
    <cellStyle name="20% - Accent2 6 2 2 2 3" xfId="906" xr:uid="{00000000-0005-0000-0000-0000570D0000}"/>
    <cellStyle name="20% - Accent2 6 2 2 2 3 2" xfId="12693" xr:uid="{00000000-0005-0000-0000-0000580D0000}"/>
    <cellStyle name="20% - Accent2 6 2 2 2 3 2 2" xfId="26405" xr:uid="{00000000-0005-0000-0000-0000590D0000}"/>
    <cellStyle name="20% - Accent2 6 2 2 2 3 3" xfId="18229" xr:uid="{00000000-0005-0000-0000-00005A0D0000}"/>
    <cellStyle name="20% - Accent2 6 2 2 2 4" xfId="907" xr:uid="{00000000-0005-0000-0000-00005B0D0000}"/>
    <cellStyle name="20% - Accent2 6 2 2 2 4 2" xfId="14727" xr:uid="{00000000-0005-0000-0000-00005C0D0000}"/>
    <cellStyle name="20% - Accent2 6 2 2 2 4 2 2" xfId="28276" xr:uid="{00000000-0005-0000-0000-00005D0D0000}"/>
    <cellStyle name="20% - Accent2 6 2 2 2 4 3" xfId="18230" xr:uid="{00000000-0005-0000-0000-00005E0D0000}"/>
    <cellStyle name="20% - Accent2 6 2 2 2 5" xfId="908" xr:uid="{00000000-0005-0000-0000-00005F0D0000}"/>
    <cellStyle name="20% - Accent2 6 2 2 2 5 2" xfId="16982" xr:uid="{00000000-0005-0000-0000-0000600D0000}"/>
    <cellStyle name="20% - Accent2 6 2 2 2 5 2 2" xfId="30389" xr:uid="{00000000-0005-0000-0000-0000610D0000}"/>
    <cellStyle name="20% - Accent2 6 2 2 2 5 3" xfId="18231" xr:uid="{00000000-0005-0000-0000-0000620D0000}"/>
    <cellStyle name="20% - Accent2 6 2 2 2 6" xfId="8948" xr:uid="{00000000-0005-0000-0000-0000630D0000}"/>
    <cellStyle name="20% - Accent2 6 2 2 2 6 2" xfId="23423" xr:uid="{00000000-0005-0000-0000-0000640D0000}"/>
    <cellStyle name="20% - Accent2 6 2 2 2 7" xfId="18227" xr:uid="{00000000-0005-0000-0000-0000650D0000}"/>
    <cellStyle name="20% - Accent2 6 2 2 3" xfId="909" xr:uid="{00000000-0005-0000-0000-0000660D0000}"/>
    <cellStyle name="20% - Accent2 6 2 2 3 2" xfId="910" xr:uid="{00000000-0005-0000-0000-0000670D0000}"/>
    <cellStyle name="20% - Accent2 6 2 2 3 2 2" xfId="14728" xr:uid="{00000000-0005-0000-0000-0000680D0000}"/>
    <cellStyle name="20% - Accent2 6 2 2 3 2 2 2" xfId="28277" xr:uid="{00000000-0005-0000-0000-0000690D0000}"/>
    <cellStyle name="20% - Accent2 6 2 2 3 2 3" xfId="18233" xr:uid="{00000000-0005-0000-0000-00006A0D0000}"/>
    <cellStyle name="20% - Accent2 6 2 2 3 3" xfId="10672" xr:uid="{00000000-0005-0000-0000-00006B0D0000}"/>
    <cellStyle name="20% - Accent2 6 2 2 3 3 2" xfId="24614" xr:uid="{00000000-0005-0000-0000-00006C0D0000}"/>
    <cellStyle name="20% - Accent2 6 2 2 3 4" xfId="18232" xr:uid="{00000000-0005-0000-0000-00006D0D0000}"/>
    <cellStyle name="20% - Accent2 6 2 2 4" xfId="911" xr:uid="{00000000-0005-0000-0000-00006E0D0000}"/>
    <cellStyle name="20% - Accent2 6 2 2 4 2" xfId="12370" xr:uid="{00000000-0005-0000-0000-00006F0D0000}"/>
    <cellStyle name="20% - Accent2 6 2 2 4 2 2" xfId="26082" xr:uid="{00000000-0005-0000-0000-0000700D0000}"/>
    <cellStyle name="20% - Accent2 6 2 2 4 3" xfId="18234" xr:uid="{00000000-0005-0000-0000-0000710D0000}"/>
    <cellStyle name="20% - Accent2 6 2 2 5" xfId="912" xr:uid="{00000000-0005-0000-0000-0000720D0000}"/>
    <cellStyle name="20% - Accent2 6 2 2 5 2" xfId="12785" xr:uid="{00000000-0005-0000-0000-0000730D0000}"/>
    <cellStyle name="20% - Accent2 6 2 2 5 2 2" xfId="26497" xr:uid="{00000000-0005-0000-0000-0000740D0000}"/>
    <cellStyle name="20% - Accent2 6 2 2 5 3" xfId="18235" xr:uid="{00000000-0005-0000-0000-0000750D0000}"/>
    <cellStyle name="20% - Accent2 6 2 2 6" xfId="913" xr:uid="{00000000-0005-0000-0000-0000760D0000}"/>
    <cellStyle name="20% - Accent2 6 2 2 6 2" xfId="13934" xr:uid="{00000000-0005-0000-0000-0000770D0000}"/>
    <cellStyle name="20% - Accent2 6 2 2 6 2 2" xfId="27483" xr:uid="{00000000-0005-0000-0000-0000780D0000}"/>
    <cellStyle name="20% - Accent2 6 2 2 6 3" xfId="18236" xr:uid="{00000000-0005-0000-0000-0000790D0000}"/>
    <cellStyle name="20% - Accent2 6 2 2 7" xfId="914" xr:uid="{00000000-0005-0000-0000-00007A0D0000}"/>
    <cellStyle name="20% - Accent2 6 2 2 7 2" xfId="14515" xr:uid="{00000000-0005-0000-0000-00007B0D0000}"/>
    <cellStyle name="20% - Accent2 6 2 2 7 2 2" xfId="28064" xr:uid="{00000000-0005-0000-0000-00007C0D0000}"/>
    <cellStyle name="20% - Accent2 6 2 2 7 3" xfId="18237" xr:uid="{00000000-0005-0000-0000-00007D0D0000}"/>
    <cellStyle name="20% - Accent2 6 2 2 8" xfId="915" xr:uid="{00000000-0005-0000-0000-00007E0D0000}"/>
    <cellStyle name="20% - Accent2 6 2 2 8 2" xfId="14726" xr:uid="{00000000-0005-0000-0000-00007F0D0000}"/>
    <cellStyle name="20% - Accent2 6 2 2 8 2 2" xfId="28275" xr:uid="{00000000-0005-0000-0000-0000800D0000}"/>
    <cellStyle name="20% - Accent2 6 2 2 8 3" xfId="18238" xr:uid="{00000000-0005-0000-0000-0000810D0000}"/>
    <cellStyle name="20% - Accent2 6 2 2 9" xfId="916" xr:uid="{00000000-0005-0000-0000-0000820D0000}"/>
    <cellStyle name="20% - Accent2 6 2 2 9 2" xfId="16401" xr:uid="{00000000-0005-0000-0000-0000830D0000}"/>
    <cellStyle name="20% - Accent2 6 2 2 9 2 2" xfId="29808" xr:uid="{00000000-0005-0000-0000-0000840D0000}"/>
    <cellStyle name="20% - Accent2 6 2 2 9 3" xfId="18239" xr:uid="{00000000-0005-0000-0000-0000850D0000}"/>
    <cellStyle name="20% - Accent2 6 2 3" xfId="917" xr:uid="{00000000-0005-0000-0000-0000860D0000}"/>
    <cellStyle name="20% - Accent2 6 2 3 2" xfId="918" xr:uid="{00000000-0005-0000-0000-0000870D0000}"/>
    <cellStyle name="20% - Accent2 6 2 3 2 2" xfId="10674" xr:uid="{00000000-0005-0000-0000-0000880D0000}"/>
    <cellStyle name="20% - Accent2 6 2 3 2 2 2" xfId="24616" xr:uid="{00000000-0005-0000-0000-0000890D0000}"/>
    <cellStyle name="20% - Accent2 6 2 3 2 3" xfId="18241" xr:uid="{00000000-0005-0000-0000-00008A0D0000}"/>
    <cellStyle name="20% - Accent2 6 2 3 3" xfId="919" xr:uid="{00000000-0005-0000-0000-00008B0D0000}"/>
    <cellStyle name="20% - Accent2 6 2 3 3 2" xfId="11857" xr:uid="{00000000-0005-0000-0000-00008C0D0000}"/>
    <cellStyle name="20% - Accent2 6 2 3 3 2 2" xfId="25572" xr:uid="{00000000-0005-0000-0000-00008D0D0000}"/>
    <cellStyle name="20% - Accent2 6 2 3 3 3" xfId="18242" xr:uid="{00000000-0005-0000-0000-00008E0D0000}"/>
    <cellStyle name="20% - Accent2 6 2 3 4" xfId="920" xr:uid="{00000000-0005-0000-0000-00008F0D0000}"/>
    <cellStyle name="20% - Accent2 6 2 3 4 2" xfId="14729" xr:uid="{00000000-0005-0000-0000-0000900D0000}"/>
    <cellStyle name="20% - Accent2 6 2 3 4 2 2" xfId="28278" xr:uid="{00000000-0005-0000-0000-0000910D0000}"/>
    <cellStyle name="20% - Accent2 6 2 3 4 3" xfId="18243" xr:uid="{00000000-0005-0000-0000-0000920D0000}"/>
    <cellStyle name="20% - Accent2 6 2 3 5" xfId="921" xr:uid="{00000000-0005-0000-0000-0000930D0000}"/>
    <cellStyle name="20% - Accent2 6 2 3 5 2" xfId="16693" xr:uid="{00000000-0005-0000-0000-0000940D0000}"/>
    <cellStyle name="20% - Accent2 6 2 3 5 2 2" xfId="30100" xr:uid="{00000000-0005-0000-0000-0000950D0000}"/>
    <cellStyle name="20% - Accent2 6 2 3 5 3" xfId="18244" xr:uid="{00000000-0005-0000-0000-0000960D0000}"/>
    <cellStyle name="20% - Accent2 6 2 3 6" xfId="8949" xr:uid="{00000000-0005-0000-0000-0000970D0000}"/>
    <cellStyle name="20% - Accent2 6 2 3 6 2" xfId="23424" xr:uid="{00000000-0005-0000-0000-0000980D0000}"/>
    <cellStyle name="20% - Accent2 6 2 3 7" xfId="18240" xr:uid="{00000000-0005-0000-0000-0000990D0000}"/>
    <cellStyle name="20% - Accent2 6 2 4" xfId="922" xr:uid="{00000000-0005-0000-0000-00009A0D0000}"/>
    <cellStyle name="20% - Accent2 6 2 4 2" xfId="923" xr:uid="{00000000-0005-0000-0000-00009B0D0000}"/>
    <cellStyle name="20% - Accent2 6 2 4 2 2" xfId="14730" xr:uid="{00000000-0005-0000-0000-00009C0D0000}"/>
    <cellStyle name="20% - Accent2 6 2 4 2 2 2" xfId="28279" xr:uid="{00000000-0005-0000-0000-00009D0D0000}"/>
    <cellStyle name="20% - Accent2 6 2 4 2 3" xfId="18246" xr:uid="{00000000-0005-0000-0000-00009E0D0000}"/>
    <cellStyle name="20% - Accent2 6 2 4 3" xfId="10671" xr:uid="{00000000-0005-0000-0000-00009F0D0000}"/>
    <cellStyle name="20% - Accent2 6 2 4 3 2" xfId="24613" xr:uid="{00000000-0005-0000-0000-0000A00D0000}"/>
    <cellStyle name="20% - Accent2 6 2 4 4" xfId="18245" xr:uid="{00000000-0005-0000-0000-0000A10D0000}"/>
    <cellStyle name="20% - Accent2 6 2 5" xfId="924" xr:uid="{00000000-0005-0000-0000-0000A20D0000}"/>
    <cellStyle name="20% - Accent2 6 2 5 2" xfId="12070" xr:uid="{00000000-0005-0000-0000-0000A30D0000}"/>
    <cellStyle name="20% - Accent2 6 2 5 2 2" xfId="25785" xr:uid="{00000000-0005-0000-0000-0000A40D0000}"/>
    <cellStyle name="20% - Accent2 6 2 5 3" xfId="18247" xr:uid="{00000000-0005-0000-0000-0000A50D0000}"/>
    <cellStyle name="20% - Accent2 6 2 6" xfId="925" xr:uid="{00000000-0005-0000-0000-0000A60D0000}"/>
    <cellStyle name="20% - Accent2 6 2 6 2" xfId="12784" xr:uid="{00000000-0005-0000-0000-0000A70D0000}"/>
    <cellStyle name="20% - Accent2 6 2 6 2 2" xfId="26496" xr:uid="{00000000-0005-0000-0000-0000A80D0000}"/>
    <cellStyle name="20% - Accent2 6 2 6 3" xfId="18248" xr:uid="{00000000-0005-0000-0000-0000A90D0000}"/>
    <cellStyle name="20% - Accent2 6 2 7" xfId="926" xr:uid="{00000000-0005-0000-0000-0000AA0D0000}"/>
    <cellStyle name="20% - Accent2 6 2 7 2" xfId="13645" xr:uid="{00000000-0005-0000-0000-0000AB0D0000}"/>
    <cellStyle name="20% - Accent2 6 2 7 2 2" xfId="27194" xr:uid="{00000000-0005-0000-0000-0000AC0D0000}"/>
    <cellStyle name="20% - Accent2 6 2 7 3" xfId="18249" xr:uid="{00000000-0005-0000-0000-0000AD0D0000}"/>
    <cellStyle name="20% - Accent2 6 2 8" xfId="927" xr:uid="{00000000-0005-0000-0000-0000AE0D0000}"/>
    <cellStyle name="20% - Accent2 6 2 8 2" xfId="14226" xr:uid="{00000000-0005-0000-0000-0000AF0D0000}"/>
    <cellStyle name="20% - Accent2 6 2 8 2 2" xfId="27775" xr:uid="{00000000-0005-0000-0000-0000B00D0000}"/>
    <cellStyle name="20% - Accent2 6 2 8 3" xfId="18250" xr:uid="{00000000-0005-0000-0000-0000B10D0000}"/>
    <cellStyle name="20% - Accent2 6 2 9" xfId="928" xr:uid="{00000000-0005-0000-0000-0000B20D0000}"/>
    <cellStyle name="20% - Accent2 6 2 9 2" xfId="14725" xr:uid="{00000000-0005-0000-0000-0000B30D0000}"/>
    <cellStyle name="20% - Accent2 6 2 9 2 2" xfId="28274" xr:uid="{00000000-0005-0000-0000-0000B40D0000}"/>
    <cellStyle name="20% - Accent2 6 2 9 3" xfId="18251" xr:uid="{00000000-0005-0000-0000-0000B50D0000}"/>
    <cellStyle name="20% - Accent2 6 3" xfId="929" xr:uid="{00000000-0005-0000-0000-0000B60D0000}"/>
    <cellStyle name="20% - Accent2 6 3 10" xfId="8950" xr:uid="{00000000-0005-0000-0000-0000B70D0000}"/>
    <cellStyle name="20% - Accent2 6 3 10 2" xfId="23425" xr:uid="{00000000-0005-0000-0000-0000B80D0000}"/>
    <cellStyle name="20% - Accent2 6 3 11" xfId="18252" xr:uid="{00000000-0005-0000-0000-0000B90D0000}"/>
    <cellStyle name="20% - Accent2 6 3 2" xfId="930" xr:uid="{00000000-0005-0000-0000-0000BA0D0000}"/>
    <cellStyle name="20% - Accent2 6 3 2 2" xfId="931" xr:uid="{00000000-0005-0000-0000-0000BB0D0000}"/>
    <cellStyle name="20% - Accent2 6 3 2 2 2" xfId="10676" xr:uid="{00000000-0005-0000-0000-0000BC0D0000}"/>
    <cellStyle name="20% - Accent2 6 3 2 2 2 2" xfId="24618" xr:uid="{00000000-0005-0000-0000-0000BD0D0000}"/>
    <cellStyle name="20% - Accent2 6 3 2 2 3" xfId="18254" xr:uid="{00000000-0005-0000-0000-0000BE0D0000}"/>
    <cellStyle name="20% - Accent2 6 3 2 3" xfId="932" xr:uid="{00000000-0005-0000-0000-0000BF0D0000}"/>
    <cellStyle name="20% - Accent2 6 3 2 3 2" xfId="12726" xr:uid="{00000000-0005-0000-0000-0000C00D0000}"/>
    <cellStyle name="20% - Accent2 6 3 2 3 2 2" xfId="26438" xr:uid="{00000000-0005-0000-0000-0000C10D0000}"/>
    <cellStyle name="20% - Accent2 6 3 2 3 3" xfId="18255" xr:uid="{00000000-0005-0000-0000-0000C20D0000}"/>
    <cellStyle name="20% - Accent2 6 3 2 4" xfId="933" xr:uid="{00000000-0005-0000-0000-0000C30D0000}"/>
    <cellStyle name="20% - Accent2 6 3 2 4 2" xfId="14732" xr:uid="{00000000-0005-0000-0000-0000C40D0000}"/>
    <cellStyle name="20% - Accent2 6 3 2 4 2 2" xfId="28281" xr:uid="{00000000-0005-0000-0000-0000C50D0000}"/>
    <cellStyle name="20% - Accent2 6 3 2 4 3" xfId="18256" xr:uid="{00000000-0005-0000-0000-0000C60D0000}"/>
    <cellStyle name="20% - Accent2 6 3 2 5" xfId="934" xr:uid="{00000000-0005-0000-0000-0000C70D0000}"/>
    <cellStyle name="20% - Accent2 6 3 2 5 2" xfId="16839" xr:uid="{00000000-0005-0000-0000-0000C80D0000}"/>
    <cellStyle name="20% - Accent2 6 3 2 5 2 2" xfId="30246" xr:uid="{00000000-0005-0000-0000-0000C90D0000}"/>
    <cellStyle name="20% - Accent2 6 3 2 5 3" xfId="18257" xr:uid="{00000000-0005-0000-0000-0000CA0D0000}"/>
    <cellStyle name="20% - Accent2 6 3 2 6" xfId="8951" xr:uid="{00000000-0005-0000-0000-0000CB0D0000}"/>
    <cellStyle name="20% - Accent2 6 3 2 6 2" xfId="23426" xr:uid="{00000000-0005-0000-0000-0000CC0D0000}"/>
    <cellStyle name="20% - Accent2 6 3 2 7" xfId="18253" xr:uid="{00000000-0005-0000-0000-0000CD0D0000}"/>
    <cellStyle name="20% - Accent2 6 3 3" xfId="935" xr:uid="{00000000-0005-0000-0000-0000CE0D0000}"/>
    <cellStyle name="20% - Accent2 6 3 3 2" xfId="936" xr:uid="{00000000-0005-0000-0000-0000CF0D0000}"/>
    <cellStyle name="20% - Accent2 6 3 3 2 2" xfId="14733" xr:uid="{00000000-0005-0000-0000-0000D00D0000}"/>
    <cellStyle name="20% - Accent2 6 3 3 2 2 2" xfId="28282" xr:uid="{00000000-0005-0000-0000-0000D10D0000}"/>
    <cellStyle name="20% - Accent2 6 3 3 2 3" xfId="18259" xr:uid="{00000000-0005-0000-0000-0000D20D0000}"/>
    <cellStyle name="20% - Accent2 6 3 3 3" xfId="10675" xr:uid="{00000000-0005-0000-0000-0000D30D0000}"/>
    <cellStyle name="20% - Accent2 6 3 3 3 2" xfId="24617" xr:uid="{00000000-0005-0000-0000-0000D40D0000}"/>
    <cellStyle name="20% - Accent2 6 3 3 4" xfId="18258" xr:uid="{00000000-0005-0000-0000-0000D50D0000}"/>
    <cellStyle name="20% - Accent2 6 3 4" xfId="937" xr:uid="{00000000-0005-0000-0000-0000D60D0000}"/>
    <cellStyle name="20% - Accent2 6 3 4 2" xfId="12227" xr:uid="{00000000-0005-0000-0000-0000D70D0000}"/>
    <cellStyle name="20% - Accent2 6 3 4 2 2" xfId="25939" xr:uid="{00000000-0005-0000-0000-0000D80D0000}"/>
    <cellStyle name="20% - Accent2 6 3 4 3" xfId="18260" xr:uid="{00000000-0005-0000-0000-0000D90D0000}"/>
    <cellStyle name="20% - Accent2 6 3 5" xfId="938" xr:uid="{00000000-0005-0000-0000-0000DA0D0000}"/>
    <cellStyle name="20% - Accent2 6 3 5 2" xfId="12731" xr:uid="{00000000-0005-0000-0000-0000DB0D0000}"/>
    <cellStyle name="20% - Accent2 6 3 5 2 2" xfId="26443" xr:uid="{00000000-0005-0000-0000-0000DC0D0000}"/>
    <cellStyle name="20% - Accent2 6 3 5 3" xfId="18261" xr:uid="{00000000-0005-0000-0000-0000DD0D0000}"/>
    <cellStyle name="20% - Accent2 6 3 6" xfId="939" xr:uid="{00000000-0005-0000-0000-0000DE0D0000}"/>
    <cellStyle name="20% - Accent2 6 3 6 2" xfId="13791" xr:uid="{00000000-0005-0000-0000-0000DF0D0000}"/>
    <cellStyle name="20% - Accent2 6 3 6 2 2" xfId="27340" xr:uid="{00000000-0005-0000-0000-0000E00D0000}"/>
    <cellStyle name="20% - Accent2 6 3 6 3" xfId="18262" xr:uid="{00000000-0005-0000-0000-0000E10D0000}"/>
    <cellStyle name="20% - Accent2 6 3 7" xfId="940" xr:uid="{00000000-0005-0000-0000-0000E20D0000}"/>
    <cellStyle name="20% - Accent2 6 3 7 2" xfId="14372" xr:uid="{00000000-0005-0000-0000-0000E30D0000}"/>
    <cellStyle name="20% - Accent2 6 3 7 2 2" xfId="27921" xr:uid="{00000000-0005-0000-0000-0000E40D0000}"/>
    <cellStyle name="20% - Accent2 6 3 7 3" xfId="18263" xr:uid="{00000000-0005-0000-0000-0000E50D0000}"/>
    <cellStyle name="20% - Accent2 6 3 8" xfId="941" xr:uid="{00000000-0005-0000-0000-0000E60D0000}"/>
    <cellStyle name="20% - Accent2 6 3 8 2" xfId="14731" xr:uid="{00000000-0005-0000-0000-0000E70D0000}"/>
    <cellStyle name="20% - Accent2 6 3 8 2 2" xfId="28280" xr:uid="{00000000-0005-0000-0000-0000E80D0000}"/>
    <cellStyle name="20% - Accent2 6 3 8 3" xfId="18264" xr:uid="{00000000-0005-0000-0000-0000E90D0000}"/>
    <cellStyle name="20% - Accent2 6 3 9" xfId="942" xr:uid="{00000000-0005-0000-0000-0000EA0D0000}"/>
    <cellStyle name="20% - Accent2 6 3 9 2" xfId="16258" xr:uid="{00000000-0005-0000-0000-0000EB0D0000}"/>
    <cellStyle name="20% - Accent2 6 3 9 2 2" xfId="29665" xr:uid="{00000000-0005-0000-0000-0000EC0D0000}"/>
    <cellStyle name="20% - Accent2 6 3 9 3" xfId="18265" xr:uid="{00000000-0005-0000-0000-0000ED0D0000}"/>
    <cellStyle name="20% - Accent2 6 4" xfId="943" xr:uid="{00000000-0005-0000-0000-0000EE0D0000}"/>
    <cellStyle name="20% - Accent2 6 4 2" xfId="944" xr:uid="{00000000-0005-0000-0000-0000EF0D0000}"/>
    <cellStyle name="20% - Accent2 6 4 2 2" xfId="10677" xr:uid="{00000000-0005-0000-0000-0000F00D0000}"/>
    <cellStyle name="20% - Accent2 6 4 2 2 2" xfId="24619" xr:uid="{00000000-0005-0000-0000-0000F10D0000}"/>
    <cellStyle name="20% - Accent2 6 4 2 3" xfId="18267" xr:uid="{00000000-0005-0000-0000-0000F20D0000}"/>
    <cellStyle name="20% - Accent2 6 4 3" xfId="945" xr:uid="{00000000-0005-0000-0000-0000F30D0000}"/>
    <cellStyle name="20% - Accent2 6 4 3 2" xfId="12753" xr:uid="{00000000-0005-0000-0000-0000F40D0000}"/>
    <cellStyle name="20% - Accent2 6 4 3 2 2" xfId="26465" xr:uid="{00000000-0005-0000-0000-0000F50D0000}"/>
    <cellStyle name="20% - Accent2 6 4 3 3" xfId="18268" xr:uid="{00000000-0005-0000-0000-0000F60D0000}"/>
    <cellStyle name="20% - Accent2 6 4 4" xfId="946" xr:uid="{00000000-0005-0000-0000-0000F70D0000}"/>
    <cellStyle name="20% - Accent2 6 4 4 2" xfId="14734" xr:uid="{00000000-0005-0000-0000-0000F80D0000}"/>
    <cellStyle name="20% - Accent2 6 4 4 2 2" xfId="28283" xr:uid="{00000000-0005-0000-0000-0000F90D0000}"/>
    <cellStyle name="20% - Accent2 6 4 4 3" xfId="18269" xr:uid="{00000000-0005-0000-0000-0000FA0D0000}"/>
    <cellStyle name="20% - Accent2 6 4 5" xfId="947" xr:uid="{00000000-0005-0000-0000-0000FB0D0000}"/>
    <cellStyle name="20% - Accent2 6 4 5 2" xfId="16550" xr:uid="{00000000-0005-0000-0000-0000FC0D0000}"/>
    <cellStyle name="20% - Accent2 6 4 5 2 2" xfId="29957" xr:uid="{00000000-0005-0000-0000-0000FD0D0000}"/>
    <cellStyle name="20% - Accent2 6 4 5 3" xfId="18270" xr:uid="{00000000-0005-0000-0000-0000FE0D0000}"/>
    <cellStyle name="20% - Accent2 6 4 6" xfId="8952" xr:uid="{00000000-0005-0000-0000-0000FF0D0000}"/>
    <cellStyle name="20% - Accent2 6 4 6 2" xfId="23427" xr:uid="{00000000-0005-0000-0000-0000000E0000}"/>
    <cellStyle name="20% - Accent2 6 4 7" xfId="18266" xr:uid="{00000000-0005-0000-0000-0000010E0000}"/>
    <cellStyle name="20% - Accent2 6 5" xfId="948" xr:uid="{00000000-0005-0000-0000-0000020E0000}"/>
    <cellStyle name="20% - Accent2 6 5 2" xfId="949" xr:uid="{00000000-0005-0000-0000-0000030E0000}"/>
    <cellStyle name="20% - Accent2 6 5 2 2" xfId="14735" xr:uid="{00000000-0005-0000-0000-0000040E0000}"/>
    <cellStyle name="20% - Accent2 6 5 2 2 2" xfId="28284" xr:uid="{00000000-0005-0000-0000-0000050E0000}"/>
    <cellStyle name="20% - Accent2 6 5 2 3" xfId="18272" xr:uid="{00000000-0005-0000-0000-0000060E0000}"/>
    <cellStyle name="20% - Accent2 6 5 3" xfId="10670" xr:uid="{00000000-0005-0000-0000-0000070E0000}"/>
    <cellStyle name="20% - Accent2 6 5 3 2" xfId="24612" xr:uid="{00000000-0005-0000-0000-0000080E0000}"/>
    <cellStyle name="20% - Accent2 6 5 4" xfId="18271" xr:uid="{00000000-0005-0000-0000-0000090E0000}"/>
    <cellStyle name="20% - Accent2 6 6" xfId="950" xr:uid="{00000000-0005-0000-0000-00000A0E0000}"/>
    <cellStyle name="20% - Accent2 6 6 2" xfId="11925" xr:uid="{00000000-0005-0000-0000-00000B0E0000}"/>
    <cellStyle name="20% - Accent2 6 6 2 2" xfId="25640" xr:uid="{00000000-0005-0000-0000-00000C0E0000}"/>
    <cellStyle name="20% - Accent2 6 6 3" xfId="18273" xr:uid="{00000000-0005-0000-0000-00000D0E0000}"/>
    <cellStyle name="20% - Accent2 6 7" xfId="951" xr:uid="{00000000-0005-0000-0000-00000E0E0000}"/>
    <cellStyle name="20% - Accent2 6 7 2" xfId="12427" xr:uid="{00000000-0005-0000-0000-00000F0E0000}"/>
    <cellStyle name="20% - Accent2 6 7 2 2" xfId="26139" xr:uid="{00000000-0005-0000-0000-0000100E0000}"/>
    <cellStyle name="20% - Accent2 6 7 3" xfId="18274" xr:uid="{00000000-0005-0000-0000-0000110E0000}"/>
    <cellStyle name="20% - Accent2 6 8" xfId="952" xr:uid="{00000000-0005-0000-0000-0000120E0000}"/>
    <cellStyle name="20% - Accent2 6 8 2" xfId="13502" xr:uid="{00000000-0005-0000-0000-0000130E0000}"/>
    <cellStyle name="20% - Accent2 6 8 2 2" xfId="27051" xr:uid="{00000000-0005-0000-0000-0000140E0000}"/>
    <cellStyle name="20% - Accent2 6 8 3" xfId="18275" xr:uid="{00000000-0005-0000-0000-0000150E0000}"/>
    <cellStyle name="20% - Accent2 6 9" xfId="953" xr:uid="{00000000-0005-0000-0000-0000160E0000}"/>
    <cellStyle name="20% - Accent2 6 9 2" xfId="14083" xr:uid="{00000000-0005-0000-0000-0000170E0000}"/>
    <cellStyle name="20% - Accent2 6 9 2 2" xfId="27632" xr:uid="{00000000-0005-0000-0000-0000180E0000}"/>
    <cellStyle name="20% - Accent2 6 9 3" xfId="18276" xr:uid="{00000000-0005-0000-0000-0000190E0000}"/>
    <cellStyle name="20% - Accent2 7" xfId="954" xr:uid="{00000000-0005-0000-0000-00001A0E0000}"/>
    <cellStyle name="20% - Accent2 7 10" xfId="955" xr:uid="{00000000-0005-0000-0000-00001B0E0000}"/>
    <cellStyle name="20% - Accent2 7 10 2" xfId="15990" xr:uid="{00000000-0005-0000-0000-00001C0E0000}"/>
    <cellStyle name="20% - Accent2 7 10 2 2" xfId="29397" xr:uid="{00000000-0005-0000-0000-00001D0E0000}"/>
    <cellStyle name="20% - Accent2 7 10 3" xfId="18278" xr:uid="{00000000-0005-0000-0000-00001E0E0000}"/>
    <cellStyle name="20% - Accent2 7 11" xfId="8953" xr:uid="{00000000-0005-0000-0000-00001F0E0000}"/>
    <cellStyle name="20% - Accent2 7 11 2" xfId="23428" xr:uid="{00000000-0005-0000-0000-0000200E0000}"/>
    <cellStyle name="20% - Accent2 7 12" xfId="18277" xr:uid="{00000000-0005-0000-0000-0000210E0000}"/>
    <cellStyle name="20% - Accent2 7 2" xfId="956" xr:uid="{00000000-0005-0000-0000-0000220E0000}"/>
    <cellStyle name="20% - Accent2 7 2 10" xfId="8954" xr:uid="{00000000-0005-0000-0000-0000230E0000}"/>
    <cellStyle name="20% - Accent2 7 2 10 2" xfId="23429" xr:uid="{00000000-0005-0000-0000-0000240E0000}"/>
    <cellStyle name="20% - Accent2 7 2 11" xfId="18279" xr:uid="{00000000-0005-0000-0000-0000250E0000}"/>
    <cellStyle name="20% - Accent2 7 2 2" xfId="957" xr:uid="{00000000-0005-0000-0000-0000260E0000}"/>
    <cellStyle name="20% - Accent2 7 2 2 2" xfId="958" xr:uid="{00000000-0005-0000-0000-0000270E0000}"/>
    <cellStyle name="20% - Accent2 7 2 2 2 2" xfId="10680" xr:uid="{00000000-0005-0000-0000-0000280E0000}"/>
    <cellStyle name="20% - Accent2 7 2 2 2 2 2" xfId="24622" xr:uid="{00000000-0005-0000-0000-0000290E0000}"/>
    <cellStyle name="20% - Accent2 7 2 2 2 3" xfId="18281" xr:uid="{00000000-0005-0000-0000-00002A0E0000}"/>
    <cellStyle name="20% - Accent2 7 2 2 3" xfId="959" xr:uid="{00000000-0005-0000-0000-00002B0E0000}"/>
    <cellStyle name="20% - Accent2 7 2 2 3 2" xfId="12483" xr:uid="{00000000-0005-0000-0000-00002C0E0000}"/>
    <cellStyle name="20% - Accent2 7 2 2 3 2 2" xfId="26195" xr:uid="{00000000-0005-0000-0000-00002D0E0000}"/>
    <cellStyle name="20% - Accent2 7 2 2 3 3" xfId="18282" xr:uid="{00000000-0005-0000-0000-00002E0E0000}"/>
    <cellStyle name="20% - Accent2 7 2 2 4" xfId="960" xr:uid="{00000000-0005-0000-0000-00002F0E0000}"/>
    <cellStyle name="20% - Accent2 7 2 2 4 2" xfId="14738" xr:uid="{00000000-0005-0000-0000-0000300E0000}"/>
    <cellStyle name="20% - Accent2 7 2 2 4 2 2" xfId="28287" xr:uid="{00000000-0005-0000-0000-0000310E0000}"/>
    <cellStyle name="20% - Accent2 7 2 2 4 3" xfId="18283" xr:uid="{00000000-0005-0000-0000-0000320E0000}"/>
    <cellStyle name="20% - Accent2 7 2 2 5" xfId="961" xr:uid="{00000000-0005-0000-0000-0000330E0000}"/>
    <cellStyle name="20% - Accent2 7 2 2 5 2" xfId="16860" xr:uid="{00000000-0005-0000-0000-0000340E0000}"/>
    <cellStyle name="20% - Accent2 7 2 2 5 2 2" xfId="30267" xr:uid="{00000000-0005-0000-0000-0000350E0000}"/>
    <cellStyle name="20% - Accent2 7 2 2 5 3" xfId="18284" xr:uid="{00000000-0005-0000-0000-0000360E0000}"/>
    <cellStyle name="20% - Accent2 7 2 2 6" xfId="8955" xr:uid="{00000000-0005-0000-0000-0000370E0000}"/>
    <cellStyle name="20% - Accent2 7 2 2 6 2" xfId="23430" xr:uid="{00000000-0005-0000-0000-0000380E0000}"/>
    <cellStyle name="20% - Accent2 7 2 2 7" xfId="18280" xr:uid="{00000000-0005-0000-0000-0000390E0000}"/>
    <cellStyle name="20% - Accent2 7 2 3" xfId="962" xr:uid="{00000000-0005-0000-0000-00003A0E0000}"/>
    <cellStyle name="20% - Accent2 7 2 3 2" xfId="963" xr:uid="{00000000-0005-0000-0000-00003B0E0000}"/>
    <cellStyle name="20% - Accent2 7 2 3 2 2" xfId="14739" xr:uid="{00000000-0005-0000-0000-00003C0E0000}"/>
    <cellStyle name="20% - Accent2 7 2 3 2 2 2" xfId="28288" xr:uid="{00000000-0005-0000-0000-00003D0E0000}"/>
    <cellStyle name="20% - Accent2 7 2 3 2 3" xfId="18286" xr:uid="{00000000-0005-0000-0000-00003E0E0000}"/>
    <cellStyle name="20% - Accent2 7 2 3 3" xfId="10679" xr:uid="{00000000-0005-0000-0000-00003F0E0000}"/>
    <cellStyle name="20% - Accent2 7 2 3 3 2" xfId="24621" xr:uid="{00000000-0005-0000-0000-0000400E0000}"/>
    <cellStyle name="20% - Accent2 7 2 3 4" xfId="18285" xr:uid="{00000000-0005-0000-0000-0000410E0000}"/>
    <cellStyle name="20% - Accent2 7 2 4" xfId="964" xr:uid="{00000000-0005-0000-0000-0000420E0000}"/>
    <cellStyle name="20% - Accent2 7 2 4 2" xfId="12248" xr:uid="{00000000-0005-0000-0000-0000430E0000}"/>
    <cellStyle name="20% - Accent2 7 2 4 2 2" xfId="25960" xr:uid="{00000000-0005-0000-0000-0000440E0000}"/>
    <cellStyle name="20% - Accent2 7 2 4 3" xfId="18287" xr:uid="{00000000-0005-0000-0000-0000450E0000}"/>
    <cellStyle name="20% - Accent2 7 2 5" xfId="965" xr:uid="{00000000-0005-0000-0000-0000460E0000}"/>
    <cellStyle name="20% - Accent2 7 2 5 2" xfId="11844" xr:uid="{00000000-0005-0000-0000-0000470E0000}"/>
    <cellStyle name="20% - Accent2 7 2 5 2 2" xfId="25559" xr:uid="{00000000-0005-0000-0000-0000480E0000}"/>
    <cellStyle name="20% - Accent2 7 2 5 3" xfId="18288" xr:uid="{00000000-0005-0000-0000-0000490E0000}"/>
    <cellStyle name="20% - Accent2 7 2 6" xfId="966" xr:uid="{00000000-0005-0000-0000-00004A0E0000}"/>
    <cellStyle name="20% - Accent2 7 2 6 2" xfId="13812" xr:uid="{00000000-0005-0000-0000-00004B0E0000}"/>
    <cellStyle name="20% - Accent2 7 2 6 2 2" xfId="27361" xr:uid="{00000000-0005-0000-0000-00004C0E0000}"/>
    <cellStyle name="20% - Accent2 7 2 6 3" xfId="18289" xr:uid="{00000000-0005-0000-0000-00004D0E0000}"/>
    <cellStyle name="20% - Accent2 7 2 7" xfId="967" xr:uid="{00000000-0005-0000-0000-00004E0E0000}"/>
    <cellStyle name="20% - Accent2 7 2 7 2" xfId="14393" xr:uid="{00000000-0005-0000-0000-00004F0E0000}"/>
    <cellStyle name="20% - Accent2 7 2 7 2 2" xfId="27942" xr:uid="{00000000-0005-0000-0000-0000500E0000}"/>
    <cellStyle name="20% - Accent2 7 2 7 3" xfId="18290" xr:uid="{00000000-0005-0000-0000-0000510E0000}"/>
    <cellStyle name="20% - Accent2 7 2 8" xfId="968" xr:uid="{00000000-0005-0000-0000-0000520E0000}"/>
    <cellStyle name="20% - Accent2 7 2 8 2" xfId="14737" xr:uid="{00000000-0005-0000-0000-0000530E0000}"/>
    <cellStyle name="20% - Accent2 7 2 8 2 2" xfId="28286" xr:uid="{00000000-0005-0000-0000-0000540E0000}"/>
    <cellStyle name="20% - Accent2 7 2 8 3" xfId="18291" xr:uid="{00000000-0005-0000-0000-0000550E0000}"/>
    <cellStyle name="20% - Accent2 7 2 9" xfId="969" xr:uid="{00000000-0005-0000-0000-0000560E0000}"/>
    <cellStyle name="20% - Accent2 7 2 9 2" xfId="16279" xr:uid="{00000000-0005-0000-0000-0000570E0000}"/>
    <cellStyle name="20% - Accent2 7 2 9 2 2" xfId="29686" xr:uid="{00000000-0005-0000-0000-0000580E0000}"/>
    <cellStyle name="20% - Accent2 7 2 9 3" xfId="18292" xr:uid="{00000000-0005-0000-0000-0000590E0000}"/>
    <cellStyle name="20% - Accent2 7 3" xfId="970" xr:uid="{00000000-0005-0000-0000-00005A0E0000}"/>
    <cellStyle name="20% - Accent2 7 3 2" xfId="971" xr:uid="{00000000-0005-0000-0000-00005B0E0000}"/>
    <cellStyle name="20% - Accent2 7 3 2 2" xfId="10681" xr:uid="{00000000-0005-0000-0000-00005C0E0000}"/>
    <cellStyle name="20% - Accent2 7 3 2 2 2" xfId="24623" xr:uid="{00000000-0005-0000-0000-00005D0E0000}"/>
    <cellStyle name="20% - Accent2 7 3 2 3" xfId="18294" xr:uid="{00000000-0005-0000-0000-00005E0E0000}"/>
    <cellStyle name="20% - Accent2 7 3 3" xfId="972" xr:uid="{00000000-0005-0000-0000-00005F0E0000}"/>
    <cellStyle name="20% - Accent2 7 3 3 2" xfId="12604" xr:uid="{00000000-0005-0000-0000-0000600E0000}"/>
    <cellStyle name="20% - Accent2 7 3 3 2 2" xfId="26316" xr:uid="{00000000-0005-0000-0000-0000610E0000}"/>
    <cellStyle name="20% - Accent2 7 3 3 3" xfId="18295" xr:uid="{00000000-0005-0000-0000-0000620E0000}"/>
    <cellStyle name="20% - Accent2 7 3 4" xfId="973" xr:uid="{00000000-0005-0000-0000-0000630E0000}"/>
    <cellStyle name="20% - Accent2 7 3 4 2" xfId="14740" xr:uid="{00000000-0005-0000-0000-0000640E0000}"/>
    <cellStyle name="20% - Accent2 7 3 4 2 2" xfId="28289" xr:uid="{00000000-0005-0000-0000-0000650E0000}"/>
    <cellStyle name="20% - Accent2 7 3 4 3" xfId="18296" xr:uid="{00000000-0005-0000-0000-0000660E0000}"/>
    <cellStyle name="20% - Accent2 7 3 5" xfId="974" xr:uid="{00000000-0005-0000-0000-0000670E0000}"/>
    <cellStyle name="20% - Accent2 7 3 5 2" xfId="16571" xr:uid="{00000000-0005-0000-0000-0000680E0000}"/>
    <cellStyle name="20% - Accent2 7 3 5 2 2" xfId="29978" xr:uid="{00000000-0005-0000-0000-0000690E0000}"/>
    <cellStyle name="20% - Accent2 7 3 5 3" xfId="18297" xr:uid="{00000000-0005-0000-0000-00006A0E0000}"/>
    <cellStyle name="20% - Accent2 7 3 6" xfId="8956" xr:uid="{00000000-0005-0000-0000-00006B0E0000}"/>
    <cellStyle name="20% - Accent2 7 3 6 2" xfId="23431" xr:uid="{00000000-0005-0000-0000-00006C0E0000}"/>
    <cellStyle name="20% - Accent2 7 3 7" xfId="18293" xr:uid="{00000000-0005-0000-0000-00006D0E0000}"/>
    <cellStyle name="20% - Accent2 7 4" xfId="975" xr:uid="{00000000-0005-0000-0000-00006E0E0000}"/>
    <cellStyle name="20% - Accent2 7 4 2" xfId="976" xr:uid="{00000000-0005-0000-0000-00006F0E0000}"/>
    <cellStyle name="20% - Accent2 7 4 2 2" xfId="14741" xr:uid="{00000000-0005-0000-0000-0000700E0000}"/>
    <cellStyle name="20% - Accent2 7 4 2 2 2" xfId="28290" xr:uid="{00000000-0005-0000-0000-0000710E0000}"/>
    <cellStyle name="20% - Accent2 7 4 2 3" xfId="18299" xr:uid="{00000000-0005-0000-0000-0000720E0000}"/>
    <cellStyle name="20% - Accent2 7 4 3" xfId="10678" xr:uid="{00000000-0005-0000-0000-0000730E0000}"/>
    <cellStyle name="20% - Accent2 7 4 3 2" xfId="24620" xr:uid="{00000000-0005-0000-0000-0000740E0000}"/>
    <cellStyle name="20% - Accent2 7 4 4" xfId="18298" xr:uid="{00000000-0005-0000-0000-0000750E0000}"/>
    <cellStyle name="20% - Accent2 7 5" xfId="977" xr:uid="{00000000-0005-0000-0000-0000760E0000}"/>
    <cellStyle name="20% - Accent2 7 5 2" xfId="11946" xr:uid="{00000000-0005-0000-0000-0000770E0000}"/>
    <cellStyle name="20% - Accent2 7 5 2 2" xfId="25661" xr:uid="{00000000-0005-0000-0000-0000780E0000}"/>
    <cellStyle name="20% - Accent2 7 5 3" xfId="18300" xr:uid="{00000000-0005-0000-0000-0000790E0000}"/>
    <cellStyle name="20% - Accent2 7 6" xfId="978" xr:uid="{00000000-0005-0000-0000-00007A0E0000}"/>
    <cellStyle name="20% - Accent2 7 6 2" xfId="12586" xr:uid="{00000000-0005-0000-0000-00007B0E0000}"/>
    <cellStyle name="20% - Accent2 7 6 2 2" xfId="26298" xr:uid="{00000000-0005-0000-0000-00007C0E0000}"/>
    <cellStyle name="20% - Accent2 7 6 3" xfId="18301" xr:uid="{00000000-0005-0000-0000-00007D0E0000}"/>
    <cellStyle name="20% - Accent2 7 7" xfId="979" xr:uid="{00000000-0005-0000-0000-00007E0E0000}"/>
    <cellStyle name="20% - Accent2 7 7 2" xfId="13523" xr:uid="{00000000-0005-0000-0000-00007F0E0000}"/>
    <cellStyle name="20% - Accent2 7 7 2 2" xfId="27072" xr:uid="{00000000-0005-0000-0000-0000800E0000}"/>
    <cellStyle name="20% - Accent2 7 7 3" xfId="18302" xr:uid="{00000000-0005-0000-0000-0000810E0000}"/>
    <cellStyle name="20% - Accent2 7 8" xfId="980" xr:uid="{00000000-0005-0000-0000-0000820E0000}"/>
    <cellStyle name="20% - Accent2 7 8 2" xfId="14104" xr:uid="{00000000-0005-0000-0000-0000830E0000}"/>
    <cellStyle name="20% - Accent2 7 8 2 2" xfId="27653" xr:uid="{00000000-0005-0000-0000-0000840E0000}"/>
    <cellStyle name="20% - Accent2 7 8 3" xfId="18303" xr:uid="{00000000-0005-0000-0000-0000850E0000}"/>
    <cellStyle name="20% - Accent2 7 9" xfId="981" xr:uid="{00000000-0005-0000-0000-0000860E0000}"/>
    <cellStyle name="20% - Accent2 7 9 2" xfId="14736" xr:uid="{00000000-0005-0000-0000-0000870E0000}"/>
    <cellStyle name="20% - Accent2 7 9 2 2" xfId="28285" xr:uid="{00000000-0005-0000-0000-0000880E0000}"/>
    <cellStyle name="20% - Accent2 7 9 3" xfId="18304" xr:uid="{00000000-0005-0000-0000-0000890E0000}"/>
    <cellStyle name="20% - Accent2 8" xfId="982" xr:uid="{00000000-0005-0000-0000-00008A0E0000}"/>
    <cellStyle name="20% - Accent2 8 10" xfId="8957" xr:uid="{00000000-0005-0000-0000-00008B0E0000}"/>
    <cellStyle name="20% - Accent2 8 10 2" xfId="23432" xr:uid="{00000000-0005-0000-0000-00008C0E0000}"/>
    <cellStyle name="20% - Accent2 8 11" xfId="18305" xr:uid="{00000000-0005-0000-0000-00008D0E0000}"/>
    <cellStyle name="20% - Accent2 8 2" xfId="983" xr:uid="{00000000-0005-0000-0000-00008E0E0000}"/>
    <cellStyle name="20% - Accent2 8 2 2" xfId="984" xr:uid="{00000000-0005-0000-0000-00008F0E0000}"/>
    <cellStyle name="20% - Accent2 8 2 2 2" xfId="10683" xr:uid="{00000000-0005-0000-0000-0000900E0000}"/>
    <cellStyle name="20% - Accent2 8 2 2 2 2" xfId="24625" xr:uid="{00000000-0005-0000-0000-0000910E0000}"/>
    <cellStyle name="20% - Accent2 8 2 2 3" xfId="18307" xr:uid="{00000000-0005-0000-0000-0000920E0000}"/>
    <cellStyle name="20% - Accent2 8 2 3" xfId="985" xr:uid="{00000000-0005-0000-0000-0000930E0000}"/>
    <cellStyle name="20% - Accent2 8 2 3 2" xfId="12797" xr:uid="{00000000-0005-0000-0000-0000940E0000}"/>
    <cellStyle name="20% - Accent2 8 2 3 2 2" xfId="26509" xr:uid="{00000000-0005-0000-0000-0000950E0000}"/>
    <cellStyle name="20% - Accent2 8 2 3 3" xfId="18308" xr:uid="{00000000-0005-0000-0000-0000960E0000}"/>
    <cellStyle name="20% - Accent2 8 2 4" xfId="986" xr:uid="{00000000-0005-0000-0000-0000970E0000}"/>
    <cellStyle name="20% - Accent2 8 2 4 2" xfId="14743" xr:uid="{00000000-0005-0000-0000-0000980E0000}"/>
    <cellStyle name="20% - Accent2 8 2 4 2 2" xfId="28292" xr:uid="{00000000-0005-0000-0000-0000990E0000}"/>
    <cellStyle name="20% - Accent2 8 2 4 3" xfId="18309" xr:uid="{00000000-0005-0000-0000-00009A0E0000}"/>
    <cellStyle name="20% - Accent2 8 2 5" xfId="987" xr:uid="{00000000-0005-0000-0000-00009B0E0000}"/>
    <cellStyle name="20% - Accent2 8 2 5 2" xfId="16713" xr:uid="{00000000-0005-0000-0000-00009C0E0000}"/>
    <cellStyle name="20% - Accent2 8 2 5 2 2" xfId="30120" xr:uid="{00000000-0005-0000-0000-00009D0E0000}"/>
    <cellStyle name="20% - Accent2 8 2 5 3" xfId="18310" xr:uid="{00000000-0005-0000-0000-00009E0E0000}"/>
    <cellStyle name="20% - Accent2 8 2 6" xfId="8958" xr:uid="{00000000-0005-0000-0000-00009F0E0000}"/>
    <cellStyle name="20% - Accent2 8 2 6 2" xfId="23433" xr:uid="{00000000-0005-0000-0000-0000A00E0000}"/>
    <cellStyle name="20% - Accent2 8 2 7" xfId="18306" xr:uid="{00000000-0005-0000-0000-0000A10E0000}"/>
    <cellStyle name="20% - Accent2 8 3" xfId="988" xr:uid="{00000000-0005-0000-0000-0000A20E0000}"/>
    <cellStyle name="20% - Accent2 8 3 2" xfId="989" xr:uid="{00000000-0005-0000-0000-0000A30E0000}"/>
    <cellStyle name="20% - Accent2 8 3 2 2" xfId="14744" xr:uid="{00000000-0005-0000-0000-0000A40E0000}"/>
    <cellStyle name="20% - Accent2 8 3 2 2 2" xfId="28293" xr:uid="{00000000-0005-0000-0000-0000A50E0000}"/>
    <cellStyle name="20% - Accent2 8 3 2 3" xfId="18312" xr:uid="{00000000-0005-0000-0000-0000A60E0000}"/>
    <cellStyle name="20% - Accent2 8 3 3" xfId="10682" xr:uid="{00000000-0005-0000-0000-0000A70E0000}"/>
    <cellStyle name="20% - Accent2 8 3 3 2" xfId="24624" xr:uid="{00000000-0005-0000-0000-0000A80E0000}"/>
    <cellStyle name="20% - Accent2 8 3 4" xfId="18311" xr:uid="{00000000-0005-0000-0000-0000A90E0000}"/>
    <cellStyle name="20% - Accent2 8 4" xfId="990" xr:uid="{00000000-0005-0000-0000-0000AA0E0000}"/>
    <cellStyle name="20% - Accent2 8 4 2" xfId="12091" xr:uid="{00000000-0005-0000-0000-0000AB0E0000}"/>
    <cellStyle name="20% - Accent2 8 4 2 2" xfId="25805" xr:uid="{00000000-0005-0000-0000-0000AC0E0000}"/>
    <cellStyle name="20% - Accent2 8 4 3" xfId="18313" xr:uid="{00000000-0005-0000-0000-0000AD0E0000}"/>
    <cellStyle name="20% - Accent2 8 5" xfId="991" xr:uid="{00000000-0005-0000-0000-0000AE0E0000}"/>
    <cellStyle name="20% - Accent2 8 5 2" xfId="12540" xr:uid="{00000000-0005-0000-0000-0000AF0E0000}"/>
    <cellStyle name="20% - Accent2 8 5 2 2" xfId="26252" xr:uid="{00000000-0005-0000-0000-0000B00E0000}"/>
    <cellStyle name="20% - Accent2 8 5 3" xfId="18314" xr:uid="{00000000-0005-0000-0000-0000B10E0000}"/>
    <cellStyle name="20% - Accent2 8 6" xfId="992" xr:uid="{00000000-0005-0000-0000-0000B20E0000}"/>
    <cellStyle name="20% - Accent2 8 6 2" xfId="13665" xr:uid="{00000000-0005-0000-0000-0000B30E0000}"/>
    <cellStyle name="20% - Accent2 8 6 2 2" xfId="27214" xr:uid="{00000000-0005-0000-0000-0000B40E0000}"/>
    <cellStyle name="20% - Accent2 8 6 3" xfId="18315" xr:uid="{00000000-0005-0000-0000-0000B50E0000}"/>
    <cellStyle name="20% - Accent2 8 7" xfId="993" xr:uid="{00000000-0005-0000-0000-0000B60E0000}"/>
    <cellStyle name="20% - Accent2 8 7 2" xfId="14246" xr:uid="{00000000-0005-0000-0000-0000B70E0000}"/>
    <cellStyle name="20% - Accent2 8 7 2 2" xfId="27795" xr:uid="{00000000-0005-0000-0000-0000B80E0000}"/>
    <cellStyle name="20% - Accent2 8 7 3" xfId="18316" xr:uid="{00000000-0005-0000-0000-0000B90E0000}"/>
    <cellStyle name="20% - Accent2 8 8" xfId="994" xr:uid="{00000000-0005-0000-0000-0000BA0E0000}"/>
    <cellStyle name="20% - Accent2 8 8 2" xfId="14742" xr:uid="{00000000-0005-0000-0000-0000BB0E0000}"/>
    <cellStyle name="20% - Accent2 8 8 2 2" xfId="28291" xr:uid="{00000000-0005-0000-0000-0000BC0E0000}"/>
    <cellStyle name="20% - Accent2 8 8 3" xfId="18317" xr:uid="{00000000-0005-0000-0000-0000BD0E0000}"/>
    <cellStyle name="20% - Accent2 8 9" xfId="995" xr:uid="{00000000-0005-0000-0000-0000BE0E0000}"/>
    <cellStyle name="20% - Accent2 8 9 2" xfId="16132" xr:uid="{00000000-0005-0000-0000-0000BF0E0000}"/>
    <cellStyle name="20% - Accent2 8 9 2 2" xfId="29539" xr:uid="{00000000-0005-0000-0000-0000C00E0000}"/>
    <cellStyle name="20% - Accent2 8 9 3" xfId="18318" xr:uid="{00000000-0005-0000-0000-0000C10E0000}"/>
    <cellStyle name="20% - Accent2 9" xfId="996" xr:uid="{00000000-0005-0000-0000-0000C20E0000}"/>
    <cellStyle name="20% - Accent2 9 2" xfId="997" xr:uid="{00000000-0005-0000-0000-0000C30E0000}"/>
    <cellStyle name="20% - Accent2 9 2 2" xfId="10684" xr:uid="{00000000-0005-0000-0000-0000C40E0000}"/>
    <cellStyle name="20% - Accent2 9 2 2 2" xfId="24626" xr:uid="{00000000-0005-0000-0000-0000C50E0000}"/>
    <cellStyle name="20% - Accent2 9 2 3" xfId="18320" xr:uid="{00000000-0005-0000-0000-0000C60E0000}"/>
    <cellStyle name="20% - Accent2 9 3" xfId="998" xr:uid="{00000000-0005-0000-0000-0000C70E0000}"/>
    <cellStyle name="20% - Accent2 9 3 2" xfId="12612" xr:uid="{00000000-0005-0000-0000-0000C80E0000}"/>
    <cellStyle name="20% - Accent2 9 3 2 2" xfId="26324" xr:uid="{00000000-0005-0000-0000-0000C90E0000}"/>
    <cellStyle name="20% - Accent2 9 3 3" xfId="18321" xr:uid="{00000000-0005-0000-0000-0000CA0E0000}"/>
    <cellStyle name="20% - Accent2 9 4" xfId="999" xr:uid="{00000000-0005-0000-0000-0000CB0E0000}"/>
    <cellStyle name="20% - Accent2 9 4 2" xfId="14745" xr:uid="{00000000-0005-0000-0000-0000CC0E0000}"/>
    <cellStyle name="20% - Accent2 9 4 2 2" xfId="28294" xr:uid="{00000000-0005-0000-0000-0000CD0E0000}"/>
    <cellStyle name="20% - Accent2 9 4 3" xfId="18322" xr:uid="{00000000-0005-0000-0000-0000CE0E0000}"/>
    <cellStyle name="20% - Accent2 9 5" xfId="1000" xr:uid="{00000000-0005-0000-0000-0000CF0E0000}"/>
    <cellStyle name="20% - Accent2 9 5 2" xfId="17097" xr:uid="{00000000-0005-0000-0000-0000D00E0000}"/>
    <cellStyle name="20% - Accent2 9 5 2 2" xfId="30456" xr:uid="{00000000-0005-0000-0000-0000D10E0000}"/>
    <cellStyle name="20% - Accent2 9 5 3" xfId="18323" xr:uid="{00000000-0005-0000-0000-0000D20E0000}"/>
    <cellStyle name="20% - Accent2 9 6" xfId="8959" xr:uid="{00000000-0005-0000-0000-0000D30E0000}"/>
    <cellStyle name="20% - Accent2 9 6 2" xfId="23434" xr:uid="{00000000-0005-0000-0000-0000D40E0000}"/>
    <cellStyle name="20% - Accent2 9 7" xfId="18319" xr:uid="{00000000-0005-0000-0000-0000D50E0000}"/>
    <cellStyle name="20% - Accent3" xfId="36" builtinId="38" customBuiltin="1"/>
    <cellStyle name="20% - Accent3 10" xfId="1001" xr:uid="{00000000-0005-0000-0000-0000D70E0000}"/>
    <cellStyle name="20% - Accent3 10 2" xfId="1002" xr:uid="{00000000-0005-0000-0000-0000D80E0000}"/>
    <cellStyle name="20% - Accent3 10 2 2" xfId="1003" xr:uid="{00000000-0005-0000-0000-0000D90E0000}"/>
    <cellStyle name="20% - Accent3 10 2 2 2" xfId="12457" xr:uid="{00000000-0005-0000-0000-0000DA0E0000}"/>
    <cellStyle name="20% - Accent3 10 2 2 2 2" xfId="26169" xr:uid="{00000000-0005-0000-0000-0000DB0E0000}"/>
    <cellStyle name="20% - Accent3 10 2 2 3" xfId="18326" xr:uid="{00000000-0005-0000-0000-0000DC0E0000}"/>
    <cellStyle name="20% - Accent3 10 2 3" xfId="1004" xr:uid="{00000000-0005-0000-0000-0000DD0E0000}"/>
    <cellStyle name="20% - Accent3 10 2 3 2" xfId="14748" xr:uid="{00000000-0005-0000-0000-0000DE0E0000}"/>
    <cellStyle name="20% - Accent3 10 2 3 2 2" xfId="28297" xr:uid="{00000000-0005-0000-0000-0000DF0E0000}"/>
    <cellStyle name="20% - Accent3 10 2 3 3" xfId="18327" xr:uid="{00000000-0005-0000-0000-0000E00E0000}"/>
    <cellStyle name="20% - Accent3 10 2 4" xfId="10686" xr:uid="{00000000-0005-0000-0000-0000E10E0000}"/>
    <cellStyle name="20% - Accent3 10 2 4 2" xfId="24628" xr:uid="{00000000-0005-0000-0000-0000E20E0000}"/>
    <cellStyle name="20% - Accent3 10 2 5" xfId="18325" xr:uid="{00000000-0005-0000-0000-0000E30E0000}"/>
    <cellStyle name="20% - Accent3 10 3" xfId="1005" xr:uid="{00000000-0005-0000-0000-0000E40E0000}"/>
    <cellStyle name="20% - Accent3 10 3 2" xfId="12666" xr:uid="{00000000-0005-0000-0000-0000E50E0000}"/>
    <cellStyle name="20% - Accent3 10 3 2 2" xfId="26378" xr:uid="{00000000-0005-0000-0000-0000E60E0000}"/>
    <cellStyle name="20% - Accent3 10 3 3" xfId="18328" xr:uid="{00000000-0005-0000-0000-0000E70E0000}"/>
    <cellStyle name="20% - Accent3 10 4" xfId="1006" xr:uid="{00000000-0005-0000-0000-0000E80E0000}"/>
    <cellStyle name="20% - Accent3 10 4 2" xfId="14747" xr:uid="{00000000-0005-0000-0000-0000E90E0000}"/>
    <cellStyle name="20% - Accent3 10 4 2 2" xfId="28296" xr:uid="{00000000-0005-0000-0000-0000EA0E0000}"/>
    <cellStyle name="20% - Accent3 10 4 3" xfId="18329" xr:uid="{00000000-0005-0000-0000-0000EB0E0000}"/>
    <cellStyle name="20% - Accent3 10 5" xfId="1007" xr:uid="{00000000-0005-0000-0000-0000EC0E0000}"/>
    <cellStyle name="20% - Accent3 10 5 2" xfId="17187" xr:uid="{00000000-0005-0000-0000-0000ED0E0000}"/>
    <cellStyle name="20% - Accent3 10 5 2 2" xfId="30546" xr:uid="{00000000-0005-0000-0000-0000EE0E0000}"/>
    <cellStyle name="20% - Accent3 10 5 3" xfId="18330" xr:uid="{00000000-0005-0000-0000-0000EF0E0000}"/>
    <cellStyle name="20% - Accent3 10 6" xfId="8961" xr:uid="{00000000-0005-0000-0000-0000F00E0000}"/>
    <cellStyle name="20% - Accent3 10 6 2" xfId="23436" xr:uid="{00000000-0005-0000-0000-0000F10E0000}"/>
    <cellStyle name="20% - Accent3 10 7" xfId="18324" xr:uid="{00000000-0005-0000-0000-0000F20E0000}"/>
    <cellStyle name="20% - Accent3 11" xfId="1008" xr:uid="{00000000-0005-0000-0000-0000F30E0000}"/>
    <cellStyle name="20% - Accent3 11 2" xfId="1009" xr:uid="{00000000-0005-0000-0000-0000F40E0000}"/>
    <cellStyle name="20% - Accent3 11 2 2" xfId="10687" xr:uid="{00000000-0005-0000-0000-0000F50E0000}"/>
    <cellStyle name="20% - Accent3 11 2 2 2" xfId="24629" xr:uid="{00000000-0005-0000-0000-0000F60E0000}"/>
    <cellStyle name="20% - Accent3 11 2 3" xfId="18332" xr:uid="{00000000-0005-0000-0000-0000F70E0000}"/>
    <cellStyle name="20% - Accent3 11 3" xfId="1010" xr:uid="{00000000-0005-0000-0000-0000F80E0000}"/>
    <cellStyle name="20% - Accent3 11 3 2" xfId="12799" xr:uid="{00000000-0005-0000-0000-0000F90E0000}"/>
    <cellStyle name="20% - Accent3 11 3 2 2" xfId="26511" xr:uid="{00000000-0005-0000-0000-0000FA0E0000}"/>
    <cellStyle name="20% - Accent3 11 3 3" xfId="18333" xr:uid="{00000000-0005-0000-0000-0000FB0E0000}"/>
    <cellStyle name="20% - Accent3 11 4" xfId="1011" xr:uid="{00000000-0005-0000-0000-0000FC0E0000}"/>
    <cellStyle name="20% - Accent3 11 4 2" xfId="14749" xr:uid="{00000000-0005-0000-0000-0000FD0E0000}"/>
    <cellStyle name="20% - Accent3 11 4 2 2" xfId="28298" xr:uid="{00000000-0005-0000-0000-0000FE0E0000}"/>
    <cellStyle name="20% - Accent3 11 4 3" xfId="18334" xr:uid="{00000000-0005-0000-0000-0000FF0E0000}"/>
    <cellStyle name="20% - Accent3 11 5" xfId="1012" xr:uid="{00000000-0005-0000-0000-0000000F0000}"/>
    <cellStyle name="20% - Accent3 11 5 2" xfId="17276" xr:uid="{00000000-0005-0000-0000-0000010F0000}"/>
    <cellStyle name="20% - Accent3 11 5 2 2" xfId="30635" xr:uid="{00000000-0005-0000-0000-0000020F0000}"/>
    <cellStyle name="20% - Accent3 11 5 3" xfId="18335" xr:uid="{00000000-0005-0000-0000-0000030F0000}"/>
    <cellStyle name="20% - Accent3 11 6" xfId="8962" xr:uid="{00000000-0005-0000-0000-0000040F0000}"/>
    <cellStyle name="20% - Accent3 11 6 2" xfId="23437" xr:uid="{00000000-0005-0000-0000-0000050F0000}"/>
    <cellStyle name="20% - Accent3 11 7" xfId="18331" xr:uid="{00000000-0005-0000-0000-0000060F0000}"/>
    <cellStyle name="20% - Accent3 12" xfId="1013" xr:uid="{00000000-0005-0000-0000-0000070F0000}"/>
    <cellStyle name="20% - Accent3 12 2" xfId="1014" xr:uid="{00000000-0005-0000-0000-0000080F0000}"/>
    <cellStyle name="20% - Accent3 12 2 2" xfId="1015" xr:uid="{00000000-0005-0000-0000-0000090F0000}"/>
    <cellStyle name="20% - Accent3 12 2 2 2" xfId="10689" xr:uid="{00000000-0005-0000-0000-00000A0F0000}"/>
    <cellStyle name="20% - Accent3 12 2 2 2 2" xfId="24631" xr:uid="{00000000-0005-0000-0000-00000B0F0000}"/>
    <cellStyle name="20% - Accent3 12 2 2 3" xfId="18338" xr:uid="{00000000-0005-0000-0000-00000C0F0000}"/>
    <cellStyle name="20% - Accent3 12 2 3" xfId="1016" xr:uid="{00000000-0005-0000-0000-00000D0F0000}"/>
    <cellStyle name="20% - Accent3 12 2 3 2" xfId="12628" xr:uid="{00000000-0005-0000-0000-00000E0F0000}"/>
    <cellStyle name="20% - Accent3 12 2 3 2 2" xfId="26340" xr:uid="{00000000-0005-0000-0000-00000F0F0000}"/>
    <cellStyle name="20% - Accent3 12 2 3 3" xfId="18339" xr:uid="{00000000-0005-0000-0000-0000100F0000}"/>
    <cellStyle name="20% - Accent3 12 2 4" xfId="1017" xr:uid="{00000000-0005-0000-0000-0000110F0000}"/>
    <cellStyle name="20% - Accent3 12 2 4 2" xfId="14751" xr:uid="{00000000-0005-0000-0000-0000120F0000}"/>
    <cellStyle name="20% - Accent3 12 2 4 2 2" xfId="28300" xr:uid="{00000000-0005-0000-0000-0000130F0000}"/>
    <cellStyle name="20% - Accent3 12 2 4 3" xfId="18340" xr:uid="{00000000-0005-0000-0000-0000140F0000}"/>
    <cellStyle name="20% - Accent3 12 2 5" xfId="8964" xr:uid="{00000000-0005-0000-0000-0000150F0000}"/>
    <cellStyle name="20% - Accent3 12 2 5 2" xfId="23439" xr:uid="{00000000-0005-0000-0000-0000160F0000}"/>
    <cellStyle name="20% - Accent3 12 2 6" xfId="18337" xr:uid="{00000000-0005-0000-0000-0000170F0000}"/>
    <cellStyle name="20% - Accent3 12 3" xfId="1018" xr:uid="{00000000-0005-0000-0000-0000180F0000}"/>
    <cellStyle name="20% - Accent3 12 3 2" xfId="10688" xr:uid="{00000000-0005-0000-0000-0000190F0000}"/>
    <cellStyle name="20% - Accent3 12 3 2 2" xfId="24630" xr:uid="{00000000-0005-0000-0000-00001A0F0000}"/>
    <cellStyle name="20% - Accent3 12 3 3" xfId="18341" xr:uid="{00000000-0005-0000-0000-00001B0F0000}"/>
    <cellStyle name="20% - Accent3 12 4" xfId="1019" xr:uid="{00000000-0005-0000-0000-00001C0F0000}"/>
    <cellStyle name="20% - Accent3 12 4 2" xfId="12754" xr:uid="{00000000-0005-0000-0000-00001D0F0000}"/>
    <cellStyle name="20% - Accent3 12 4 2 2" xfId="26466" xr:uid="{00000000-0005-0000-0000-00001E0F0000}"/>
    <cellStyle name="20% - Accent3 12 4 3" xfId="18342" xr:uid="{00000000-0005-0000-0000-00001F0F0000}"/>
    <cellStyle name="20% - Accent3 12 5" xfId="1020" xr:uid="{00000000-0005-0000-0000-0000200F0000}"/>
    <cellStyle name="20% - Accent3 12 5 2" xfId="14750" xr:uid="{00000000-0005-0000-0000-0000210F0000}"/>
    <cellStyle name="20% - Accent3 12 5 2 2" xfId="28299" xr:uid="{00000000-0005-0000-0000-0000220F0000}"/>
    <cellStyle name="20% - Accent3 12 5 3" xfId="18343" xr:uid="{00000000-0005-0000-0000-0000230F0000}"/>
    <cellStyle name="20% - Accent3 12 6" xfId="1021" xr:uid="{00000000-0005-0000-0000-0000240F0000}"/>
    <cellStyle name="20% - Accent3 12 6 2" xfId="16428" xr:uid="{00000000-0005-0000-0000-0000250F0000}"/>
    <cellStyle name="20% - Accent3 12 6 2 2" xfId="29835" xr:uid="{00000000-0005-0000-0000-0000260F0000}"/>
    <cellStyle name="20% - Accent3 12 6 3" xfId="18344" xr:uid="{00000000-0005-0000-0000-0000270F0000}"/>
    <cellStyle name="20% - Accent3 12 7" xfId="8963" xr:uid="{00000000-0005-0000-0000-0000280F0000}"/>
    <cellStyle name="20% - Accent3 12 7 2" xfId="23438" xr:uid="{00000000-0005-0000-0000-0000290F0000}"/>
    <cellStyle name="20% - Accent3 12 8" xfId="18336" xr:uid="{00000000-0005-0000-0000-00002A0F0000}"/>
    <cellStyle name="20% - Accent3 13" xfId="1022" xr:uid="{00000000-0005-0000-0000-00002B0F0000}"/>
    <cellStyle name="20% - Accent3 13 2" xfId="1023" xr:uid="{00000000-0005-0000-0000-00002C0F0000}"/>
    <cellStyle name="20% - Accent3 13 2 2" xfId="10690" xr:uid="{00000000-0005-0000-0000-00002D0F0000}"/>
    <cellStyle name="20% - Accent3 13 2 2 2" xfId="24632" xr:uid="{00000000-0005-0000-0000-00002E0F0000}"/>
    <cellStyle name="20% - Accent3 13 2 3" xfId="18346" xr:uid="{00000000-0005-0000-0000-00002F0F0000}"/>
    <cellStyle name="20% - Accent3 13 3" xfId="1024" xr:uid="{00000000-0005-0000-0000-0000300F0000}"/>
    <cellStyle name="20% - Accent3 13 3 2" xfId="12786" xr:uid="{00000000-0005-0000-0000-0000310F0000}"/>
    <cellStyle name="20% - Accent3 13 3 2 2" xfId="26498" xr:uid="{00000000-0005-0000-0000-0000320F0000}"/>
    <cellStyle name="20% - Accent3 13 3 3" xfId="18347" xr:uid="{00000000-0005-0000-0000-0000330F0000}"/>
    <cellStyle name="20% - Accent3 13 4" xfId="1025" xr:uid="{00000000-0005-0000-0000-0000340F0000}"/>
    <cellStyle name="20% - Accent3 13 4 2" xfId="14752" xr:uid="{00000000-0005-0000-0000-0000350F0000}"/>
    <cellStyle name="20% - Accent3 13 4 2 2" xfId="28301" xr:uid="{00000000-0005-0000-0000-0000360F0000}"/>
    <cellStyle name="20% - Accent3 13 4 3" xfId="18348" xr:uid="{00000000-0005-0000-0000-0000370F0000}"/>
    <cellStyle name="20% - Accent3 13 5" xfId="8965" xr:uid="{00000000-0005-0000-0000-0000380F0000}"/>
    <cellStyle name="20% - Accent3 13 5 2" xfId="23440" xr:uid="{00000000-0005-0000-0000-0000390F0000}"/>
    <cellStyle name="20% - Accent3 13 6" xfId="18345" xr:uid="{00000000-0005-0000-0000-00003A0F0000}"/>
    <cellStyle name="20% - Accent3 14" xfId="1026" xr:uid="{00000000-0005-0000-0000-00003B0F0000}"/>
    <cellStyle name="20% - Accent3 14 2" xfId="1027" xr:uid="{00000000-0005-0000-0000-00003C0F0000}"/>
    <cellStyle name="20% - Accent3 14 2 2" xfId="10691" xr:uid="{00000000-0005-0000-0000-00003D0F0000}"/>
    <cellStyle name="20% - Accent3 14 2 2 2" xfId="24633" xr:uid="{00000000-0005-0000-0000-00003E0F0000}"/>
    <cellStyle name="20% - Accent3 14 2 3" xfId="18350" xr:uid="{00000000-0005-0000-0000-00003F0F0000}"/>
    <cellStyle name="20% - Accent3 14 3" xfId="1028" xr:uid="{00000000-0005-0000-0000-0000400F0000}"/>
    <cellStyle name="20% - Accent3 14 3 2" xfId="12452" xr:uid="{00000000-0005-0000-0000-0000410F0000}"/>
    <cellStyle name="20% - Accent3 14 3 2 2" xfId="26164" xr:uid="{00000000-0005-0000-0000-0000420F0000}"/>
    <cellStyle name="20% - Accent3 14 3 3" xfId="18351" xr:uid="{00000000-0005-0000-0000-0000430F0000}"/>
    <cellStyle name="20% - Accent3 14 4" xfId="1029" xr:uid="{00000000-0005-0000-0000-0000440F0000}"/>
    <cellStyle name="20% - Accent3 14 4 2" xfId="14753" xr:uid="{00000000-0005-0000-0000-0000450F0000}"/>
    <cellStyle name="20% - Accent3 14 4 2 2" xfId="28302" xr:uid="{00000000-0005-0000-0000-0000460F0000}"/>
    <cellStyle name="20% - Accent3 14 4 3" xfId="18352" xr:uid="{00000000-0005-0000-0000-0000470F0000}"/>
    <cellStyle name="20% - Accent3 14 5" xfId="8966" xr:uid="{00000000-0005-0000-0000-0000480F0000}"/>
    <cellStyle name="20% - Accent3 14 5 2" xfId="23441" xr:uid="{00000000-0005-0000-0000-0000490F0000}"/>
    <cellStyle name="20% - Accent3 14 6" xfId="18349" xr:uid="{00000000-0005-0000-0000-00004A0F0000}"/>
    <cellStyle name="20% - Accent3 15" xfId="1030" xr:uid="{00000000-0005-0000-0000-00004B0F0000}"/>
    <cellStyle name="20% - Accent3 15 2" xfId="1031" xr:uid="{00000000-0005-0000-0000-00004C0F0000}"/>
    <cellStyle name="20% - Accent3 15 2 2" xfId="10692" xr:uid="{00000000-0005-0000-0000-00004D0F0000}"/>
    <cellStyle name="20% - Accent3 15 2 2 2" xfId="24634" xr:uid="{00000000-0005-0000-0000-00004E0F0000}"/>
    <cellStyle name="20% - Accent3 15 2 3" xfId="18354" xr:uid="{00000000-0005-0000-0000-00004F0F0000}"/>
    <cellStyle name="20% - Accent3 15 3" xfId="1032" xr:uid="{00000000-0005-0000-0000-0000500F0000}"/>
    <cellStyle name="20% - Accent3 15 3 2" xfId="12555" xr:uid="{00000000-0005-0000-0000-0000510F0000}"/>
    <cellStyle name="20% - Accent3 15 3 2 2" xfId="26267" xr:uid="{00000000-0005-0000-0000-0000520F0000}"/>
    <cellStyle name="20% - Accent3 15 3 3" xfId="18355" xr:uid="{00000000-0005-0000-0000-0000530F0000}"/>
    <cellStyle name="20% - Accent3 15 4" xfId="1033" xr:uid="{00000000-0005-0000-0000-0000540F0000}"/>
    <cellStyle name="20% - Accent3 15 4 2" xfId="14754" xr:uid="{00000000-0005-0000-0000-0000550F0000}"/>
    <cellStyle name="20% - Accent3 15 4 2 2" xfId="28303" xr:uid="{00000000-0005-0000-0000-0000560F0000}"/>
    <cellStyle name="20% - Accent3 15 4 3" xfId="18356" xr:uid="{00000000-0005-0000-0000-0000570F0000}"/>
    <cellStyle name="20% - Accent3 15 5" xfId="8967" xr:uid="{00000000-0005-0000-0000-0000580F0000}"/>
    <cellStyle name="20% - Accent3 15 5 2" xfId="23442" xr:uid="{00000000-0005-0000-0000-0000590F0000}"/>
    <cellStyle name="20% - Accent3 15 6" xfId="18353" xr:uid="{00000000-0005-0000-0000-00005A0F0000}"/>
    <cellStyle name="20% - Accent3 16" xfId="1034" xr:uid="{00000000-0005-0000-0000-00005B0F0000}"/>
    <cellStyle name="20% - Accent3 16 2" xfId="1035" xr:uid="{00000000-0005-0000-0000-00005C0F0000}"/>
    <cellStyle name="20% - Accent3 16 2 2" xfId="10693" xr:uid="{00000000-0005-0000-0000-00005D0F0000}"/>
    <cellStyle name="20% - Accent3 16 2 2 2" xfId="24635" xr:uid="{00000000-0005-0000-0000-00005E0F0000}"/>
    <cellStyle name="20% - Accent3 16 2 3" xfId="18358" xr:uid="{00000000-0005-0000-0000-00005F0F0000}"/>
    <cellStyle name="20% - Accent3 16 3" xfId="1036" xr:uid="{00000000-0005-0000-0000-0000600F0000}"/>
    <cellStyle name="20% - Accent3 16 3 2" xfId="11778" xr:uid="{00000000-0005-0000-0000-0000610F0000}"/>
    <cellStyle name="20% - Accent3 16 3 2 2" xfId="25493" xr:uid="{00000000-0005-0000-0000-0000620F0000}"/>
    <cellStyle name="20% - Accent3 16 3 3" xfId="18359" xr:uid="{00000000-0005-0000-0000-0000630F0000}"/>
    <cellStyle name="20% - Accent3 16 4" xfId="1037" xr:uid="{00000000-0005-0000-0000-0000640F0000}"/>
    <cellStyle name="20% - Accent3 16 4 2" xfId="14755" xr:uid="{00000000-0005-0000-0000-0000650F0000}"/>
    <cellStyle name="20% - Accent3 16 4 2 2" xfId="28304" xr:uid="{00000000-0005-0000-0000-0000660F0000}"/>
    <cellStyle name="20% - Accent3 16 4 3" xfId="18360" xr:uid="{00000000-0005-0000-0000-0000670F0000}"/>
    <cellStyle name="20% - Accent3 16 5" xfId="8968" xr:uid="{00000000-0005-0000-0000-0000680F0000}"/>
    <cellStyle name="20% - Accent3 16 5 2" xfId="23443" xr:uid="{00000000-0005-0000-0000-0000690F0000}"/>
    <cellStyle name="20% - Accent3 16 6" xfId="18357" xr:uid="{00000000-0005-0000-0000-00006A0F0000}"/>
    <cellStyle name="20% - Accent3 17" xfId="1038" xr:uid="{00000000-0005-0000-0000-00006B0F0000}"/>
    <cellStyle name="20% - Accent3 17 2" xfId="1039" xr:uid="{00000000-0005-0000-0000-00006C0F0000}"/>
    <cellStyle name="20% - Accent3 17 2 2" xfId="10694" xr:uid="{00000000-0005-0000-0000-00006D0F0000}"/>
    <cellStyle name="20% - Accent3 17 2 2 2" xfId="24636" xr:uid="{00000000-0005-0000-0000-00006E0F0000}"/>
    <cellStyle name="20% - Accent3 17 2 3" xfId="18362" xr:uid="{00000000-0005-0000-0000-00006F0F0000}"/>
    <cellStyle name="20% - Accent3 17 3" xfId="1040" xr:uid="{00000000-0005-0000-0000-0000700F0000}"/>
    <cellStyle name="20% - Accent3 17 3 2" xfId="12772" xr:uid="{00000000-0005-0000-0000-0000710F0000}"/>
    <cellStyle name="20% - Accent3 17 3 2 2" xfId="26484" xr:uid="{00000000-0005-0000-0000-0000720F0000}"/>
    <cellStyle name="20% - Accent3 17 3 3" xfId="18363" xr:uid="{00000000-0005-0000-0000-0000730F0000}"/>
    <cellStyle name="20% - Accent3 17 4" xfId="1041" xr:uid="{00000000-0005-0000-0000-0000740F0000}"/>
    <cellStyle name="20% - Accent3 17 4 2" xfId="14756" xr:uid="{00000000-0005-0000-0000-0000750F0000}"/>
    <cellStyle name="20% - Accent3 17 4 2 2" xfId="28305" xr:uid="{00000000-0005-0000-0000-0000760F0000}"/>
    <cellStyle name="20% - Accent3 17 4 3" xfId="18364" xr:uid="{00000000-0005-0000-0000-0000770F0000}"/>
    <cellStyle name="20% - Accent3 17 5" xfId="8969" xr:uid="{00000000-0005-0000-0000-0000780F0000}"/>
    <cellStyle name="20% - Accent3 17 5 2" xfId="23444" xr:uid="{00000000-0005-0000-0000-0000790F0000}"/>
    <cellStyle name="20% - Accent3 17 6" xfId="18361" xr:uid="{00000000-0005-0000-0000-00007A0F0000}"/>
    <cellStyle name="20% - Accent3 18" xfId="1042" xr:uid="{00000000-0005-0000-0000-00007B0F0000}"/>
    <cellStyle name="20% - Accent3 18 2" xfId="1043" xr:uid="{00000000-0005-0000-0000-00007C0F0000}"/>
    <cellStyle name="20% - Accent3 18 2 2" xfId="10695" xr:uid="{00000000-0005-0000-0000-00007D0F0000}"/>
    <cellStyle name="20% - Accent3 18 2 2 2" xfId="24637" xr:uid="{00000000-0005-0000-0000-00007E0F0000}"/>
    <cellStyle name="20% - Accent3 18 2 3" xfId="18366" xr:uid="{00000000-0005-0000-0000-00007F0F0000}"/>
    <cellStyle name="20% - Accent3 18 3" xfId="1044" xr:uid="{00000000-0005-0000-0000-0000800F0000}"/>
    <cellStyle name="20% - Accent3 18 3 2" xfId="12660" xr:uid="{00000000-0005-0000-0000-0000810F0000}"/>
    <cellStyle name="20% - Accent3 18 3 2 2" xfId="26372" xr:uid="{00000000-0005-0000-0000-0000820F0000}"/>
    <cellStyle name="20% - Accent3 18 3 3" xfId="18367" xr:uid="{00000000-0005-0000-0000-0000830F0000}"/>
    <cellStyle name="20% - Accent3 18 4" xfId="1045" xr:uid="{00000000-0005-0000-0000-0000840F0000}"/>
    <cellStyle name="20% - Accent3 18 4 2" xfId="14757" xr:uid="{00000000-0005-0000-0000-0000850F0000}"/>
    <cellStyle name="20% - Accent3 18 4 2 2" xfId="28306" xr:uid="{00000000-0005-0000-0000-0000860F0000}"/>
    <cellStyle name="20% - Accent3 18 4 3" xfId="18368" xr:uid="{00000000-0005-0000-0000-0000870F0000}"/>
    <cellStyle name="20% - Accent3 18 5" xfId="8970" xr:uid="{00000000-0005-0000-0000-0000880F0000}"/>
    <cellStyle name="20% - Accent3 18 5 2" xfId="23445" xr:uid="{00000000-0005-0000-0000-0000890F0000}"/>
    <cellStyle name="20% - Accent3 18 6" xfId="18365" xr:uid="{00000000-0005-0000-0000-00008A0F0000}"/>
    <cellStyle name="20% - Accent3 19" xfId="1046" xr:uid="{00000000-0005-0000-0000-00008B0F0000}"/>
    <cellStyle name="20% - Accent3 19 2" xfId="1047" xr:uid="{00000000-0005-0000-0000-00008C0F0000}"/>
    <cellStyle name="20% - Accent3 19 2 2" xfId="11712" xr:uid="{00000000-0005-0000-0000-00008D0F0000}"/>
    <cellStyle name="20% - Accent3 19 2 2 2" xfId="25432" xr:uid="{00000000-0005-0000-0000-00008E0F0000}"/>
    <cellStyle name="20% - Accent3 19 2 3" xfId="18370" xr:uid="{00000000-0005-0000-0000-00008F0F0000}"/>
    <cellStyle name="20% - Accent3 19 3" xfId="1048" xr:uid="{00000000-0005-0000-0000-0000900F0000}"/>
    <cellStyle name="20% - Accent3 19 3 2" xfId="12402" xr:uid="{00000000-0005-0000-0000-0000910F0000}"/>
    <cellStyle name="20% - Accent3 19 3 2 2" xfId="26114" xr:uid="{00000000-0005-0000-0000-0000920F0000}"/>
    <cellStyle name="20% - Accent3 19 3 3" xfId="18371" xr:uid="{00000000-0005-0000-0000-0000930F0000}"/>
    <cellStyle name="20% - Accent3 19 4" xfId="1049" xr:uid="{00000000-0005-0000-0000-0000940F0000}"/>
    <cellStyle name="20% - Accent3 19 4 2" xfId="14758" xr:uid="{00000000-0005-0000-0000-0000950F0000}"/>
    <cellStyle name="20% - Accent3 19 4 2 2" xfId="28307" xr:uid="{00000000-0005-0000-0000-0000960F0000}"/>
    <cellStyle name="20% - Accent3 19 4 3" xfId="18372" xr:uid="{00000000-0005-0000-0000-0000970F0000}"/>
    <cellStyle name="20% - Accent3 19 5" xfId="10464" xr:uid="{00000000-0005-0000-0000-0000980F0000}"/>
    <cellStyle name="20% - Accent3 19 5 2" xfId="24423" xr:uid="{00000000-0005-0000-0000-0000990F0000}"/>
    <cellStyle name="20% - Accent3 19 6" xfId="18369" xr:uid="{00000000-0005-0000-0000-00009A0F0000}"/>
    <cellStyle name="20% - Accent3 2" xfId="1050" xr:uid="{00000000-0005-0000-0000-00009B0F0000}"/>
    <cellStyle name="20% - Accent3 2 10" xfId="1051" xr:uid="{00000000-0005-0000-0000-00009C0F0000}"/>
    <cellStyle name="20% - Accent3 2 10 2" xfId="1052" xr:uid="{00000000-0005-0000-0000-00009D0F0000}"/>
    <cellStyle name="20% - Accent3 2 10 2 2" xfId="14760" xr:uid="{00000000-0005-0000-0000-00009E0F0000}"/>
    <cellStyle name="20% - Accent3 2 10 2 2 2" xfId="28309" xr:uid="{00000000-0005-0000-0000-00009F0F0000}"/>
    <cellStyle name="20% - Accent3 2 10 2 3" xfId="18375" xr:uid="{00000000-0005-0000-0000-0000A00F0000}"/>
    <cellStyle name="20% - Accent3 2 10 3" xfId="11840" xr:uid="{00000000-0005-0000-0000-0000A10F0000}"/>
    <cellStyle name="20% - Accent3 2 10 3 2" xfId="25555" xr:uid="{00000000-0005-0000-0000-0000A20F0000}"/>
    <cellStyle name="20% - Accent3 2 10 4" xfId="18374" xr:uid="{00000000-0005-0000-0000-0000A30F0000}"/>
    <cellStyle name="20% - Accent3 2 11" xfId="1053" xr:uid="{00000000-0005-0000-0000-0000A40F0000}"/>
    <cellStyle name="20% - Accent3 2 11 2" xfId="12453" xr:uid="{00000000-0005-0000-0000-0000A50F0000}"/>
    <cellStyle name="20% - Accent3 2 11 2 2" xfId="26165" xr:uid="{00000000-0005-0000-0000-0000A60F0000}"/>
    <cellStyle name="20% - Accent3 2 11 3" xfId="18376" xr:uid="{00000000-0005-0000-0000-0000A70F0000}"/>
    <cellStyle name="20% - Accent3 2 12" xfId="1054" xr:uid="{00000000-0005-0000-0000-0000A80F0000}"/>
    <cellStyle name="20% - Accent3 2 12 2" xfId="13439" xr:uid="{00000000-0005-0000-0000-0000A90F0000}"/>
    <cellStyle name="20% - Accent3 2 12 2 2" xfId="26988" xr:uid="{00000000-0005-0000-0000-0000AA0F0000}"/>
    <cellStyle name="20% - Accent3 2 12 3" xfId="18377" xr:uid="{00000000-0005-0000-0000-0000AB0F0000}"/>
    <cellStyle name="20% - Accent3 2 13" xfId="1055" xr:uid="{00000000-0005-0000-0000-0000AC0F0000}"/>
    <cellStyle name="20% - Accent3 2 13 2" xfId="14020" xr:uid="{00000000-0005-0000-0000-0000AD0F0000}"/>
    <cellStyle name="20% - Accent3 2 13 2 2" xfId="27569" xr:uid="{00000000-0005-0000-0000-0000AE0F0000}"/>
    <cellStyle name="20% - Accent3 2 13 3" xfId="18378" xr:uid="{00000000-0005-0000-0000-0000AF0F0000}"/>
    <cellStyle name="20% - Accent3 2 14" xfId="1056" xr:uid="{00000000-0005-0000-0000-0000B00F0000}"/>
    <cellStyle name="20% - Accent3 2 14 2" xfId="14759" xr:uid="{00000000-0005-0000-0000-0000B10F0000}"/>
    <cellStyle name="20% - Accent3 2 14 2 2" xfId="28308" xr:uid="{00000000-0005-0000-0000-0000B20F0000}"/>
    <cellStyle name="20% - Accent3 2 14 3" xfId="18379" xr:uid="{00000000-0005-0000-0000-0000B30F0000}"/>
    <cellStyle name="20% - Accent3 2 15" xfId="1057" xr:uid="{00000000-0005-0000-0000-0000B40F0000}"/>
    <cellStyle name="20% - Accent3 2 15 2" xfId="15906" xr:uid="{00000000-0005-0000-0000-0000B50F0000}"/>
    <cellStyle name="20% - Accent3 2 15 2 2" xfId="29313" xr:uid="{00000000-0005-0000-0000-0000B60F0000}"/>
    <cellStyle name="20% - Accent3 2 15 3" xfId="18380" xr:uid="{00000000-0005-0000-0000-0000B70F0000}"/>
    <cellStyle name="20% - Accent3 2 16" xfId="8971" xr:uid="{00000000-0005-0000-0000-0000B80F0000}"/>
    <cellStyle name="20% - Accent3 2 16 2" xfId="23446" xr:uid="{00000000-0005-0000-0000-0000B90F0000}"/>
    <cellStyle name="20% - Accent3 2 17" xfId="18373" xr:uid="{00000000-0005-0000-0000-0000BA0F0000}"/>
    <cellStyle name="20% - Accent3 2 18" xfId="33070" xr:uid="{00000000-0005-0000-0000-0000BB0F0000}"/>
    <cellStyle name="20% - Accent3 2 2" xfId="1058" xr:uid="{00000000-0005-0000-0000-0000BC0F0000}"/>
    <cellStyle name="20% - Accent3 2 2 10" xfId="1059" xr:uid="{00000000-0005-0000-0000-0000BD0F0000}"/>
    <cellStyle name="20% - Accent3 2 2 10 2" xfId="14761" xr:uid="{00000000-0005-0000-0000-0000BE0F0000}"/>
    <cellStyle name="20% - Accent3 2 2 10 2 2" xfId="28310" xr:uid="{00000000-0005-0000-0000-0000BF0F0000}"/>
    <cellStyle name="20% - Accent3 2 2 10 3" xfId="18382" xr:uid="{00000000-0005-0000-0000-0000C00F0000}"/>
    <cellStyle name="20% - Accent3 2 2 11" xfId="1060" xr:uid="{00000000-0005-0000-0000-0000C10F0000}"/>
    <cellStyle name="20% - Accent3 2 2 11 2" xfId="15952" xr:uid="{00000000-0005-0000-0000-0000C20F0000}"/>
    <cellStyle name="20% - Accent3 2 2 11 2 2" xfId="29359" xr:uid="{00000000-0005-0000-0000-0000C30F0000}"/>
    <cellStyle name="20% - Accent3 2 2 11 3" xfId="18383" xr:uid="{00000000-0005-0000-0000-0000C40F0000}"/>
    <cellStyle name="20% - Accent3 2 2 12" xfId="8972" xr:uid="{00000000-0005-0000-0000-0000C50F0000}"/>
    <cellStyle name="20% - Accent3 2 2 12 2" xfId="23447" xr:uid="{00000000-0005-0000-0000-0000C60F0000}"/>
    <cellStyle name="20% - Accent3 2 2 13" xfId="18381" xr:uid="{00000000-0005-0000-0000-0000C70F0000}"/>
    <cellStyle name="20% - Accent3 2 2 2" xfId="1061" xr:uid="{00000000-0005-0000-0000-0000C80F0000}"/>
    <cellStyle name="20% - Accent3 2 2 2 10" xfId="1062" xr:uid="{00000000-0005-0000-0000-0000C90F0000}"/>
    <cellStyle name="20% - Accent3 2 2 2 10 2" xfId="16095" xr:uid="{00000000-0005-0000-0000-0000CA0F0000}"/>
    <cellStyle name="20% - Accent3 2 2 2 10 2 2" xfId="29502" xr:uid="{00000000-0005-0000-0000-0000CB0F0000}"/>
    <cellStyle name="20% - Accent3 2 2 2 10 3" xfId="18385" xr:uid="{00000000-0005-0000-0000-0000CC0F0000}"/>
    <cellStyle name="20% - Accent3 2 2 2 11" xfId="8973" xr:uid="{00000000-0005-0000-0000-0000CD0F0000}"/>
    <cellStyle name="20% - Accent3 2 2 2 11 2" xfId="23448" xr:uid="{00000000-0005-0000-0000-0000CE0F0000}"/>
    <cellStyle name="20% - Accent3 2 2 2 12" xfId="18384" xr:uid="{00000000-0005-0000-0000-0000CF0F0000}"/>
    <cellStyle name="20% - Accent3 2 2 2 2" xfId="1063" xr:uid="{00000000-0005-0000-0000-0000D00F0000}"/>
    <cellStyle name="20% - Accent3 2 2 2 2 10" xfId="8974" xr:uid="{00000000-0005-0000-0000-0000D10F0000}"/>
    <cellStyle name="20% - Accent3 2 2 2 2 10 2" xfId="23449" xr:uid="{00000000-0005-0000-0000-0000D20F0000}"/>
    <cellStyle name="20% - Accent3 2 2 2 2 11" xfId="18386" xr:uid="{00000000-0005-0000-0000-0000D30F0000}"/>
    <cellStyle name="20% - Accent3 2 2 2 2 2" xfId="1064" xr:uid="{00000000-0005-0000-0000-0000D40F0000}"/>
    <cellStyle name="20% - Accent3 2 2 2 2 2 2" xfId="1065" xr:uid="{00000000-0005-0000-0000-0000D50F0000}"/>
    <cellStyle name="20% - Accent3 2 2 2 2 2 2 2" xfId="10700" xr:uid="{00000000-0005-0000-0000-0000D60F0000}"/>
    <cellStyle name="20% - Accent3 2 2 2 2 2 2 2 2" xfId="24642" xr:uid="{00000000-0005-0000-0000-0000D70F0000}"/>
    <cellStyle name="20% - Accent3 2 2 2 2 2 2 3" xfId="18388" xr:uid="{00000000-0005-0000-0000-0000D80F0000}"/>
    <cellStyle name="20% - Accent3 2 2 2 2 2 3" xfId="1066" xr:uid="{00000000-0005-0000-0000-0000D90F0000}"/>
    <cellStyle name="20% - Accent3 2 2 2 2 2 3 2" xfId="12673" xr:uid="{00000000-0005-0000-0000-0000DA0F0000}"/>
    <cellStyle name="20% - Accent3 2 2 2 2 2 3 2 2" xfId="26385" xr:uid="{00000000-0005-0000-0000-0000DB0F0000}"/>
    <cellStyle name="20% - Accent3 2 2 2 2 2 3 3" xfId="18389" xr:uid="{00000000-0005-0000-0000-0000DC0F0000}"/>
    <cellStyle name="20% - Accent3 2 2 2 2 2 4" xfId="1067" xr:uid="{00000000-0005-0000-0000-0000DD0F0000}"/>
    <cellStyle name="20% - Accent3 2 2 2 2 2 4 2" xfId="14764" xr:uid="{00000000-0005-0000-0000-0000DE0F0000}"/>
    <cellStyle name="20% - Accent3 2 2 2 2 2 4 2 2" xfId="28313" xr:uid="{00000000-0005-0000-0000-0000DF0F0000}"/>
    <cellStyle name="20% - Accent3 2 2 2 2 2 4 3" xfId="18390" xr:uid="{00000000-0005-0000-0000-0000E00F0000}"/>
    <cellStyle name="20% - Accent3 2 2 2 2 2 5" xfId="1068" xr:uid="{00000000-0005-0000-0000-0000E10F0000}"/>
    <cellStyle name="20% - Accent3 2 2 2 2 2 5 2" xfId="16965" xr:uid="{00000000-0005-0000-0000-0000E20F0000}"/>
    <cellStyle name="20% - Accent3 2 2 2 2 2 5 2 2" xfId="30372" xr:uid="{00000000-0005-0000-0000-0000E30F0000}"/>
    <cellStyle name="20% - Accent3 2 2 2 2 2 5 3" xfId="18391" xr:uid="{00000000-0005-0000-0000-0000E40F0000}"/>
    <cellStyle name="20% - Accent3 2 2 2 2 2 6" xfId="8975" xr:uid="{00000000-0005-0000-0000-0000E50F0000}"/>
    <cellStyle name="20% - Accent3 2 2 2 2 2 6 2" xfId="23450" xr:uid="{00000000-0005-0000-0000-0000E60F0000}"/>
    <cellStyle name="20% - Accent3 2 2 2 2 2 7" xfId="18387" xr:uid="{00000000-0005-0000-0000-0000E70F0000}"/>
    <cellStyle name="20% - Accent3 2 2 2 2 3" xfId="1069" xr:uid="{00000000-0005-0000-0000-0000E80F0000}"/>
    <cellStyle name="20% - Accent3 2 2 2 2 3 2" xfId="1070" xr:uid="{00000000-0005-0000-0000-0000E90F0000}"/>
    <cellStyle name="20% - Accent3 2 2 2 2 3 2 2" xfId="14765" xr:uid="{00000000-0005-0000-0000-0000EA0F0000}"/>
    <cellStyle name="20% - Accent3 2 2 2 2 3 2 2 2" xfId="28314" xr:uid="{00000000-0005-0000-0000-0000EB0F0000}"/>
    <cellStyle name="20% - Accent3 2 2 2 2 3 2 3" xfId="18393" xr:uid="{00000000-0005-0000-0000-0000EC0F0000}"/>
    <cellStyle name="20% - Accent3 2 2 2 2 3 3" xfId="10699" xr:uid="{00000000-0005-0000-0000-0000ED0F0000}"/>
    <cellStyle name="20% - Accent3 2 2 2 2 3 3 2" xfId="24641" xr:uid="{00000000-0005-0000-0000-0000EE0F0000}"/>
    <cellStyle name="20% - Accent3 2 2 2 2 3 4" xfId="18392" xr:uid="{00000000-0005-0000-0000-0000EF0F0000}"/>
    <cellStyle name="20% - Accent3 2 2 2 2 4" xfId="1071" xr:uid="{00000000-0005-0000-0000-0000F00F0000}"/>
    <cellStyle name="20% - Accent3 2 2 2 2 4 2" xfId="12353" xr:uid="{00000000-0005-0000-0000-0000F10F0000}"/>
    <cellStyle name="20% - Accent3 2 2 2 2 4 2 2" xfId="26065" xr:uid="{00000000-0005-0000-0000-0000F20F0000}"/>
    <cellStyle name="20% - Accent3 2 2 2 2 4 3" xfId="18394" xr:uid="{00000000-0005-0000-0000-0000F30F0000}"/>
    <cellStyle name="20% - Accent3 2 2 2 2 5" xfId="1072" xr:uid="{00000000-0005-0000-0000-0000F40F0000}"/>
    <cellStyle name="20% - Accent3 2 2 2 2 5 2" xfId="12441" xr:uid="{00000000-0005-0000-0000-0000F50F0000}"/>
    <cellStyle name="20% - Accent3 2 2 2 2 5 2 2" xfId="26153" xr:uid="{00000000-0005-0000-0000-0000F60F0000}"/>
    <cellStyle name="20% - Accent3 2 2 2 2 5 3" xfId="18395" xr:uid="{00000000-0005-0000-0000-0000F70F0000}"/>
    <cellStyle name="20% - Accent3 2 2 2 2 6" xfId="1073" xr:uid="{00000000-0005-0000-0000-0000F80F0000}"/>
    <cellStyle name="20% - Accent3 2 2 2 2 6 2" xfId="13917" xr:uid="{00000000-0005-0000-0000-0000F90F0000}"/>
    <cellStyle name="20% - Accent3 2 2 2 2 6 2 2" xfId="27466" xr:uid="{00000000-0005-0000-0000-0000FA0F0000}"/>
    <cellStyle name="20% - Accent3 2 2 2 2 6 3" xfId="18396" xr:uid="{00000000-0005-0000-0000-0000FB0F0000}"/>
    <cellStyle name="20% - Accent3 2 2 2 2 7" xfId="1074" xr:uid="{00000000-0005-0000-0000-0000FC0F0000}"/>
    <cellStyle name="20% - Accent3 2 2 2 2 7 2" xfId="14498" xr:uid="{00000000-0005-0000-0000-0000FD0F0000}"/>
    <cellStyle name="20% - Accent3 2 2 2 2 7 2 2" xfId="28047" xr:uid="{00000000-0005-0000-0000-0000FE0F0000}"/>
    <cellStyle name="20% - Accent3 2 2 2 2 7 3" xfId="18397" xr:uid="{00000000-0005-0000-0000-0000FF0F0000}"/>
    <cellStyle name="20% - Accent3 2 2 2 2 8" xfId="1075" xr:uid="{00000000-0005-0000-0000-000000100000}"/>
    <cellStyle name="20% - Accent3 2 2 2 2 8 2" xfId="14763" xr:uid="{00000000-0005-0000-0000-000001100000}"/>
    <cellStyle name="20% - Accent3 2 2 2 2 8 2 2" xfId="28312" xr:uid="{00000000-0005-0000-0000-000002100000}"/>
    <cellStyle name="20% - Accent3 2 2 2 2 8 3" xfId="18398" xr:uid="{00000000-0005-0000-0000-000003100000}"/>
    <cellStyle name="20% - Accent3 2 2 2 2 9" xfId="1076" xr:uid="{00000000-0005-0000-0000-000004100000}"/>
    <cellStyle name="20% - Accent3 2 2 2 2 9 2" xfId="16384" xr:uid="{00000000-0005-0000-0000-000005100000}"/>
    <cellStyle name="20% - Accent3 2 2 2 2 9 2 2" xfId="29791" xr:uid="{00000000-0005-0000-0000-000006100000}"/>
    <cellStyle name="20% - Accent3 2 2 2 2 9 3" xfId="18399" xr:uid="{00000000-0005-0000-0000-000007100000}"/>
    <cellStyle name="20% - Accent3 2 2 2 3" xfId="1077" xr:uid="{00000000-0005-0000-0000-000008100000}"/>
    <cellStyle name="20% - Accent3 2 2 2 3 2" xfId="1078" xr:uid="{00000000-0005-0000-0000-000009100000}"/>
    <cellStyle name="20% - Accent3 2 2 2 3 2 2" xfId="10701" xr:uid="{00000000-0005-0000-0000-00000A100000}"/>
    <cellStyle name="20% - Accent3 2 2 2 3 2 2 2" xfId="24643" xr:uid="{00000000-0005-0000-0000-00000B100000}"/>
    <cellStyle name="20% - Accent3 2 2 2 3 2 3" xfId="18401" xr:uid="{00000000-0005-0000-0000-00000C100000}"/>
    <cellStyle name="20% - Accent3 2 2 2 3 3" xfId="1079" xr:uid="{00000000-0005-0000-0000-00000D100000}"/>
    <cellStyle name="20% - Accent3 2 2 2 3 3 2" xfId="12577" xr:uid="{00000000-0005-0000-0000-00000E100000}"/>
    <cellStyle name="20% - Accent3 2 2 2 3 3 2 2" xfId="26289" xr:uid="{00000000-0005-0000-0000-00000F100000}"/>
    <cellStyle name="20% - Accent3 2 2 2 3 3 3" xfId="18402" xr:uid="{00000000-0005-0000-0000-000010100000}"/>
    <cellStyle name="20% - Accent3 2 2 2 3 4" xfId="1080" xr:uid="{00000000-0005-0000-0000-000011100000}"/>
    <cellStyle name="20% - Accent3 2 2 2 3 4 2" xfId="14766" xr:uid="{00000000-0005-0000-0000-000012100000}"/>
    <cellStyle name="20% - Accent3 2 2 2 3 4 2 2" xfId="28315" xr:uid="{00000000-0005-0000-0000-000013100000}"/>
    <cellStyle name="20% - Accent3 2 2 2 3 4 3" xfId="18403" xr:uid="{00000000-0005-0000-0000-000014100000}"/>
    <cellStyle name="20% - Accent3 2 2 2 3 5" xfId="1081" xr:uid="{00000000-0005-0000-0000-000015100000}"/>
    <cellStyle name="20% - Accent3 2 2 2 3 5 2" xfId="16676" xr:uid="{00000000-0005-0000-0000-000016100000}"/>
    <cellStyle name="20% - Accent3 2 2 2 3 5 2 2" xfId="30083" xr:uid="{00000000-0005-0000-0000-000017100000}"/>
    <cellStyle name="20% - Accent3 2 2 2 3 5 3" xfId="18404" xr:uid="{00000000-0005-0000-0000-000018100000}"/>
    <cellStyle name="20% - Accent3 2 2 2 3 6" xfId="8976" xr:uid="{00000000-0005-0000-0000-000019100000}"/>
    <cellStyle name="20% - Accent3 2 2 2 3 6 2" xfId="23451" xr:uid="{00000000-0005-0000-0000-00001A100000}"/>
    <cellStyle name="20% - Accent3 2 2 2 3 7" xfId="18400" xr:uid="{00000000-0005-0000-0000-00001B100000}"/>
    <cellStyle name="20% - Accent3 2 2 2 4" xfId="1082" xr:uid="{00000000-0005-0000-0000-00001C100000}"/>
    <cellStyle name="20% - Accent3 2 2 2 4 2" xfId="1083" xr:uid="{00000000-0005-0000-0000-00001D100000}"/>
    <cellStyle name="20% - Accent3 2 2 2 4 2 2" xfId="14767" xr:uid="{00000000-0005-0000-0000-00001E100000}"/>
    <cellStyle name="20% - Accent3 2 2 2 4 2 2 2" xfId="28316" xr:uid="{00000000-0005-0000-0000-00001F100000}"/>
    <cellStyle name="20% - Accent3 2 2 2 4 2 3" xfId="18406" xr:uid="{00000000-0005-0000-0000-000020100000}"/>
    <cellStyle name="20% - Accent3 2 2 2 4 3" xfId="10698" xr:uid="{00000000-0005-0000-0000-000021100000}"/>
    <cellStyle name="20% - Accent3 2 2 2 4 3 2" xfId="24640" xr:uid="{00000000-0005-0000-0000-000022100000}"/>
    <cellStyle name="20% - Accent3 2 2 2 4 4" xfId="18405" xr:uid="{00000000-0005-0000-0000-000023100000}"/>
    <cellStyle name="20% - Accent3 2 2 2 5" xfId="1084" xr:uid="{00000000-0005-0000-0000-000024100000}"/>
    <cellStyle name="20% - Accent3 2 2 2 5 2" xfId="12053" xr:uid="{00000000-0005-0000-0000-000025100000}"/>
    <cellStyle name="20% - Accent3 2 2 2 5 2 2" xfId="25768" xr:uid="{00000000-0005-0000-0000-000026100000}"/>
    <cellStyle name="20% - Accent3 2 2 2 5 3" xfId="18407" xr:uid="{00000000-0005-0000-0000-000027100000}"/>
    <cellStyle name="20% - Accent3 2 2 2 6" xfId="1085" xr:uid="{00000000-0005-0000-0000-000028100000}"/>
    <cellStyle name="20% - Accent3 2 2 2 6 2" xfId="12420" xr:uid="{00000000-0005-0000-0000-000029100000}"/>
    <cellStyle name="20% - Accent3 2 2 2 6 2 2" xfId="26132" xr:uid="{00000000-0005-0000-0000-00002A100000}"/>
    <cellStyle name="20% - Accent3 2 2 2 6 3" xfId="18408" xr:uid="{00000000-0005-0000-0000-00002B100000}"/>
    <cellStyle name="20% - Accent3 2 2 2 7" xfId="1086" xr:uid="{00000000-0005-0000-0000-00002C100000}"/>
    <cellStyle name="20% - Accent3 2 2 2 7 2" xfId="13628" xr:uid="{00000000-0005-0000-0000-00002D100000}"/>
    <cellStyle name="20% - Accent3 2 2 2 7 2 2" xfId="27177" xr:uid="{00000000-0005-0000-0000-00002E100000}"/>
    <cellStyle name="20% - Accent3 2 2 2 7 3" xfId="18409" xr:uid="{00000000-0005-0000-0000-00002F100000}"/>
    <cellStyle name="20% - Accent3 2 2 2 8" xfId="1087" xr:uid="{00000000-0005-0000-0000-000030100000}"/>
    <cellStyle name="20% - Accent3 2 2 2 8 2" xfId="14209" xr:uid="{00000000-0005-0000-0000-000031100000}"/>
    <cellStyle name="20% - Accent3 2 2 2 8 2 2" xfId="27758" xr:uid="{00000000-0005-0000-0000-000032100000}"/>
    <cellStyle name="20% - Accent3 2 2 2 8 3" xfId="18410" xr:uid="{00000000-0005-0000-0000-000033100000}"/>
    <cellStyle name="20% - Accent3 2 2 2 9" xfId="1088" xr:uid="{00000000-0005-0000-0000-000034100000}"/>
    <cellStyle name="20% - Accent3 2 2 2 9 2" xfId="14762" xr:uid="{00000000-0005-0000-0000-000035100000}"/>
    <cellStyle name="20% - Accent3 2 2 2 9 2 2" xfId="28311" xr:uid="{00000000-0005-0000-0000-000036100000}"/>
    <cellStyle name="20% - Accent3 2 2 2 9 3" xfId="18411" xr:uid="{00000000-0005-0000-0000-000037100000}"/>
    <cellStyle name="20% - Accent3 2 2 3" xfId="1089" xr:uid="{00000000-0005-0000-0000-000038100000}"/>
    <cellStyle name="20% - Accent3 2 2 3 10" xfId="8977" xr:uid="{00000000-0005-0000-0000-000039100000}"/>
    <cellStyle name="20% - Accent3 2 2 3 10 2" xfId="23452" xr:uid="{00000000-0005-0000-0000-00003A100000}"/>
    <cellStyle name="20% - Accent3 2 2 3 11" xfId="18412" xr:uid="{00000000-0005-0000-0000-00003B100000}"/>
    <cellStyle name="20% - Accent3 2 2 3 2" xfId="1090" xr:uid="{00000000-0005-0000-0000-00003C100000}"/>
    <cellStyle name="20% - Accent3 2 2 3 2 2" xfId="1091" xr:uid="{00000000-0005-0000-0000-00003D100000}"/>
    <cellStyle name="20% - Accent3 2 2 3 2 2 2" xfId="10703" xr:uid="{00000000-0005-0000-0000-00003E100000}"/>
    <cellStyle name="20% - Accent3 2 2 3 2 2 2 2" xfId="24645" xr:uid="{00000000-0005-0000-0000-00003F100000}"/>
    <cellStyle name="20% - Accent3 2 2 3 2 2 3" xfId="18414" xr:uid="{00000000-0005-0000-0000-000040100000}"/>
    <cellStyle name="20% - Accent3 2 2 3 2 3" xfId="1092" xr:uid="{00000000-0005-0000-0000-000041100000}"/>
    <cellStyle name="20% - Accent3 2 2 3 2 3 2" xfId="12512" xr:uid="{00000000-0005-0000-0000-000042100000}"/>
    <cellStyle name="20% - Accent3 2 2 3 2 3 2 2" xfId="26224" xr:uid="{00000000-0005-0000-0000-000043100000}"/>
    <cellStyle name="20% - Accent3 2 2 3 2 3 3" xfId="18415" xr:uid="{00000000-0005-0000-0000-000044100000}"/>
    <cellStyle name="20% - Accent3 2 2 3 2 4" xfId="1093" xr:uid="{00000000-0005-0000-0000-000045100000}"/>
    <cellStyle name="20% - Accent3 2 2 3 2 4 2" xfId="14769" xr:uid="{00000000-0005-0000-0000-000046100000}"/>
    <cellStyle name="20% - Accent3 2 2 3 2 4 2 2" xfId="28318" xr:uid="{00000000-0005-0000-0000-000047100000}"/>
    <cellStyle name="20% - Accent3 2 2 3 2 4 3" xfId="18416" xr:uid="{00000000-0005-0000-0000-000048100000}"/>
    <cellStyle name="20% - Accent3 2 2 3 2 5" xfId="1094" xr:uid="{00000000-0005-0000-0000-000049100000}"/>
    <cellStyle name="20% - Accent3 2 2 3 2 5 2" xfId="16822" xr:uid="{00000000-0005-0000-0000-00004A100000}"/>
    <cellStyle name="20% - Accent3 2 2 3 2 5 2 2" xfId="30229" xr:uid="{00000000-0005-0000-0000-00004B100000}"/>
    <cellStyle name="20% - Accent3 2 2 3 2 5 3" xfId="18417" xr:uid="{00000000-0005-0000-0000-00004C100000}"/>
    <cellStyle name="20% - Accent3 2 2 3 2 6" xfId="8978" xr:uid="{00000000-0005-0000-0000-00004D100000}"/>
    <cellStyle name="20% - Accent3 2 2 3 2 6 2" xfId="23453" xr:uid="{00000000-0005-0000-0000-00004E100000}"/>
    <cellStyle name="20% - Accent3 2 2 3 2 7" xfId="18413" xr:uid="{00000000-0005-0000-0000-00004F100000}"/>
    <cellStyle name="20% - Accent3 2 2 3 3" xfId="1095" xr:uid="{00000000-0005-0000-0000-000050100000}"/>
    <cellStyle name="20% - Accent3 2 2 3 3 2" xfId="1096" xr:uid="{00000000-0005-0000-0000-000051100000}"/>
    <cellStyle name="20% - Accent3 2 2 3 3 2 2" xfId="14770" xr:uid="{00000000-0005-0000-0000-000052100000}"/>
    <cellStyle name="20% - Accent3 2 2 3 3 2 2 2" xfId="28319" xr:uid="{00000000-0005-0000-0000-000053100000}"/>
    <cellStyle name="20% - Accent3 2 2 3 3 2 3" xfId="18419" xr:uid="{00000000-0005-0000-0000-000054100000}"/>
    <cellStyle name="20% - Accent3 2 2 3 3 3" xfId="10702" xr:uid="{00000000-0005-0000-0000-000055100000}"/>
    <cellStyle name="20% - Accent3 2 2 3 3 3 2" xfId="24644" xr:uid="{00000000-0005-0000-0000-000056100000}"/>
    <cellStyle name="20% - Accent3 2 2 3 3 4" xfId="18418" xr:uid="{00000000-0005-0000-0000-000057100000}"/>
    <cellStyle name="20% - Accent3 2 2 3 4" xfId="1097" xr:uid="{00000000-0005-0000-0000-000058100000}"/>
    <cellStyle name="20% - Accent3 2 2 3 4 2" xfId="12210" xr:uid="{00000000-0005-0000-0000-000059100000}"/>
    <cellStyle name="20% - Accent3 2 2 3 4 2 2" xfId="25922" xr:uid="{00000000-0005-0000-0000-00005A100000}"/>
    <cellStyle name="20% - Accent3 2 2 3 4 3" xfId="18420" xr:uid="{00000000-0005-0000-0000-00005B100000}"/>
    <cellStyle name="20% - Accent3 2 2 3 5" xfId="1098" xr:uid="{00000000-0005-0000-0000-00005C100000}"/>
    <cellStyle name="20% - Accent3 2 2 3 5 2" xfId="11871" xr:uid="{00000000-0005-0000-0000-00005D100000}"/>
    <cellStyle name="20% - Accent3 2 2 3 5 2 2" xfId="25586" xr:uid="{00000000-0005-0000-0000-00005E100000}"/>
    <cellStyle name="20% - Accent3 2 2 3 5 3" xfId="18421" xr:uid="{00000000-0005-0000-0000-00005F100000}"/>
    <cellStyle name="20% - Accent3 2 2 3 6" xfId="1099" xr:uid="{00000000-0005-0000-0000-000060100000}"/>
    <cellStyle name="20% - Accent3 2 2 3 6 2" xfId="13774" xr:uid="{00000000-0005-0000-0000-000061100000}"/>
    <cellStyle name="20% - Accent3 2 2 3 6 2 2" xfId="27323" xr:uid="{00000000-0005-0000-0000-000062100000}"/>
    <cellStyle name="20% - Accent3 2 2 3 6 3" xfId="18422" xr:uid="{00000000-0005-0000-0000-000063100000}"/>
    <cellStyle name="20% - Accent3 2 2 3 7" xfId="1100" xr:uid="{00000000-0005-0000-0000-000064100000}"/>
    <cellStyle name="20% - Accent3 2 2 3 7 2" xfId="14355" xr:uid="{00000000-0005-0000-0000-000065100000}"/>
    <cellStyle name="20% - Accent3 2 2 3 7 2 2" xfId="27904" xr:uid="{00000000-0005-0000-0000-000066100000}"/>
    <cellStyle name="20% - Accent3 2 2 3 7 3" xfId="18423" xr:uid="{00000000-0005-0000-0000-000067100000}"/>
    <cellStyle name="20% - Accent3 2 2 3 8" xfId="1101" xr:uid="{00000000-0005-0000-0000-000068100000}"/>
    <cellStyle name="20% - Accent3 2 2 3 8 2" xfId="14768" xr:uid="{00000000-0005-0000-0000-000069100000}"/>
    <cellStyle name="20% - Accent3 2 2 3 8 2 2" xfId="28317" xr:uid="{00000000-0005-0000-0000-00006A100000}"/>
    <cellStyle name="20% - Accent3 2 2 3 8 3" xfId="18424" xr:uid="{00000000-0005-0000-0000-00006B100000}"/>
    <cellStyle name="20% - Accent3 2 2 3 9" xfId="1102" xr:uid="{00000000-0005-0000-0000-00006C100000}"/>
    <cellStyle name="20% - Accent3 2 2 3 9 2" xfId="16241" xr:uid="{00000000-0005-0000-0000-00006D100000}"/>
    <cellStyle name="20% - Accent3 2 2 3 9 2 2" xfId="29648" xr:uid="{00000000-0005-0000-0000-00006E100000}"/>
    <cellStyle name="20% - Accent3 2 2 3 9 3" xfId="18425" xr:uid="{00000000-0005-0000-0000-00006F100000}"/>
    <cellStyle name="20% - Accent3 2 2 4" xfId="1103" xr:uid="{00000000-0005-0000-0000-000070100000}"/>
    <cellStyle name="20% - Accent3 2 2 4 2" xfId="1104" xr:uid="{00000000-0005-0000-0000-000071100000}"/>
    <cellStyle name="20% - Accent3 2 2 4 2 2" xfId="10704" xr:uid="{00000000-0005-0000-0000-000072100000}"/>
    <cellStyle name="20% - Accent3 2 2 4 2 2 2" xfId="24646" xr:uid="{00000000-0005-0000-0000-000073100000}"/>
    <cellStyle name="20% - Accent3 2 2 4 2 3" xfId="18427" xr:uid="{00000000-0005-0000-0000-000074100000}"/>
    <cellStyle name="20% - Accent3 2 2 4 3" xfId="1105" xr:uid="{00000000-0005-0000-0000-000075100000}"/>
    <cellStyle name="20% - Accent3 2 2 4 3 2" xfId="12762" xr:uid="{00000000-0005-0000-0000-000076100000}"/>
    <cellStyle name="20% - Accent3 2 2 4 3 2 2" xfId="26474" xr:uid="{00000000-0005-0000-0000-000077100000}"/>
    <cellStyle name="20% - Accent3 2 2 4 3 3" xfId="18428" xr:uid="{00000000-0005-0000-0000-000078100000}"/>
    <cellStyle name="20% - Accent3 2 2 4 4" xfId="1106" xr:uid="{00000000-0005-0000-0000-000079100000}"/>
    <cellStyle name="20% - Accent3 2 2 4 4 2" xfId="14771" xr:uid="{00000000-0005-0000-0000-00007A100000}"/>
    <cellStyle name="20% - Accent3 2 2 4 4 2 2" xfId="28320" xr:uid="{00000000-0005-0000-0000-00007B100000}"/>
    <cellStyle name="20% - Accent3 2 2 4 4 3" xfId="18429" xr:uid="{00000000-0005-0000-0000-00007C100000}"/>
    <cellStyle name="20% - Accent3 2 2 4 5" xfId="1107" xr:uid="{00000000-0005-0000-0000-00007D100000}"/>
    <cellStyle name="20% - Accent3 2 2 4 5 2" xfId="17169" xr:uid="{00000000-0005-0000-0000-00007E100000}"/>
    <cellStyle name="20% - Accent3 2 2 4 5 2 2" xfId="30528" xr:uid="{00000000-0005-0000-0000-00007F100000}"/>
    <cellStyle name="20% - Accent3 2 2 4 5 3" xfId="18430" xr:uid="{00000000-0005-0000-0000-000080100000}"/>
    <cellStyle name="20% - Accent3 2 2 4 6" xfId="8979" xr:uid="{00000000-0005-0000-0000-000081100000}"/>
    <cellStyle name="20% - Accent3 2 2 4 6 2" xfId="23454" xr:uid="{00000000-0005-0000-0000-000082100000}"/>
    <cellStyle name="20% - Accent3 2 2 4 7" xfId="18426" xr:uid="{00000000-0005-0000-0000-000083100000}"/>
    <cellStyle name="20% - Accent3 2 2 5" xfId="1108" xr:uid="{00000000-0005-0000-0000-000084100000}"/>
    <cellStyle name="20% - Accent3 2 2 5 2" xfId="1109" xr:uid="{00000000-0005-0000-0000-000085100000}"/>
    <cellStyle name="20% - Accent3 2 2 5 2 2" xfId="14772" xr:uid="{00000000-0005-0000-0000-000086100000}"/>
    <cellStyle name="20% - Accent3 2 2 5 2 2 2" xfId="28321" xr:uid="{00000000-0005-0000-0000-000087100000}"/>
    <cellStyle name="20% - Accent3 2 2 5 2 3" xfId="18432" xr:uid="{00000000-0005-0000-0000-000088100000}"/>
    <cellStyle name="20% - Accent3 2 2 5 3" xfId="1110" xr:uid="{00000000-0005-0000-0000-000089100000}"/>
    <cellStyle name="20% - Accent3 2 2 5 3 2" xfId="17258" xr:uid="{00000000-0005-0000-0000-00008A100000}"/>
    <cellStyle name="20% - Accent3 2 2 5 3 2 2" xfId="30617" xr:uid="{00000000-0005-0000-0000-00008B100000}"/>
    <cellStyle name="20% - Accent3 2 2 5 3 3" xfId="18433" xr:uid="{00000000-0005-0000-0000-00008C100000}"/>
    <cellStyle name="20% - Accent3 2 2 5 4" xfId="10697" xr:uid="{00000000-0005-0000-0000-00008D100000}"/>
    <cellStyle name="20% - Accent3 2 2 5 4 2" xfId="24639" xr:uid="{00000000-0005-0000-0000-00008E100000}"/>
    <cellStyle name="20% - Accent3 2 2 5 5" xfId="18431" xr:uid="{00000000-0005-0000-0000-00008F100000}"/>
    <cellStyle name="20% - Accent3 2 2 6" xfId="1111" xr:uid="{00000000-0005-0000-0000-000090100000}"/>
    <cellStyle name="20% - Accent3 2 2 6 2" xfId="1112" xr:uid="{00000000-0005-0000-0000-000091100000}"/>
    <cellStyle name="20% - Accent3 2 2 6 2 2" xfId="16533" xr:uid="{00000000-0005-0000-0000-000092100000}"/>
    <cellStyle name="20% - Accent3 2 2 6 2 2 2" xfId="29940" xr:uid="{00000000-0005-0000-0000-000093100000}"/>
    <cellStyle name="20% - Accent3 2 2 6 2 3" xfId="18435" xr:uid="{00000000-0005-0000-0000-000094100000}"/>
    <cellStyle name="20% - Accent3 2 2 6 3" xfId="11908" xr:uid="{00000000-0005-0000-0000-000095100000}"/>
    <cellStyle name="20% - Accent3 2 2 6 3 2" xfId="25623" xr:uid="{00000000-0005-0000-0000-000096100000}"/>
    <cellStyle name="20% - Accent3 2 2 6 4" xfId="18434" xr:uid="{00000000-0005-0000-0000-000097100000}"/>
    <cellStyle name="20% - Accent3 2 2 7" xfId="1113" xr:uid="{00000000-0005-0000-0000-000098100000}"/>
    <cellStyle name="20% - Accent3 2 2 7 2" xfId="12646" xr:uid="{00000000-0005-0000-0000-000099100000}"/>
    <cellStyle name="20% - Accent3 2 2 7 2 2" xfId="26358" xr:uid="{00000000-0005-0000-0000-00009A100000}"/>
    <cellStyle name="20% - Accent3 2 2 7 3" xfId="18436" xr:uid="{00000000-0005-0000-0000-00009B100000}"/>
    <cellStyle name="20% - Accent3 2 2 8" xfId="1114" xr:uid="{00000000-0005-0000-0000-00009C100000}"/>
    <cellStyle name="20% - Accent3 2 2 8 2" xfId="13485" xr:uid="{00000000-0005-0000-0000-00009D100000}"/>
    <cellStyle name="20% - Accent3 2 2 8 2 2" xfId="27034" xr:uid="{00000000-0005-0000-0000-00009E100000}"/>
    <cellStyle name="20% - Accent3 2 2 8 3" xfId="18437" xr:uid="{00000000-0005-0000-0000-00009F100000}"/>
    <cellStyle name="20% - Accent3 2 2 9" xfId="1115" xr:uid="{00000000-0005-0000-0000-0000A0100000}"/>
    <cellStyle name="20% - Accent3 2 2 9 2" xfId="14066" xr:uid="{00000000-0005-0000-0000-0000A1100000}"/>
    <cellStyle name="20% - Accent3 2 2 9 2 2" xfId="27615" xr:uid="{00000000-0005-0000-0000-0000A2100000}"/>
    <cellStyle name="20% - Accent3 2 2 9 3" xfId="18438" xr:uid="{00000000-0005-0000-0000-0000A3100000}"/>
    <cellStyle name="20% - Accent3 2 3" xfId="1116" xr:uid="{00000000-0005-0000-0000-0000A4100000}"/>
    <cellStyle name="20% - Accent3 2 3 10" xfId="1117" xr:uid="{00000000-0005-0000-0000-0000A5100000}"/>
    <cellStyle name="20% - Accent3 2 3 10 2" xfId="16049" xr:uid="{00000000-0005-0000-0000-0000A6100000}"/>
    <cellStyle name="20% - Accent3 2 3 10 2 2" xfId="29456" xr:uid="{00000000-0005-0000-0000-0000A7100000}"/>
    <cellStyle name="20% - Accent3 2 3 10 3" xfId="18440" xr:uid="{00000000-0005-0000-0000-0000A8100000}"/>
    <cellStyle name="20% - Accent3 2 3 11" xfId="8980" xr:uid="{00000000-0005-0000-0000-0000A9100000}"/>
    <cellStyle name="20% - Accent3 2 3 11 2" xfId="23455" xr:uid="{00000000-0005-0000-0000-0000AA100000}"/>
    <cellStyle name="20% - Accent3 2 3 12" xfId="18439" xr:uid="{00000000-0005-0000-0000-0000AB100000}"/>
    <cellStyle name="20% - Accent3 2 3 2" xfId="1118" xr:uid="{00000000-0005-0000-0000-0000AC100000}"/>
    <cellStyle name="20% - Accent3 2 3 2 10" xfId="8981" xr:uid="{00000000-0005-0000-0000-0000AD100000}"/>
    <cellStyle name="20% - Accent3 2 3 2 10 2" xfId="23456" xr:uid="{00000000-0005-0000-0000-0000AE100000}"/>
    <cellStyle name="20% - Accent3 2 3 2 11" xfId="18441" xr:uid="{00000000-0005-0000-0000-0000AF100000}"/>
    <cellStyle name="20% - Accent3 2 3 2 2" xfId="1119" xr:uid="{00000000-0005-0000-0000-0000B0100000}"/>
    <cellStyle name="20% - Accent3 2 3 2 2 2" xfId="1120" xr:uid="{00000000-0005-0000-0000-0000B1100000}"/>
    <cellStyle name="20% - Accent3 2 3 2 2 2 2" xfId="10707" xr:uid="{00000000-0005-0000-0000-0000B2100000}"/>
    <cellStyle name="20% - Accent3 2 3 2 2 2 2 2" xfId="24649" xr:uid="{00000000-0005-0000-0000-0000B3100000}"/>
    <cellStyle name="20% - Accent3 2 3 2 2 2 3" xfId="18443" xr:uid="{00000000-0005-0000-0000-0000B4100000}"/>
    <cellStyle name="20% - Accent3 2 3 2 2 3" xfId="1121" xr:uid="{00000000-0005-0000-0000-0000B5100000}"/>
    <cellStyle name="20% - Accent3 2 3 2 2 3 2" xfId="12671" xr:uid="{00000000-0005-0000-0000-0000B6100000}"/>
    <cellStyle name="20% - Accent3 2 3 2 2 3 2 2" xfId="26383" xr:uid="{00000000-0005-0000-0000-0000B7100000}"/>
    <cellStyle name="20% - Accent3 2 3 2 2 3 3" xfId="18444" xr:uid="{00000000-0005-0000-0000-0000B8100000}"/>
    <cellStyle name="20% - Accent3 2 3 2 2 4" xfId="1122" xr:uid="{00000000-0005-0000-0000-0000B9100000}"/>
    <cellStyle name="20% - Accent3 2 3 2 2 4 2" xfId="14775" xr:uid="{00000000-0005-0000-0000-0000BA100000}"/>
    <cellStyle name="20% - Accent3 2 3 2 2 4 2 2" xfId="28324" xr:uid="{00000000-0005-0000-0000-0000BB100000}"/>
    <cellStyle name="20% - Accent3 2 3 2 2 4 3" xfId="18445" xr:uid="{00000000-0005-0000-0000-0000BC100000}"/>
    <cellStyle name="20% - Accent3 2 3 2 2 5" xfId="1123" xr:uid="{00000000-0005-0000-0000-0000BD100000}"/>
    <cellStyle name="20% - Accent3 2 3 2 2 5 2" xfId="16919" xr:uid="{00000000-0005-0000-0000-0000BE100000}"/>
    <cellStyle name="20% - Accent3 2 3 2 2 5 2 2" xfId="30326" xr:uid="{00000000-0005-0000-0000-0000BF100000}"/>
    <cellStyle name="20% - Accent3 2 3 2 2 5 3" xfId="18446" xr:uid="{00000000-0005-0000-0000-0000C0100000}"/>
    <cellStyle name="20% - Accent3 2 3 2 2 6" xfId="8982" xr:uid="{00000000-0005-0000-0000-0000C1100000}"/>
    <cellStyle name="20% - Accent3 2 3 2 2 6 2" xfId="23457" xr:uid="{00000000-0005-0000-0000-0000C2100000}"/>
    <cellStyle name="20% - Accent3 2 3 2 2 7" xfId="18442" xr:uid="{00000000-0005-0000-0000-0000C3100000}"/>
    <cellStyle name="20% - Accent3 2 3 2 3" xfId="1124" xr:uid="{00000000-0005-0000-0000-0000C4100000}"/>
    <cellStyle name="20% - Accent3 2 3 2 3 2" xfId="1125" xr:uid="{00000000-0005-0000-0000-0000C5100000}"/>
    <cellStyle name="20% - Accent3 2 3 2 3 2 2" xfId="14776" xr:uid="{00000000-0005-0000-0000-0000C6100000}"/>
    <cellStyle name="20% - Accent3 2 3 2 3 2 2 2" xfId="28325" xr:uid="{00000000-0005-0000-0000-0000C7100000}"/>
    <cellStyle name="20% - Accent3 2 3 2 3 2 3" xfId="18448" xr:uid="{00000000-0005-0000-0000-0000C8100000}"/>
    <cellStyle name="20% - Accent3 2 3 2 3 3" xfId="10706" xr:uid="{00000000-0005-0000-0000-0000C9100000}"/>
    <cellStyle name="20% - Accent3 2 3 2 3 3 2" xfId="24648" xr:uid="{00000000-0005-0000-0000-0000CA100000}"/>
    <cellStyle name="20% - Accent3 2 3 2 3 4" xfId="18447" xr:uid="{00000000-0005-0000-0000-0000CB100000}"/>
    <cellStyle name="20% - Accent3 2 3 2 4" xfId="1126" xr:uid="{00000000-0005-0000-0000-0000CC100000}"/>
    <cellStyle name="20% - Accent3 2 3 2 4 2" xfId="12307" xr:uid="{00000000-0005-0000-0000-0000CD100000}"/>
    <cellStyle name="20% - Accent3 2 3 2 4 2 2" xfId="26019" xr:uid="{00000000-0005-0000-0000-0000CE100000}"/>
    <cellStyle name="20% - Accent3 2 3 2 4 3" xfId="18449" xr:uid="{00000000-0005-0000-0000-0000CF100000}"/>
    <cellStyle name="20% - Accent3 2 3 2 5" xfId="1127" xr:uid="{00000000-0005-0000-0000-0000D0100000}"/>
    <cellStyle name="20% - Accent3 2 3 2 5 2" xfId="12449" xr:uid="{00000000-0005-0000-0000-0000D1100000}"/>
    <cellStyle name="20% - Accent3 2 3 2 5 2 2" xfId="26161" xr:uid="{00000000-0005-0000-0000-0000D2100000}"/>
    <cellStyle name="20% - Accent3 2 3 2 5 3" xfId="18450" xr:uid="{00000000-0005-0000-0000-0000D3100000}"/>
    <cellStyle name="20% - Accent3 2 3 2 6" xfId="1128" xr:uid="{00000000-0005-0000-0000-0000D4100000}"/>
    <cellStyle name="20% - Accent3 2 3 2 6 2" xfId="13871" xr:uid="{00000000-0005-0000-0000-0000D5100000}"/>
    <cellStyle name="20% - Accent3 2 3 2 6 2 2" xfId="27420" xr:uid="{00000000-0005-0000-0000-0000D6100000}"/>
    <cellStyle name="20% - Accent3 2 3 2 6 3" xfId="18451" xr:uid="{00000000-0005-0000-0000-0000D7100000}"/>
    <cellStyle name="20% - Accent3 2 3 2 7" xfId="1129" xr:uid="{00000000-0005-0000-0000-0000D8100000}"/>
    <cellStyle name="20% - Accent3 2 3 2 7 2" xfId="14452" xr:uid="{00000000-0005-0000-0000-0000D9100000}"/>
    <cellStyle name="20% - Accent3 2 3 2 7 2 2" xfId="28001" xr:uid="{00000000-0005-0000-0000-0000DA100000}"/>
    <cellStyle name="20% - Accent3 2 3 2 7 3" xfId="18452" xr:uid="{00000000-0005-0000-0000-0000DB100000}"/>
    <cellStyle name="20% - Accent3 2 3 2 8" xfId="1130" xr:uid="{00000000-0005-0000-0000-0000DC100000}"/>
    <cellStyle name="20% - Accent3 2 3 2 8 2" xfId="14774" xr:uid="{00000000-0005-0000-0000-0000DD100000}"/>
    <cellStyle name="20% - Accent3 2 3 2 8 2 2" xfId="28323" xr:uid="{00000000-0005-0000-0000-0000DE100000}"/>
    <cellStyle name="20% - Accent3 2 3 2 8 3" xfId="18453" xr:uid="{00000000-0005-0000-0000-0000DF100000}"/>
    <cellStyle name="20% - Accent3 2 3 2 9" xfId="1131" xr:uid="{00000000-0005-0000-0000-0000E0100000}"/>
    <cellStyle name="20% - Accent3 2 3 2 9 2" xfId="16338" xr:uid="{00000000-0005-0000-0000-0000E1100000}"/>
    <cellStyle name="20% - Accent3 2 3 2 9 2 2" xfId="29745" xr:uid="{00000000-0005-0000-0000-0000E2100000}"/>
    <cellStyle name="20% - Accent3 2 3 2 9 3" xfId="18454" xr:uid="{00000000-0005-0000-0000-0000E3100000}"/>
    <cellStyle name="20% - Accent3 2 3 3" xfId="1132" xr:uid="{00000000-0005-0000-0000-0000E4100000}"/>
    <cellStyle name="20% - Accent3 2 3 3 2" xfId="1133" xr:uid="{00000000-0005-0000-0000-0000E5100000}"/>
    <cellStyle name="20% - Accent3 2 3 3 2 2" xfId="10708" xr:uid="{00000000-0005-0000-0000-0000E6100000}"/>
    <cellStyle name="20% - Accent3 2 3 3 2 2 2" xfId="24650" xr:uid="{00000000-0005-0000-0000-0000E7100000}"/>
    <cellStyle name="20% - Accent3 2 3 3 2 3" xfId="18456" xr:uid="{00000000-0005-0000-0000-0000E8100000}"/>
    <cellStyle name="20% - Accent3 2 3 3 3" xfId="1134" xr:uid="{00000000-0005-0000-0000-0000E9100000}"/>
    <cellStyle name="20% - Accent3 2 3 3 3 2" xfId="12672" xr:uid="{00000000-0005-0000-0000-0000EA100000}"/>
    <cellStyle name="20% - Accent3 2 3 3 3 2 2" xfId="26384" xr:uid="{00000000-0005-0000-0000-0000EB100000}"/>
    <cellStyle name="20% - Accent3 2 3 3 3 3" xfId="18457" xr:uid="{00000000-0005-0000-0000-0000EC100000}"/>
    <cellStyle name="20% - Accent3 2 3 3 4" xfId="1135" xr:uid="{00000000-0005-0000-0000-0000ED100000}"/>
    <cellStyle name="20% - Accent3 2 3 3 4 2" xfId="14777" xr:uid="{00000000-0005-0000-0000-0000EE100000}"/>
    <cellStyle name="20% - Accent3 2 3 3 4 2 2" xfId="28326" xr:uid="{00000000-0005-0000-0000-0000EF100000}"/>
    <cellStyle name="20% - Accent3 2 3 3 4 3" xfId="18458" xr:uid="{00000000-0005-0000-0000-0000F0100000}"/>
    <cellStyle name="20% - Accent3 2 3 3 5" xfId="1136" xr:uid="{00000000-0005-0000-0000-0000F1100000}"/>
    <cellStyle name="20% - Accent3 2 3 3 5 2" xfId="16630" xr:uid="{00000000-0005-0000-0000-0000F2100000}"/>
    <cellStyle name="20% - Accent3 2 3 3 5 2 2" xfId="30037" xr:uid="{00000000-0005-0000-0000-0000F3100000}"/>
    <cellStyle name="20% - Accent3 2 3 3 5 3" xfId="18459" xr:uid="{00000000-0005-0000-0000-0000F4100000}"/>
    <cellStyle name="20% - Accent3 2 3 3 6" xfId="8983" xr:uid="{00000000-0005-0000-0000-0000F5100000}"/>
    <cellStyle name="20% - Accent3 2 3 3 6 2" xfId="23458" xr:uid="{00000000-0005-0000-0000-0000F6100000}"/>
    <cellStyle name="20% - Accent3 2 3 3 7" xfId="18455" xr:uid="{00000000-0005-0000-0000-0000F7100000}"/>
    <cellStyle name="20% - Accent3 2 3 4" xfId="1137" xr:uid="{00000000-0005-0000-0000-0000F8100000}"/>
    <cellStyle name="20% - Accent3 2 3 4 2" xfId="1138" xr:uid="{00000000-0005-0000-0000-0000F9100000}"/>
    <cellStyle name="20% - Accent3 2 3 4 2 2" xfId="14778" xr:uid="{00000000-0005-0000-0000-0000FA100000}"/>
    <cellStyle name="20% - Accent3 2 3 4 2 2 2" xfId="28327" xr:uid="{00000000-0005-0000-0000-0000FB100000}"/>
    <cellStyle name="20% - Accent3 2 3 4 2 3" xfId="18461" xr:uid="{00000000-0005-0000-0000-0000FC100000}"/>
    <cellStyle name="20% - Accent3 2 3 4 3" xfId="10705" xr:uid="{00000000-0005-0000-0000-0000FD100000}"/>
    <cellStyle name="20% - Accent3 2 3 4 3 2" xfId="24647" xr:uid="{00000000-0005-0000-0000-0000FE100000}"/>
    <cellStyle name="20% - Accent3 2 3 4 4" xfId="18460" xr:uid="{00000000-0005-0000-0000-0000FF100000}"/>
    <cellStyle name="20% - Accent3 2 3 5" xfId="1139" xr:uid="{00000000-0005-0000-0000-000000110000}"/>
    <cellStyle name="20% - Accent3 2 3 5 2" xfId="12007" xr:uid="{00000000-0005-0000-0000-000001110000}"/>
    <cellStyle name="20% - Accent3 2 3 5 2 2" xfId="25722" xr:uid="{00000000-0005-0000-0000-000002110000}"/>
    <cellStyle name="20% - Accent3 2 3 5 3" xfId="18462" xr:uid="{00000000-0005-0000-0000-000003110000}"/>
    <cellStyle name="20% - Accent3 2 3 6" xfId="1140" xr:uid="{00000000-0005-0000-0000-000004110000}"/>
    <cellStyle name="20% - Accent3 2 3 6 2" xfId="12787" xr:uid="{00000000-0005-0000-0000-000005110000}"/>
    <cellStyle name="20% - Accent3 2 3 6 2 2" xfId="26499" xr:uid="{00000000-0005-0000-0000-000006110000}"/>
    <cellStyle name="20% - Accent3 2 3 6 3" xfId="18463" xr:uid="{00000000-0005-0000-0000-000007110000}"/>
    <cellStyle name="20% - Accent3 2 3 7" xfId="1141" xr:uid="{00000000-0005-0000-0000-000008110000}"/>
    <cellStyle name="20% - Accent3 2 3 7 2" xfId="13582" xr:uid="{00000000-0005-0000-0000-000009110000}"/>
    <cellStyle name="20% - Accent3 2 3 7 2 2" xfId="27131" xr:uid="{00000000-0005-0000-0000-00000A110000}"/>
    <cellStyle name="20% - Accent3 2 3 7 3" xfId="18464" xr:uid="{00000000-0005-0000-0000-00000B110000}"/>
    <cellStyle name="20% - Accent3 2 3 8" xfId="1142" xr:uid="{00000000-0005-0000-0000-00000C110000}"/>
    <cellStyle name="20% - Accent3 2 3 8 2" xfId="14163" xr:uid="{00000000-0005-0000-0000-00000D110000}"/>
    <cellStyle name="20% - Accent3 2 3 8 2 2" xfId="27712" xr:uid="{00000000-0005-0000-0000-00000E110000}"/>
    <cellStyle name="20% - Accent3 2 3 8 3" xfId="18465" xr:uid="{00000000-0005-0000-0000-00000F110000}"/>
    <cellStyle name="20% - Accent3 2 3 9" xfId="1143" xr:uid="{00000000-0005-0000-0000-000010110000}"/>
    <cellStyle name="20% - Accent3 2 3 9 2" xfId="14773" xr:uid="{00000000-0005-0000-0000-000011110000}"/>
    <cellStyle name="20% - Accent3 2 3 9 2 2" xfId="28322" xr:uid="{00000000-0005-0000-0000-000012110000}"/>
    <cellStyle name="20% - Accent3 2 3 9 3" xfId="18466" xr:uid="{00000000-0005-0000-0000-000013110000}"/>
    <cellStyle name="20% - Accent3 2 4" xfId="1144" xr:uid="{00000000-0005-0000-0000-000014110000}"/>
    <cellStyle name="20% - Accent3 2 4 10" xfId="8984" xr:uid="{00000000-0005-0000-0000-000015110000}"/>
    <cellStyle name="20% - Accent3 2 4 10 2" xfId="23459" xr:uid="{00000000-0005-0000-0000-000016110000}"/>
    <cellStyle name="20% - Accent3 2 4 11" xfId="18467" xr:uid="{00000000-0005-0000-0000-000017110000}"/>
    <cellStyle name="20% - Accent3 2 4 2" xfId="1145" xr:uid="{00000000-0005-0000-0000-000018110000}"/>
    <cellStyle name="20% - Accent3 2 4 2 2" xfId="1146" xr:uid="{00000000-0005-0000-0000-000019110000}"/>
    <cellStyle name="20% - Accent3 2 4 2 2 2" xfId="10710" xr:uid="{00000000-0005-0000-0000-00001A110000}"/>
    <cellStyle name="20% - Accent3 2 4 2 2 2 2" xfId="24652" xr:uid="{00000000-0005-0000-0000-00001B110000}"/>
    <cellStyle name="20% - Accent3 2 4 2 2 3" xfId="18469" xr:uid="{00000000-0005-0000-0000-00001C110000}"/>
    <cellStyle name="20% - Accent3 2 4 2 3" xfId="1147" xr:uid="{00000000-0005-0000-0000-00001D110000}"/>
    <cellStyle name="20% - Accent3 2 4 2 3 2" xfId="12808" xr:uid="{00000000-0005-0000-0000-00001E110000}"/>
    <cellStyle name="20% - Accent3 2 4 2 3 2 2" xfId="26520" xr:uid="{00000000-0005-0000-0000-00001F110000}"/>
    <cellStyle name="20% - Accent3 2 4 2 3 3" xfId="18470" xr:uid="{00000000-0005-0000-0000-000020110000}"/>
    <cellStyle name="20% - Accent3 2 4 2 4" xfId="1148" xr:uid="{00000000-0005-0000-0000-000021110000}"/>
    <cellStyle name="20% - Accent3 2 4 2 4 2" xfId="14780" xr:uid="{00000000-0005-0000-0000-000022110000}"/>
    <cellStyle name="20% - Accent3 2 4 2 4 2 2" xfId="28329" xr:uid="{00000000-0005-0000-0000-000023110000}"/>
    <cellStyle name="20% - Accent3 2 4 2 4 3" xfId="18471" xr:uid="{00000000-0005-0000-0000-000024110000}"/>
    <cellStyle name="20% - Accent3 2 4 2 5" xfId="1149" xr:uid="{00000000-0005-0000-0000-000025110000}"/>
    <cellStyle name="20% - Accent3 2 4 2 5 2" xfId="16776" xr:uid="{00000000-0005-0000-0000-000026110000}"/>
    <cellStyle name="20% - Accent3 2 4 2 5 2 2" xfId="30183" xr:uid="{00000000-0005-0000-0000-000027110000}"/>
    <cellStyle name="20% - Accent3 2 4 2 5 3" xfId="18472" xr:uid="{00000000-0005-0000-0000-000028110000}"/>
    <cellStyle name="20% - Accent3 2 4 2 6" xfId="8985" xr:uid="{00000000-0005-0000-0000-000029110000}"/>
    <cellStyle name="20% - Accent3 2 4 2 6 2" xfId="23460" xr:uid="{00000000-0005-0000-0000-00002A110000}"/>
    <cellStyle name="20% - Accent3 2 4 2 7" xfId="18468" xr:uid="{00000000-0005-0000-0000-00002B110000}"/>
    <cellStyle name="20% - Accent3 2 4 3" xfId="1150" xr:uid="{00000000-0005-0000-0000-00002C110000}"/>
    <cellStyle name="20% - Accent3 2 4 3 2" xfId="1151" xr:uid="{00000000-0005-0000-0000-00002D110000}"/>
    <cellStyle name="20% - Accent3 2 4 3 2 2" xfId="14781" xr:uid="{00000000-0005-0000-0000-00002E110000}"/>
    <cellStyle name="20% - Accent3 2 4 3 2 2 2" xfId="28330" xr:uid="{00000000-0005-0000-0000-00002F110000}"/>
    <cellStyle name="20% - Accent3 2 4 3 2 3" xfId="18474" xr:uid="{00000000-0005-0000-0000-000030110000}"/>
    <cellStyle name="20% - Accent3 2 4 3 3" xfId="10709" xr:uid="{00000000-0005-0000-0000-000031110000}"/>
    <cellStyle name="20% - Accent3 2 4 3 3 2" xfId="24651" xr:uid="{00000000-0005-0000-0000-000032110000}"/>
    <cellStyle name="20% - Accent3 2 4 3 4" xfId="18473" xr:uid="{00000000-0005-0000-0000-000033110000}"/>
    <cellStyle name="20% - Accent3 2 4 4" xfId="1152" xr:uid="{00000000-0005-0000-0000-000034110000}"/>
    <cellStyle name="20% - Accent3 2 4 4 2" xfId="12164" xr:uid="{00000000-0005-0000-0000-000035110000}"/>
    <cellStyle name="20% - Accent3 2 4 4 2 2" xfId="25876" xr:uid="{00000000-0005-0000-0000-000036110000}"/>
    <cellStyle name="20% - Accent3 2 4 4 3" xfId="18475" xr:uid="{00000000-0005-0000-0000-000037110000}"/>
    <cellStyle name="20% - Accent3 2 4 5" xfId="1153" xr:uid="{00000000-0005-0000-0000-000038110000}"/>
    <cellStyle name="20% - Accent3 2 4 5 2" xfId="12493" xr:uid="{00000000-0005-0000-0000-000039110000}"/>
    <cellStyle name="20% - Accent3 2 4 5 2 2" xfId="26205" xr:uid="{00000000-0005-0000-0000-00003A110000}"/>
    <cellStyle name="20% - Accent3 2 4 5 3" xfId="18476" xr:uid="{00000000-0005-0000-0000-00003B110000}"/>
    <cellStyle name="20% - Accent3 2 4 6" xfId="1154" xr:uid="{00000000-0005-0000-0000-00003C110000}"/>
    <cellStyle name="20% - Accent3 2 4 6 2" xfId="13728" xr:uid="{00000000-0005-0000-0000-00003D110000}"/>
    <cellStyle name="20% - Accent3 2 4 6 2 2" xfId="27277" xr:uid="{00000000-0005-0000-0000-00003E110000}"/>
    <cellStyle name="20% - Accent3 2 4 6 3" xfId="18477" xr:uid="{00000000-0005-0000-0000-00003F110000}"/>
    <cellStyle name="20% - Accent3 2 4 7" xfId="1155" xr:uid="{00000000-0005-0000-0000-000040110000}"/>
    <cellStyle name="20% - Accent3 2 4 7 2" xfId="14309" xr:uid="{00000000-0005-0000-0000-000041110000}"/>
    <cellStyle name="20% - Accent3 2 4 7 2 2" xfId="27858" xr:uid="{00000000-0005-0000-0000-000042110000}"/>
    <cellStyle name="20% - Accent3 2 4 7 3" xfId="18478" xr:uid="{00000000-0005-0000-0000-000043110000}"/>
    <cellStyle name="20% - Accent3 2 4 8" xfId="1156" xr:uid="{00000000-0005-0000-0000-000044110000}"/>
    <cellStyle name="20% - Accent3 2 4 8 2" xfId="14779" xr:uid="{00000000-0005-0000-0000-000045110000}"/>
    <cellStyle name="20% - Accent3 2 4 8 2 2" xfId="28328" xr:uid="{00000000-0005-0000-0000-000046110000}"/>
    <cellStyle name="20% - Accent3 2 4 8 3" xfId="18479" xr:uid="{00000000-0005-0000-0000-000047110000}"/>
    <cellStyle name="20% - Accent3 2 4 9" xfId="1157" xr:uid="{00000000-0005-0000-0000-000048110000}"/>
    <cellStyle name="20% - Accent3 2 4 9 2" xfId="16195" xr:uid="{00000000-0005-0000-0000-000049110000}"/>
    <cellStyle name="20% - Accent3 2 4 9 2 2" xfId="29602" xr:uid="{00000000-0005-0000-0000-00004A110000}"/>
    <cellStyle name="20% - Accent3 2 4 9 3" xfId="18480" xr:uid="{00000000-0005-0000-0000-00004B110000}"/>
    <cellStyle name="20% - Accent3 2 5" xfId="1158" xr:uid="{00000000-0005-0000-0000-00004C110000}"/>
    <cellStyle name="20% - Accent3 2 5 2" xfId="1159" xr:uid="{00000000-0005-0000-0000-00004D110000}"/>
    <cellStyle name="20% - Accent3 2 5 2 2" xfId="1160" xr:uid="{00000000-0005-0000-0000-00004E110000}"/>
    <cellStyle name="20% - Accent3 2 5 2 2 2" xfId="10712" xr:uid="{00000000-0005-0000-0000-00004F110000}"/>
    <cellStyle name="20% - Accent3 2 5 2 2 2 2" xfId="24654" xr:uid="{00000000-0005-0000-0000-000050110000}"/>
    <cellStyle name="20% - Accent3 2 5 2 2 3" xfId="18483" xr:uid="{00000000-0005-0000-0000-000051110000}"/>
    <cellStyle name="20% - Accent3 2 5 2 3" xfId="1161" xr:uid="{00000000-0005-0000-0000-000052110000}"/>
    <cellStyle name="20% - Accent3 2 5 2 3 2" xfId="12621" xr:uid="{00000000-0005-0000-0000-000053110000}"/>
    <cellStyle name="20% - Accent3 2 5 2 3 2 2" xfId="26333" xr:uid="{00000000-0005-0000-0000-000054110000}"/>
    <cellStyle name="20% - Accent3 2 5 2 3 3" xfId="18484" xr:uid="{00000000-0005-0000-0000-000055110000}"/>
    <cellStyle name="20% - Accent3 2 5 2 4" xfId="1162" xr:uid="{00000000-0005-0000-0000-000056110000}"/>
    <cellStyle name="20% - Accent3 2 5 2 4 2" xfId="14783" xr:uid="{00000000-0005-0000-0000-000057110000}"/>
    <cellStyle name="20% - Accent3 2 5 2 4 2 2" xfId="28332" xr:uid="{00000000-0005-0000-0000-000058110000}"/>
    <cellStyle name="20% - Accent3 2 5 2 4 3" xfId="18485" xr:uid="{00000000-0005-0000-0000-000059110000}"/>
    <cellStyle name="20% - Accent3 2 5 2 5" xfId="8987" xr:uid="{00000000-0005-0000-0000-00005A110000}"/>
    <cellStyle name="20% - Accent3 2 5 2 5 2" xfId="23462" xr:uid="{00000000-0005-0000-0000-00005B110000}"/>
    <cellStyle name="20% - Accent3 2 5 2 6" xfId="18482" xr:uid="{00000000-0005-0000-0000-00005C110000}"/>
    <cellStyle name="20% - Accent3 2 5 3" xfId="1163" xr:uid="{00000000-0005-0000-0000-00005D110000}"/>
    <cellStyle name="20% - Accent3 2 5 3 2" xfId="10711" xr:uid="{00000000-0005-0000-0000-00005E110000}"/>
    <cellStyle name="20% - Accent3 2 5 3 2 2" xfId="24653" xr:uid="{00000000-0005-0000-0000-00005F110000}"/>
    <cellStyle name="20% - Accent3 2 5 3 3" xfId="18486" xr:uid="{00000000-0005-0000-0000-000060110000}"/>
    <cellStyle name="20% - Accent3 2 5 4" xfId="1164" xr:uid="{00000000-0005-0000-0000-000061110000}"/>
    <cellStyle name="20% - Accent3 2 5 4 2" xfId="12624" xr:uid="{00000000-0005-0000-0000-000062110000}"/>
    <cellStyle name="20% - Accent3 2 5 4 2 2" xfId="26336" xr:uid="{00000000-0005-0000-0000-000063110000}"/>
    <cellStyle name="20% - Accent3 2 5 4 3" xfId="18487" xr:uid="{00000000-0005-0000-0000-000064110000}"/>
    <cellStyle name="20% - Accent3 2 5 5" xfId="1165" xr:uid="{00000000-0005-0000-0000-000065110000}"/>
    <cellStyle name="20% - Accent3 2 5 5 2" xfId="14782" xr:uid="{00000000-0005-0000-0000-000066110000}"/>
    <cellStyle name="20% - Accent3 2 5 5 2 2" xfId="28331" xr:uid="{00000000-0005-0000-0000-000067110000}"/>
    <cellStyle name="20% - Accent3 2 5 5 3" xfId="18488" xr:uid="{00000000-0005-0000-0000-000068110000}"/>
    <cellStyle name="20% - Accent3 2 5 6" xfId="1166" xr:uid="{00000000-0005-0000-0000-000069110000}"/>
    <cellStyle name="20% - Accent3 2 5 6 2" xfId="17009" xr:uid="{00000000-0005-0000-0000-00006A110000}"/>
    <cellStyle name="20% - Accent3 2 5 6 2 2" xfId="30416" xr:uid="{00000000-0005-0000-0000-00006B110000}"/>
    <cellStyle name="20% - Accent3 2 5 6 3" xfId="18489" xr:uid="{00000000-0005-0000-0000-00006C110000}"/>
    <cellStyle name="20% - Accent3 2 5 7" xfId="8986" xr:uid="{00000000-0005-0000-0000-00006D110000}"/>
    <cellStyle name="20% - Accent3 2 5 7 2" xfId="23461" xr:uid="{00000000-0005-0000-0000-00006E110000}"/>
    <cellStyle name="20% - Accent3 2 5 8" xfId="18481" xr:uid="{00000000-0005-0000-0000-00006F110000}"/>
    <cellStyle name="20% - Accent3 2 6" xfId="1167" xr:uid="{00000000-0005-0000-0000-000070110000}"/>
    <cellStyle name="20% - Accent3 2 6 2" xfId="1168" xr:uid="{00000000-0005-0000-0000-000071110000}"/>
    <cellStyle name="20% - Accent3 2 6 2 2" xfId="10713" xr:uid="{00000000-0005-0000-0000-000072110000}"/>
    <cellStyle name="20% - Accent3 2 6 2 2 2" xfId="24655" xr:uid="{00000000-0005-0000-0000-000073110000}"/>
    <cellStyle name="20% - Accent3 2 6 2 3" xfId="18491" xr:uid="{00000000-0005-0000-0000-000074110000}"/>
    <cellStyle name="20% - Accent3 2 6 3" xfId="1169" xr:uid="{00000000-0005-0000-0000-000075110000}"/>
    <cellStyle name="20% - Accent3 2 6 3 2" xfId="12640" xr:uid="{00000000-0005-0000-0000-000076110000}"/>
    <cellStyle name="20% - Accent3 2 6 3 2 2" xfId="26352" xr:uid="{00000000-0005-0000-0000-000077110000}"/>
    <cellStyle name="20% - Accent3 2 6 3 3" xfId="18492" xr:uid="{00000000-0005-0000-0000-000078110000}"/>
    <cellStyle name="20% - Accent3 2 6 4" xfId="1170" xr:uid="{00000000-0005-0000-0000-000079110000}"/>
    <cellStyle name="20% - Accent3 2 6 4 2" xfId="14784" xr:uid="{00000000-0005-0000-0000-00007A110000}"/>
    <cellStyle name="20% - Accent3 2 6 4 2 2" xfId="28333" xr:uid="{00000000-0005-0000-0000-00007B110000}"/>
    <cellStyle name="20% - Accent3 2 6 4 3" xfId="18493" xr:uid="{00000000-0005-0000-0000-00007C110000}"/>
    <cellStyle name="20% - Accent3 2 6 5" xfId="1171" xr:uid="{00000000-0005-0000-0000-00007D110000}"/>
    <cellStyle name="20% - Accent3 2 6 5 2" xfId="17123" xr:uid="{00000000-0005-0000-0000-00007E110000}"/>
    <cellStyle name="20% - Accent3 2 6 5 2 2" xfId="30482" xr:uid="{00000000-0005-0000-0000-00007F110000}"/>
    <cellStyle name="20% - Accent3 2 6 5 3" xfId="18494" xr:uid="{00000000-0005-0000-0000-000080110000}"/>
    <cellStyle name="20% - Accent3 2 6 6" xfId="8988" xr:uid="{00000000-0005-0000-0000-000081110000}"/>
    <cellStyle name="20% - Accent3 2 6 6 2" xfId="23463" xr:uid="{00000000-0005-0000-0000-000082110000}"/>
    <cellStyle name="20% - Accent3 2 6 7" xfId="18490" xr:uid="{00000000-0005-0000-0000-000083110000}"/>
    <cellStyle name="20% - Accent3 2 7" xfId="1172" xr:uid="{00000000-0005-0000-0000-000084110000}"/>
    <cellStyle name="20% - Accent3 2 7 2" xfId="1173" xr:uid="{00000000-0005-0000-0000-000085110000}"/>
    <cellStyle name="20% - Accent3 2 7 2 2" xfId="10714" xr:uid="{00000000-0005-0000-0000-000086110000}"/>
    <cellStyle name="20% - Accent3 2 7 2 2 2" xfId="24656" xr:uid="{00000000-0005-0000-0000-000087110000}"/>
    <cellStyle name="20% - Accent3 2 7 2 3" xfId="18496" xr:uid="{00000000-0005-0000-0000-000088110000}"/>
    <cellStyle name="20% - Accent3 2 7 3" xfId="1174" xr:uid="{00000000-0005-0000-0000-000089110000}"/>
    <cellStyle name="20% - Accent3 2 7 3 2" xfId="12805" xr:uid="{00000000-0005-0000-0000-00008A110000}"/>
    <cellStyle name="20% - Accent3 2 7 3 2 2" xfId="26517" xr:uid="{00000000-0005-0000-0000-00008B110000}"/>
    <cellStyle name="20% - Accent3 2 7 3 3" xfId="18497" xr:uid="{00000000-0005-0000-0000-00008C110000}"/>
    <cellStyle name="20% - Accent3 2 7 4" xfId="1175" xr:uid="{00000000-0005-0000-0000-00008D110000}"/>
    <cellStyle name="20% - Accent3 2 7 4 2" xfId="14785" xr:uid="{00000000-0005-0000-0000-00008E110000}"/>
    <cellStyle name="20% - Accent3 2 7 4 2 2" xfId="28334" xr:uid="{00000000-0005-0000-0000-00008F110000}"/>
    <cellStyle name="20% - Accent3 2 7 4 3" xfId="18498" xr:uid="{00000000-0005-0000-0000-000090110000}"/>
    <cellStyle name="20% - Accent3 2 7 5" xfId="1176" xr:uid="{00000000-0005-0000-0000-000091110000}"/>
    <cellStyle name="20% - Accent3 2 7 5 2" xfId="17212" xr:uid="{00000000-0005-0000-0000-000092110000}"/>
    <cellStyle name="20% - Accent3 2 7 5 2 2" xfId="30571" xr:uid="{00000000-0005-0000-0000-000093110000}"/>
    <cellStyle name="20% - Accent3 2 7 5 3" xfId="18499" xr:uid="{00000000-0005-0000-0000-000094110000}"/>
    <cellStyle name="20% - Accent3 2 7 6" xfId="8989" xr:uid="{00000000-0005-0000-0000-000095110000}"/>
    <cellStyle name="20% - Accent3 2 7 6 2" xfId="23464" xr:uid="{00000000-0005-0000-0000-000096110000}"/>
    <cellStyle name="20% - Accent3 2 7 7" xfId="18495" xr:uid="{00000000-0005-0000-0000-000097110000}"/>
    <cellStyle name="20% - Accent3 2 8" xfId="1177" xr:uid="{00000000-0005-0000-0000-000098110000}"/>
    <cellStyle name="20% - Accent3 2 8 2" xfId="1178" xr:uid="{00000000-0005-0000-0000-000099110000}"/>
    <cellStyle name="20% - Accent3 2 8 2 2" xfId="12405" xr:uid="{00000000-0005-0000-0000-00009A110000}"/>
    <cellStyle name="20% - Accent3 2 8 2 2 2" xfId="26117" xr:uid="{00000000-0005-0000-0000-00009B110000}"/>
    <cellStyle name="20% - Accent3 2 8 2 3" xfId="18501" xr:uid="{00000000-0005-0000-0000-00009C110000}"/>
    <cellStyle name="20% - Accent3 2 8 3" xfId="1179" xr:uid="{00000000-0005-0000-0000-00009D110000}"/>
    <cellStyle name="20% - Accent3 2 8 3 2" xfId="14786" xr:uid="{00000000-0005-0000-0000-00009E110000}"/>
    <cellStyle name="20% - Accent3 2 8 3 2 2" xfId="28335" xr:uid="{00000000-0005-0000-0000-00009F110000}"/>
    <cellStyle name="20% - Accent3 2 8 3 3" xfId="18502" xr:uid="{00000000-0005-0000-0000-0000A0110000}"/>
    <cellStyle name="20% - Accent3 2 8 4" xfId="1180" xr:uid="{00000000-0005-0000-0000-0000A1110000}"/>
    <cellStyle name="20% - Accent3 2 8 4 2" xfId="16487" xr:uid="{00000000-0005-0000-0000-0000A2110000}"/>
    <cellStyle name="20% - Accent3 2 8 4 2 2" xfId="29894" xr:uid="{00000000-0005-0000-0000-0000A3110000}"/>
    <cellStyle name="20% - Accent3 2 8 4 3" xfId="18503" xr:uid="{00000000-0005-0000-0000-0000A4110000}"/>
    <cellStyle name="20% - Accent3 2 8 5" xfId="10530" xr:uid="{00000000-0005-0000-0000-0000A5110000}"/>
    <cellStyle name="20% - Accent3 2 8 5 2" xfId="24472" xr:uid="{00000000-0005-0000-0000-0000A6110000}"/>
    <cellStyle name="20% - Accent3 2 8 6" xfId="18500" xr:uid="{00000000-0005-0000-0000-0000A7110000}"/>
    <cellStyle name="20% - Accent3 2 9" xfId="1181" xr:uid="{00000000-0005-0000-0000-0000A8110000}"/>
    <cellStyle name="20% - Accent3 2 9 2" xfId="1182" xr:uid="{00000000-0005-0000-0000-0000A9110000}"/>
    <cellStyle name="20% - Accent3 2 9 2 2" xfId="12700" xr:uid="{00000000-0005-0000-0000-0000AA110000}"/>
    <cellStyle name="20% - Accent3 2 9 2 2 2" xfId="26412" xr:uid="{00000000-0005-0000-0000-0000AB110000}"/>
    <cellStyle name="20% - Accent3 2 9 2 3" xfId="18505" xr:uid="{00000000-0005-0000-0000-0000AC110000}"/>
    <cellStyle name="20% - Accent3 2 9 3" xfId="1183" xr:uid="{00000000-0005-0000-0000-0000AD110000}"/>
    <cellStyle name="20% - Accent3 2 9 3 2" xfId="14787" xr:uid="{00000000-0005-0000-0000-0000AE110000}"/>
    <cellStyle name="20% - Accent3 2 9 3 2 2" xfId="28336" xr:uid="{00000000-0005-0000-0000-0000AF110000}"/>
    <cellStyle name="20% - Accent3 2 9 3 3" xfId="18506" xr:uid="{00000000-0005-0000-0000-0000B0110000}"/>
    <cellStyle name="20% - Accent3 2 9 4" xfId="10696" xr:uid="{00000000-0005-0000-0000-0000B1110000}"/>
    <cellStyle name="20% - Accent3 2 9 4 2" xfId="24638" xr:uid="{00000000-0005-0000-0000-0000B2110000}"/>
    <cellStyle name="20% - Accent3 2 9 5" xfId="18504" xr:uid="{00000000-0005-0000-0000-0000B3110000}"/>
    <cellStyle name="20% - Accent3 20" xfId="1184" xr:uid="{00000000-0005-0000-0000-0000B4110000}"/>
    <cellStyle name="20% - Accent3 20 2" xfId="1185" xr:uid="{00000000-0005-0000-0000-0000B5110000}"/>
    <cellStyle name="20% - Accent3 20 2 2" xfId="12415" xr:uid="{00000000-0005-0000-0000-0000B6110000}"/>
    <cellStyle name="20% - Accent3 20 2 2 2" xfId="26127" xr:uid="{00000000-0005-0000-0000-0000B7110000}"/>
    <cellStyle name="20% - Accent3 20 2 3" xfId="18508" xr:uid="{00000000-0005-0000-0000-0000B8110000}"/>
    <cellStyle name="20% - Accent3 20 3" xfId="1186" xr:uid="{00000000-0005-0000-0000-0000B9110000}"/>
    <cellStyle name="20% - Accent3 20 3 2" xfId="14788" xr:uid="{00000000-0005-0000-0000-0000BA110000}"/>
    <cellStyle name="20% - Accent3 20 3 2 2" xfId="28337" xr:uid="{00000000-0005-0000-0000-0000BB110000}"/>
    <cellStyle name="20% - Accent3 20 3 3" xfId="18509" xr:uid="{00000000-0005-0000-0000-0000BC110000}"/>
    <cellStyle name="20% - Accent3 20 4" xfId="10505" xr:uid="{00000000-0005-0000-0000-0000BD110000}"/>
    <cellStyle name="20% - Accent3 20 4 2" xfId="24453" xr:uid="{00000000-0005-0000-0000-0000BE110000}"/>
    <cellStyle name="20% - Accent3 20 5" xfId="18507" xr:uid="{00000000-0005-0000-0000-0000BF110000}"/>
    <cellStyle name="20% - Accent3 21" xfId="1187" xr:uid="{00000000-0005-0000-0000-0000C0110000}"/>
    <cellStyle name="20% - Accent3 21 2" xfId="1188" xr:uid="{00000000-0005-0000-0000-0000C1110000}"/>
    <cellStyle name="20% - Accent3 21 2 2" xfId="12643" xr:uid="{00000000-0005-0000-0000-0000C2110000}"/>
    <cellStyle name="20% - Accent3 21 2 2 2" xfId="26355" xr:uid="{00000000-0005-0000-0000-0000C3110000}"/>
    <cellStyle name="20% - Accent3 21 2 3" xfId="18511" xr:uid="{00000000-0005-0000-0000-0000C4110000}"/>
    <cellStyle name="20% - Accent3 21 3" xfId="1189" xr:uid="{00000000-0005-0000-0000-0000C5110000}"/>
    <cellStyle name="20% - Accent3 21 3 2" xfId="14789" xr:uid="{00000000-0005-0000-0000-0000C6110000}"/>
    <cellStyle name="20% - Accent3 21 3 2 2" xfId="28338" xr:uid="{00000000-0005-0000-0000-0000C7110000}"/>
    <cellStyle name="20% - Accent3 21 3 3" xfId="18512" xr:uid="{00000000-0005-0000-0000-0000C8110000}"/>
    <cellStyle name="20% - Accent3 21 4" xfId="10685" xr:uid="{00000000-0005-0000-0000-0000C9110000}"/>
    <cellStyle name="20% - Accent3 21 4 2" xfId="24627" xr:uid="{00000000-0005-0000-0000-0000CA110000}"/>
    <cellStyle name="20% - Accent3 21 5" xfId="18510" xr:uid="{00000000-0005-0000-0000-0000CB110000}"/>
    <cellStyle name="20% - Accent3 22" xfId="1190" xr:uid="{00000000-0005-0000-0000-0000CC110000}"/>
    <cellStyle name="20% - Accent3 22 2" xfId="11741" xr:uid="{00000000-0005-0000-0000-0000CD110000}"/>
    <cellStyle name="20% - Accent3 22 2 2" xfId="25456" xr:uid="{00000000-0005-0000-0000-0000CE110000}"/>
    <cellStyle name="20% - Accent3 22 3" xfId="18513" xr:uid="{00000000-0005-0000-0000-0000CF110000}"/>
    <cellStyle name="20% - Accent3 23" xfId="1191" xr:uid="{00000000-0005-0000-0000-0000D0110000}"/>
    <cellStyle name="20% - Accent3 23 2" xfId="12800" xr:uid="{00000000-0005-0000-0000-0000D1110000}"/>
    <cellStyle name="20% - Accent3 23 2 2" xfId="26512" xr:uid="{00000000-0005-0000-0000-0000D2110000}"/>
    <cellStyle name="20% - Accent3 23 3" xfId="18514" xr:uid="{00000000-0005-0000-0000-0000D3110000}"/>
    <cellStyle name="20% - Accent3 24" xfId="1192" xr:uid="{00000000-0005-0000-0000-0000D4110000}"/>
    <cellStyle name="20% - Accent3 24 2" xfId="13380" xr:uid="{00000000-0005-0000-0000-0000D5110000}"/>
    <cellStyle name="20% - Accent3 24 2 2" xfId="26929" xr:uid="{00000000-0005-0000-0000-0000D6110000}"/>
    <cellStyle name="20% - Accent3 24 3" xfId="18515" xr:uid="{00000000-0005-0000-0000-0000D7110000}"/>
    <cellStyle name="20% - Accent3 25" xfId="1193" xr:uid="{00000000-0005-0000-0000-0000D8110000}"/>
    <cellStyle name="20% - Accent3 25 2" xfId="13961" xr:uid="{00000000-0005-0000-0000-0000D9110000}"/>
    <cellStyle name="20% - Accent3 25 2 2" xfId="27510" xr:uid="{00000000-0005-0000-0000-0000DA110000}"/>
    <cellStyle name="20% - Accent3 25 3" xfId="18516" xr:uid="{00000000-0005-0000-0000-0000DB110000}"/>
    <cellStyle name="20% - Accent3 26" xfId="1194" xr:uid="{00000000-0005-0000-0000-0000DC110000}"/>
    <cellStyle name="20% - Accent3 26 2" xfId="14746" xr:uid="{00000000-0005-0000-0000-0000DD110000}"/>
    <cellStyle name="20% - Accent3 26 2 2" xfId="28295" xr:uid="{00000000-0005-0000-0000-0000DE110000}"/>
    <cellStyle name="20% - Accent3 26 3" xfId="18517" xr:uid="{00000000-0005-0000-0000-0000DF110000}"/>
    <cellStyle name="20% - Accent3 27" xfId="1195" xr:uid="{00000000-0005-0000-0000-0000E0110000}"/>
    <cellStyle name="20% - Accent3 27 2" xfId="15838" xr:uid="{00000000-0005-0000-0000-0000E1110000}"/>
    <cellStyle name="20% - Accent3 27 2 2" xfId="29245" xr:uid="{00000000-0005-0000-0000-0000E2110000}"/>
    <cellStyle name="20% - Accent3 27 3" xfId="18518" xr:uid="{00000000-0005-0000-0000-0000E3110000}"/>
    <cellStyle name="20% - Accent3 28" xfId="1196" xr:uid="{00000000-0005-0000-0000-0000E4110000}"/>
    <cellStyle name="20% - Accent3 28 2" xfId="15847" xr:uid="{00000000-0005-0000-0000-0000E5110000}"/>
    <cellStyle name="20% - Accent3 28 2 2" xfId="29254" xr:uid="{00000000-0005-0000-0000-0000E6110000}"/>
    <cellStyle name="20% - Accent3 28 3" xfId="18519" xr:uid="{00000000-0005-0000-0000-0000E7110000}"/>
    <cellStyle name="20% - Accent3 29" xfId="1197" xr:uid="{00000000-0005-0000-0000-0000E8110000}"/>
    <cellStyle name="20% - Accent3 29 2" xfId="8960" xr:uid="{00000000-0005-0000-0000-0000E9110000}"/>
    <cellStyle name="20% - Accent3 29 2 2" xfId="23435" xr:uid="{00000000-0005-0000-0000-0000EA110000}"/>
    <cellStyle name="20% - Accent3 29 3" xfId="18520" xr:uid="{00000000-0005-0000-0000-0000EB110000}"/>
    <cellStyle name="20% - Accent3 3" xfId="1198" xr:uid="{00000000-0005-0000-0000-0000EC110000}"/>
    <cellStyle name="20% - Accent3 3 10" xfId="1199" xr:uid="{00000000-0005-0000-0000-0000ED110000}"/>
    <cellStyle name="20% - Accent3 3 10 2" xfId="14043" xr:uid="{00000000-0005-0000-0000-0000EE110000}"/>
    <cellStyle name="20% - Accent3 3 10 2 2" xfId="27592" xr:uid="{00000000-0005-0000-0000-0000EF110000}"/>
    <cellStyle name="20% - Accent3 3 10 3" xfId="18522" xr:uid="{00000000-0005-0000-0000-0000F0110000}"/>
    <cellStyle name="20% - Accent3 3 11" xfId="1200" xr:uid="{00000000-0005-0000-0000-0000F1110000}"/>
    <cellStyle name="20% - Accent3 3 11 2" xfId="14790" xr:uid="{00000000-0005-0000-0000-0000F2110000}"/>
    <cellStyle name="20% - Accent3 3 11 2 2" xfId="28339" xr:uid="{00000000-0005-0000-0000-0000F3110000}"/>
    <cellStyle name="20% - Accent3 3 11 3" xfId="18523" xr:uid="{00000000-0005-0000-0000-0000F4110000}"/>
    <cellStyle name="20% - Accent3 3 12" xfId="1201" xr:uid="{00000000-0005-0000-0000-0000F5110000}"/>
    <cellStyle name="20% - Accent3 3 12 2" xfId="15929" xr:uid="{00000000-0005-0000-0000-0000F6110000}"/>
    <cellStyle name="20% - Accent3 3 12 2 2" xfId="29336" xr:uid="{00000000-0005-0000-0000-0000F7110000}"/>
    <cellStyle name="20% - Accent3 3 12 3" xfId="18524" xr:uid="{00000000-0005-0000-0000-0000F8110000}"/>
    <cellStyle name="20% - Accent3 3 13" xfId="8990" xr:uid="{00000000-0005-0000-0000-0000F9110000}"/>
    <cellStyle name="20% - Accent3 3 13 2" xfId="23465" xr:uid="{00000000-0005-0000-0000-0000FA110000}"/>
    <cellStyle name="20% - Accent3 3 14" xfId="18521" xr:uid="{00000000-0005-0000-0000-0000FB110000}"/>
    <cellStyle name="20% - Accent3 3 2" xfId="1202" xr:uid="{00000000-0005-0000-0000-0000FC110000}"/>
    <cellStyle name="20% - Accent3 3 2 10" xfId="1203" xr:uid="{00000000-0005-0000-0000-0000FD110000}"/>
    <cellStyle name="20% - Accent3 3 2 10 2" xfId="16072" xr:uid="{00000000-0005-0000-0000-0000FE110000}"/>
    <cellStyle name="20% - Accent3 3 2 10 2 2" xfId="29479" xr:uid="{00000000-0005-0000-0000-0000FF110000}"/>
    <cellStyle name="20% - Accent3 3 2 10 3" xfId="18526" xr:uid="{00000000-0005-0000-0000-000000120000}"/>
    <cellStyle name="20% - Accent3 3 2 11" xfId="8991" xr:uid="{00000000-0005-0000-0000-000001120000}"/>
    <cellStyle name="20% - Accent3 3 2 11 2" xfId="23466" xr:uid="{00000000-0005-0000-0000-000002120000}"/>
    <cellStyle name="20% - Accent3 3 2 12" xfId="18525" xr:uid="{00000000-0005-0000-0000-000003120000}"/>
    <cellStyle name="20% - Accent3 3 2 2" xfId="1204" xr:uid="{00000000-0005-0000-0000-000004120000}"/>
    <cellStyle name="20% - Accent3 3 2 2 10" xfId="8992" xr:uid="{00000000-0005-0000-0000-000005120000}"/>
    <cellStyle name="20% - Accent3 3 2 2 10 2" xfId="23467" xr:uid="{00000000-0005-0000-0000-000006120000}"/>
    <cellStyle name="20% - Accent3 3 2 2 11" xfId="18527" xr:uid="{00000000-0005-0000-0000-000007120000}"/>
    <cellStyle name="20% - Accent3 3 2 2 2" xfId="1205" xr:uid="{00000000-0005-0000-0000-000008120000}"/>
    <cellStyle name="20% - Accent3 3 2 2 2 2" xfId="1206" xr:uid="{00000000-0005-0000-0000-000009120000}"/>
    <cellStyle name="20% - Accent3 3 2 2 2 2 2" xfId="10718" xr:uid="{00000000-0005-0000-0000-00000A120000}"/>
    <cellStyle name="20% - Accent3 3 2 2 2 2 2 2" xfId="24660" xr:uid="{00000000-0005-0000-0000-00000B120000}"/>
    <cellStyle name="20% - Accent3 3 2 2 2 2 3" xfId="18529" xr:uid="{00000000-0005-0000-0000-00000C120000}"/>
    <cellStyle name="20% - Accent3 3 2 2 2 3" xfId="1207" xr:uid="{00000000-0005-0000-0000-00000D120000}"/>
    <cellStyle name="20% - Accent3 3 2 2 2 3 2" xfId="12527" xr:uid="{00000000-0005-0000-0000-00000E120000}"/>
    <cellStyle name="20% - Accent3 3 2 2 2 3 2 2" xfId="26239" xr:uid="{00000000-0005-0000-0000-00000F120000}"/>
    <cellStyle name="20% - Accent3 3 2 2 2 3 3" xfId="18530" xr:uid="{00000000-0005-0000-0000-000010120000}"/>
    <cellStyle name="20% - Accent3 3 2 2 2 4" xfId="1208" xr:uid="{00000000-0005-0000-0000-000011120000}"/>
    <cellStyle name="20% - Accent3 3 2 2 2 4 2" xfId="14793" xr:uid="{00000000-0005-0000-0000-000012120000}"/>
    <cellStyle name="20% - Accent3 3 2 2 2 4 2 2" xfId="28342" xr:uid="{00000000-0005-0000-0000-000013120000}"/>
    <cellStyle name="20% - Accent3 3 2 2 2 4 3" xfId="18531" xr:uid="{00000000-0005-0000-0000-000014120000}"/>
    <cellStyle name="20% - Accent3 3 2 2 2 5" xfId="1209" xr:uid="{00000000-0005-0000-0000-000015120000}"/>
    <cellStyle name="20% - Accent3 3 2 2 2 5 2" xfId="16942" xr:uid="{00000000-0005-0000-0000-000016120000}"/>
    <cellStyle name="20% - Accent3 3 2 2 2 5 2 2" xfId="30349" xr:uid="{00000000-0005-0000-0000-000017120000}"/>
    <cellStyle name="20% - Accent3 3 2 2 2 5 3" xfId="18532" xr:uid="{00000000-0005-0000-0000-000018120000}"/>
    <cellStyle name="20% - Accent3 3 2 2 2 6" xfId="8993" xr:uid="{00000000-0005-0000-0000-000019120000}"/>
    <cellStyle name="20% - Accent3 3 2 2 2 6 2" xfId="23468" xr:uid="{00000000-0005-0000-0000-00001A120000}"/>
    <cellStyle name="20% - Accent3 3 2 2 2 7" xfId="18528" xr:uid="{00000000-0005-0000-0000-00001B120000}"/>
    <cellStyle name="20% - Accent3 3 2 2 3" xfId="1210" xr:uid="{00000000-0005-0000-0000-00001C120000}"/>
    <cellStyle name="20% - Accent3 3 2 2 3 2" xfId="1211" xr:uid="{00000000-0005-0000-0000-00001D120000}"/>
    <cellStyle name="20% - Accent3 3 2 2 3 2 2" xfId="14794" xr:uid="{00000000-0005-0000-0000-00001E120000}"/>
    <cellStyle name="20% - Accent3 3 2 2 3 2 2 2" xfId="28343" xr:uid="{00000000-0005-0000-0000-00001F120000}"/>
    <cellStyle name="20% - Accent3 3 2 2 3 2 3" xfId="18534" xr:uid="{00000000-0005-0000-0000-000020120000}"/>
    <cellStyle name="20% - Accent3 3 2 2 3 3" xfId="10717" xr:uid="{00000000-0005-0000-0000-000021120000}"/>
    <cellStyle name="20% - Accent3 3 2 2 3 3 2" xfId="24659" xr:uid="{00000000-0005-0000-0000-000022120000}"/>
    <cellStyle name="20% - Accent3 3 2 2 3 4" xfId="18533" xr:uid="{00000000-0005-0000-0000-000023120000}"/>
    <cellStyle name="20% - Accent3 3 2 2 4" xfId="1212" xr:uid="{00000000-0005-0000-0000-000024120000}"/>
    <cellStyle name="20% - Accent3 3 2 2 4 2" xfId="12330" xr:uid="{00000000-0005-0000-0000-000025120000}"/>
    <cellStyle name="20% - Accent3 3 2 2 4 2 2" xfId="26042" xr:uid="{00000000-0005-0000-0000-000026120000}"/>
    <cellStyle name="20% - Accent3 3 2 2 4 3" xfId="18535" xr:uid="{00000000-0005-0000-0000-000027120000}"/>
    <cellStyle name="20% - Accent3 3 2 2 5" xfId="1213" xr:uid="{00000000-0005-0000-0000-000028120000}"/>
    <cellStyle name="20% - Accent3 3 2 2 5 2" xfId="12692" xr:uid="{00000000-0005-0000-0000-000029120000}"/>
    <cellStyle name="20% - Accent3 3 2 2 5 2 2" xfId="26404" xr:uid="{00000000-0005-0000-0000-00002A120000}"/>
    <cellStyle name="20% - Accent3 3 2 2 5 3" xfId="18536" xr:uid="{00000000-0005-0000-0000-00002B120000}"/>
    <cellStyle name="20% - Accent3 3 2 2 6" xfId="1214" xr:uid="{00000000-0005-0000-0000-00002C120000}"/>
    <cellStyle name="20% - Accent3 3 2 2 6 2" xfId="13894" xr:uid="{00000000-0005-0000-0000-00002D120000}"/>
    <cellStyle name="20% - Accent3 3 2 2 6 2 2" xfId="27443" xr:uid="{00000000-0005-0000-0000-00002E120000}"/>
    <cellStyle name="20% - Accent3 3 2 2 6 3" xfId="18537" xr:uid="{00000000-0005-0000-0000-00002F120000}"/>
    <cellStyle name="20% - Accent3 3 2 2 7" xfId="1215" xr:uid="{00000000-0005-0000-0000-000030120000}"/>
    <cellStyle name="20% - Accent3 3 2 2 7 2" xfId="14475" xr:uid="{00000000-0005-0000-0000-000031120000}"/>
    <cellStyle name="20% - Accent3 3 2 2 7 2 2" xfId="28024" xr:uid="{00000000-0005-0000-0000-000032120000}"/>
    <cellStyle name="20% - Accent3 3 2 2 7 3" xfId="18538" xr:uid="{00000000-0005-0000-0000-000033120000}"/>
    <cellStyle name="20% - Accent3 3 2 2 8" xfId="1216" xr:uid="{00000000-0005-0000-0000-000034120000}"/>
    <cellStyle name="20% - Accent3 3 2 2 8 2" xfId="14792" xr:uid="{00000000-0005-0000-0000-000035120000}"/>
    <cellStyle name="20% - Accent3 3 2 2 8 2 2" xfId="28341" xr:uid="{00000000-0005-0000-0000-000036120000}"/>
    <cellStyle name="20% - Accent3 3 2 2 8 3" xfId="18539" xr:uid="{00000000-0005-0000-0000-000037120000}"/>
    <cellStyle name="20% - Accent3 3 2 2 9" xfId="1217" xr:uid="{00000000-0005-0000-0000-000038120000}"/>
    <cellStyle name="20% - Accent3 3 2 2 9 2" xfId="16361" xr:uid="{00000000-0005-0000-0000-000039120000}"/>
    <cellStyle name="20% - Accent3 3 2 2 9 2 2" xfId="29768" xr:uid="{00000000-0005-0000-0000-00003A120000}"/>
    <cellStyle name="20% - Accent3 3 2 2 9 3" xfId="18540" xr:uid="{00000000-0005-0000-0000-00003B120000}"/>
    <cellStyle name="20% - Accent3 3 2 3" xfId="1218" xr:uid="{00000000-0005-0000-0000-00003C120000}"/>
    <cellStyle name="20% - Accent3 3 2 3 2" xfId="1219" xr:uid="{00000000-0005-0000-0000-00003D120000}"/>
    <cellStyle name="20% - Accent3 3 2 3 2 2" xfId="10719" xr:uid="{00000000-0005-0000-0000-00003E120000}"/>
    <cellStyle name="20% - Accent3 3 2 3 2 2 2" xfId="24661" xr:uid="{00000000-0005-0000-0000-00003F120000}"/>
    <cellStyle name="20% - Accent3 3 2 3 2 3" xfId="18542" xr:uid="{00000000-0005-0000-0000-000040120000}"/>
    <cellStyle name="20% - Accent3 3 2 3 3" xfId="1220" xr:uid="{00000000-0005-0000-0000-000041120000}"/>
    <cellStyle name="20% - Accent3 3 2 3 3 2" xfId="12561" xr:uid="{00000000-0005-0000-0000-000042120000}"/>
    <cellStyle name="20% - Accent3 3 2 3 3 2 2" xfId="26273" xr:uid="{00000000-0005-0000-0000-000043120000}"/>
    <cellStyle name="20% - Accent3 3 2 3 3 3" xfId="18543" xr:uid="{00000000-0005-0000-0000-000044120000}"/>
    <cellStyle name="20% - Accent3 3 2 3 4" xfId="1221" xr:uid="{00000000-0005-0000-0000-000045120000}"/>
    <cellStyle name="20% - Accent3 3 2 3 4 2" xfId="14795" xr:uid="{00000000-0005-0000-0000-000046120000}"/>
    <cellStyle name="20% - Accent3 3 2 3 4 2 2" xfId="28344" xr:uid="{00000000-0005-0000-0000-000047120000}"/>
    <cellStyle name="20% - Accent3 3 2 3 4 3" xfId="18544" xr:uid="{00000000-0005-0000-0000-000048120000}"/>
    <cellStyle name="20% - Accent3 3 2 3 5" xfId="1222" xr:uid="{00000000-0005-0000-0000-000049120000}"/>
    <cellStyle name="20% - Accent3 3 2 3 5 2" xfId="16653" xr:uid="{00000000-0005-0000-0000-00004A120000}"/>
    <cellStyle name="20% - Accent3 3 2 3 5 2 2" xfId="30060" xr:uid="{00000000-0005-0000-0000-00004B120000}"/>
    <cellStyle name="20% - Accent3 3 2 3 5 3" xfId="18545" xr:uid="{00000000-0005-0000-0000-00004C120000}"/>
    <cellStyle name="20% - Accent3 3 2 3 6" xfId="8994" xr:uid="{00000000-0005-0000-0000-00004D120000}"/>
    <cellStyle name="20% - Accent3 3 2 3 6 2" xfId="23469" xr:uid="{00000000-0005-0000-0000-00004E120000}"/>
    <cellStyle name="20% - Accent3 3 2 3 7" xfId="18541" xr:uid="{00000000-0005-0000-0000-00004F120000}"/>
    <cellStyle name="20% - Accent3 3 2 4" xfId="1223" xr:uid="{00000000-0005-0000-0000-000050120000}"/>
    <cellStyle name="20% - Accent3 3 2 4 2" xfId="1224" xr:uid="{00000000-0005-0000-0000-000051120000}"/>
    <cellStyle name="20% - Accent3 3 2 4 2 2" xfId="14796" xr:uid="{00000000-0005-0000-0000-000052120000}"/>
    <cellStyle name="20% - Accent3 3 2 4 2 2 2" xfId="28345" xr:uid="{00000000-0005-0000-0000-000053120000}"/>
    <cellStyle name="20% - Accent3 3 2 4 2 3" xfId="18547" xr:uid="{00000000-0005-0000-0000-000054120000}"/>
    <cellStyle name="20% - Accent3 3 2 4 3" xfId="10716" xr:uid="{00000000-0005-0000-0000-000055120000}"/>
    <cellStyle name="20% - Accent3 3 2 4 3 2" xfId="24658" xr:uid="{00000000-0005-0000-0000-000056120000}"/>
    <cellStyle name="20% - Accent3 3 2 4 4" xfId="18546" xr:uid="{00000000-0005-0000-0000-000057120000}"/>
    <cellStyle name="20% - Accent3 3 2 5" xfId="1225" xr:uid="{00000000-0005-0000-0000-000058120000}"/>
    <cellStyle name="20% - Accent3 3 2 5 2" xfId="12030" xr:uid="{00000000-0005-0000-0000-000059120000}"/>
    <cellStyle name="20% - Accent3 3 2 5 2 2" xfId="25745" xr:uid="{00000000-0005-0000-0000-00005A120000}"/>
    <cellStyle name="20% - Accent3 3 2 5 3" xfId="18548" xr:uid="{00000000-0005-0000-0000-00005B120000}"/>
    <cellStyle name="20% - Accent3 3 2 6" xfId="1226" xr:uid="{00000000-0005-0000-0000-00005C120000}"/>
    <cellStyle name="20% - Accent3 3 2 6 2" xfId="12471" xr:uid="{00000000-0005-0000-0000-00005D120000}"/>
    <cellStyle name="20% - Accent3 3 2 6 2 2" xfId="26183" xr:uid="{00000000-0005-0000-0000-00005E120000}"/>
    <cellStyle name="20% - Accent3 3 2 6 3" xfId="18549" xr:uid="{00000000-0005-0000-0000-00005F120000}"/>
    <cellStyle name="20% - Accent3 3 2 7" xfId="1227" xr:uid="{00000000-0005-0000-0000-000060120000}"/>
    <cellStyle name="20% - Accent3 3 2 7 2" xfId="13605" xr:uid="{00000000-0005-0000-0000-000061120000}"/>
    <cellStyle name="20% - Accent3 3 2 7 2 2" xfId="27154" xr:uid="{00000000-0005-0000-0000-000062120000}"/>
    <cellStyle name="20% - Accent3 3 2 7 3" xfId="18550" xr:uid="{00000000-0005-0000-0000-000063120000}"/>
    <cellStyle name="20% - Accent3 3 2 8" xfId="1228" xr:uid="{00000000-0005-0000-0000-000064120000}"/>
    <cellStyle name="20% - Accent3 3 2 8 2" xfId="14186" xr:uid="{00000000-0005-0000-0000-000065120000}"/>
    <cellStyle name="20% - Accent3 3 2 8 2 2" xfId="27735" xr:uid="{00000000-0005-0000-0000-000066120000}"/>
    <cellStyle name="20% - Accent3 3 2 8 3" xfId="18551" xr:uid="{00000000-0005-0000-0000-000067120000}"/>
    <cellStyle name="20% - Accent3 3 2 9" xfId="1229" xr:uid="{00000000-0005-0000-0000-000068120000}"/>
    <cellStyle name="20% - Accent3 3 2 9 2" xfId="14791" xr:uid="{00000000-0005-0000-0000-000069120000}"/>
    <cellStyle name="20% - Accent3 3 2 9 2 2" xfId="28340" xr:uid="{00000000-0005-0000-0000-00006A120000}"/>
    <cellStyle name="20% - Accent3 3 2 9 3" xfId="18552" xr:uid="{00000000-0005-0000-0000-00006B120000}"/>
    <cellStyle name="20% - Accent3 3 3" xfId="1230" xr:uid="{00000000-0005-0000-0000-00006C120000}"/>
    <cellStyle name="20% - Accent3 3 3 10" xfId="8995" xr:uid="{00000000-0005-0000-0000-00006D120000}"/>
    <cellStyle name="20% - Accent3 3 3 10 2" xfId="23470" xr:uid="{00000000-0005-0000-0000-00006E120000}"/>
    <cellStyle name="20% - Accent3 3 3 11" xfId="18553" xr:uid="{00000000-0005-0000-0000-00006F120000}"/>
    <cellStyle name="20% - Accent3 3 3 2" xfId="1231" xr:uid="{00000000-0005-0000-0000-000070120000}"/>
    <cellStyle name="20% - Accent3 3 3 2 2" xfId="1232" xr:uid="{00000000-0005-0000-0000-000071120000}"/>
    <cellStyle name="20% - Accent3 3 3 2 2 2" xfId="10721" xr:uid="{00000000-0005-0000-0000-000072120000}"/>
    <cellStyle name="20% - Accent3 3 3 2 2 2 2" xfId="24663" xr:uid="{00000000-0005-0000-0000-000073120000}"/>
    <cellStyle name="20% - Accent3 3 3 2 2 3" xfId="18555" xr:uid="{00000000-0005-0000-0000-000074120000}"/>
    <cellStyle name="20% - Accent3 3 3 2 3" xfId="1233" xr:uid="{00000000-0005-0000-0000-000075120000}"/>
    <cellStyle name="20% - Accent3 3 3 2 3 2" xfId="12641" xr:uid="{00000000-0005-0000-0000-000076120000}"/>
    <cellStyle name="20% - Accent3 3 3 2 3 2 2" xfId="26353" xr:uid="{00000000-0005-0000-0000-000077120000}"/>
    <cellStyle name="20% - Accent3 3 3 2 3 3" xfId="18556" xr:uid="{00000000-0005-0000-0000-000078120000}"/>
    <cellStyle name="20% - Accent3 3 3 2 4" xfId="1234" xr:uid="{00000000-0005-0000-0000-000079120000}"/>
    <cellStyle name="20% - Accent3 3 3 2 4 2" xfId="14798" xr:uid="{00000000-0005-0000-0000-00007A120000}"/>
    <cellStyle name="20% - Accent3 3 3 2 4 2 2" xfId="28347" xr:uid="{00000000-0005-0000-0000-00007B120000}"/>
    <cellStyle name="20% - Accent3 3 3 2 4 3" xfId="18557" xr:uid="{00000000-0005-0000-0000-00007C120000}"/>
    <cellStyle name="20% - Accent3 3 3 2 5" xfId="1235" xr:uid="{00000000-0005-0000-0000-00007D120000}"/>
    <cellStyle name="20% - Accent3 3 3 2 5 2" xfId="16799" xr:uid="{00000000-0005-0000-0000-00007E120000}"/>
    <cellStyle name="20% - Accent3 3 3 2 5 2 2" xfId="30206" xr:uid="{00000000-0005-0000-0000-00007F120000}"/>
    <cellStyle name="20% - Accent3 3 3 2 5 3" xfId="18558" xr:uid="{00000000-0005-0000-0000-000080120000}"/>
    <cellStyle name="20% - Accent3 3 3 2 6" xfId="8996" xr:uid="{00000000-0005-0000-0000-000081120000}"/>
    <cellStyle name="20% - Accent3 3 3 2 6 2" xfId="23471" xr:uid="{00000000-0005-0000-0000-000082120000}"/>
    <cellStyle name="20% - Accent3 3 3 2 7" xfId="18554" xr:uid="{00000000-0005-0000-0000-000083120000}"/>
    <cellStyle name="20% - Accent3 3 3 3" xfId="1236" xr:uid="{00000000-0005-0000-0000-000084120000}"/>
    <cellStyle name="20% - Accent3 3 3 3 2" xfId="1237" xr:uid="{00000000-0005-0000-0000-000085120000}"/>
    <cellStyle name="20% - Accent3 3 3 3 2 2" xfId="14799" xr:uid="{00000000-0005-0000-0000-000086120000}"/>
    <cellStyle name="20% - Accent3 3 3 3 2 2 2" xfId="28348" xr:uid="{00000000-0005-0000-0000-000087120000}"/>
    <cellStyle name="20% - Accent3 3 3 3 2 3" xfId="18560" xr:uid="{00000000-0005-0000-0000-000088120000}"/>
    <cellStyle name="20% - Accent3 3 3 3 3" xfId="10720" xr:uid="{00000000-0005-0000-0000-000089120000}"/>
    <cellStyle name="20% - Accent3 3 3 3 3 2" xfId="24662" xr:uid="{00000000-0005-0000-0000-00008A120000}"/>
    <cellStyle name="20% - Accent3 3 3 3 4" xfId="18559" xr:uid="{00000000-0005-0000-0000-00008B120000}"/>
    <cellStyle name="20% - Accent3 3 3 4" xfId="1238" xr:uid="{00000000-0005-0000-0000-00008C120000}"/>
    <cellStyle name="20% - Accent3 3 3 4 2" xfId="12187" xr:uid="{00000000-0005-0000-0000-00008D120000}"/>
    <cellStyle name="20% - Accent3 3 3 4 2 2" xfId="25899" xr:uid="{00000000-0005-0000-0000-00008E120000}"/>
    <cellStyle name="20% - Accent3 3 3 4 3" xfId="18561" xr:uid="{00000000-0005-0000-0000-00008F120000}"/>
    <cellStyle name="20% - Accent3 3 3 5" xfId="1239" xr:uid="{00000000-0005-0000-0000-000090120000}"/>
    <cellStyle name="20% - Accent3 3 3 5 2" xfId="12691" xr:uid="{00000000-0005-0000-0000-000091120000}"/>
    <cellStyle name="20% - Accent3 3 3 5 2 2" xfId="26403" xr:uid="{00000000-0005-0000-0000-000092120000}"/>
    <cellStyle name="20% - Accent3 3 3 5 3" xfId="18562" xr:uid="{00000000-0005-0000-0000-000093120000}"/>
    <cellStyle name="20% - Accent3 3 3 6" xfId="1240" xr:uid="{00000000-0005-0000-0000-000094120000}"/>
    <cellStyle name="20% - Accent3 3 3 6 2" xfId="13751" xr:uid="{00000000-0005-0000-0000-000095120000}"/>
    <cellStyle name="20% - Accent3 3 3 6 2 2" xfId="27300" xr:uid="{00000000-0005-0000-0000-000096120000}"/>
    <cellStyle name="20% - Accent3 3 3 6 3" xfId="18563" xr:uid="{00000000-0005-0000-0000-000097120000}"/>
    <cellStyle name="20% - Accent3 3 3 7" xfId="1241" xr:uid="{00000000-0005-0000-0000-000098120000}"/>
    <cellStyle name="20% - Accent3 3 3 7 2" xfId="14332" xr:uid="{00000000-0005-0000-0000-000099120000}"/>
    <cellStyle name="20% - Accent3 3 3 7 2 2" xfId="27881" xr:uid="{00000000-0005-0000-0000-00009A120000}"/>
    <cellStyle name="20% - Accent3 3 3 7 3" xfId="18564" xr:uid="{00000000-0005-0000-0000-00009B120000}"/>
    <cellStyle name="20% - Accent3 3 3 8" xfId="1242" xr:uid="{00000000-0005-0000-0000-00009C120000}"/>
    <cellStyle name="20% - Accent3 3 3 8 2" xfId="14797" xr:uid="{00000000-0005-0000-0000-00009D120000}"/>
    <cellStyle name="20% - Accent3 3 3 8 2 2" xfId="28346" xr:uid="{00000000-0005-0000-0000-00009E120000}"/>
    <cellStyle name="20% - Accent3 3 3 8 3" xfId="18565" xr:uid="{00000000-0005-0000-0000-00009F120000}"/>
    <cellStyle name="20% - Accent3 3 3 9" xfId="1243" xr:uid="{00000000-0005-0000-0000-0000A0120000}"/>
    <cellStyle name="20% - Accent3 3 3 9 2" xfId="16218" xr:uid="{00000000-0005-0000-0000-0000A1120000}"/>
    <cellStyle name="20% - Accent3 3 3 9 2 2" xfId="29625" xr:uid="{00000000-0005-0000-0000-0000A2120000}"/>
    <cellStyle name="20% - Accent3 3 3 9 3" xfId="18566" xr:uid="{00000000-0005-0000-0000-0000A3120000}"/>
    <cellStyle name="20% - Accent3 3 4" xfId="1244" xr:uid="{00000000-0005-0000-0000-0000A4120000}"/>
    <cellStyle name="20% - Accent3 3 4 2" xfId="1245" xr:uid="{00000000-0005-0000-0000-0000A5120000}"/>
    <cellStyle name="20% - Accent3 3 4 2 2" xfId="10722" xr:uid="{00000000-0005-0000-0000-0000A6120000}"/>
    <cellStyle name="20% - Accent3 3 4 2 2 2" xfId="24664" xr:uid="{00000000-0005-0000-0000-0000A7120000}"/>
    <cellStyle name="20% - Accent3 3 4 2 3" xfId="18568" xr:uid="{00000000-0005-0000-0000-0000A8120000}"/>
    <cellStyle name="20% - Accent3 3 4 3" xfId="1246" xr:uid="{00000000-0005-0000-0000-0000A9120000}"/>
    <cellStyle name="20% - Accent3 3 4 3 2" xfId="12432" xr:uid="{00000000-0005-0000-0000-0000AA120000}"/>
    <cellStyle name="20% - Accent3 3 4 3 2 2" xfId="26144" xr:uid="{00000000-0005-0000-0000-0000AB120000}"/>
    <cellStyle name="20% - Accent3 3 4 3 3" xfId="18569" xr:uid="{00000000-0005-0000-0000-0000AC120000}"/>
    <cellStyle name="20% - Accent3 3 4 4" xfId="1247" xr:uid="{00000000-0005-0000-0000-0000AD120000}"/>
    <cellStyle name="20% - Accent3 3 4 4 2" xfId="14800" xr:uid="{00000000-0005-0000-0000-0000AE120000}"/>
    <cellStyle name="20% - Accent3 3 4 4 2 2" xfId="28349" xr:uid="{00000000-0005-0000-0000-0000AF120000}"/>
    <cellStyle name="20% - Accent3 3 4 4 3" xfId="18570" xr:uid="{00000000-0005-0000-0000-0000B0120000}"/>
    <cellStyle name="20% - Accent3 3 4 5" xfId="1248" xr:uid="{00000000-0005-0000-0000-0000B1120000}"/>
    <cellStyle name="20% - Accent3 3 4 5 2" xfId="17146" xr:uid="{00000000-0005-0000-0000-0000B2120000}"/>
    <cellStyle name="20% - Accent3 3 4 5 2 2" xfId="30505" xr:uid="{00000000-0005-0000-0000-0000B3120000}"/>
    <cellStyle name="20% - Accent3 3 4 5 3" xfId="18571" xr:uid="{00000000-0005-0000-0000-0000B4120000}"/>
    <cellStyle name="20% - Accent3 3 4 6" xfId="8997" xr:uid="{00000000-0005-0000-0000-0000B5120000}"/>
    <cellStyle name="20% - Accent3 3 4 6 2" xfId="23472" xr:uid="{00000000-0005-0000-0000-0000B6120000}"/>
    <cellStyle name="20% - Accent3 3 4 7" xfId="18567" xr:uid="{00000000-0005-0000-0000-0000B7120000}"/>
    <cellStyle name="20% - Accent3 3 5" xfId="1249" xr:uid="{00000000-0005-0000-0000-0000B8120000}"/>
    <cellStyle name="20% - Accent3 3 5 2" xfId="1250" xr:uid="{00000000-0005-0000-0000-0000B9120000}"/>
    <cellStyle name="20% - Accent3 3 5 2 2" xfId="10723" xr:uid="{00000000-0005-0000-0000-0000BA120000}"/>
    <cellStyle name="20% - Accent3 3 5 2 2 2" xfId="24665" xr:uid="{00000000-0005-0000-0000-0000BB120000}"/>
    <cellStyle name="20% - Accent3 3 5 2 3" xfId="18573" xr:uid="{00000000-0005-0000-0000-0000BC120000}"/>
    <cellStyle name="20% - Accent3 3 5 3" xfId="1251" xr:uid="{00000000-0005-0000-0000-0000BD120000}"/>
    <cellStyle name="20% - Accent3 3 5 3 2" xfId="12462" xr:uid="{00000000-0005-0000-0000-0000BE120000}"/>
    <cellStyle name="20% - Accent3 3 5 3 2 2" xfId="26174" xr:uid="{00000000-0005-0000-0000-0000BF120000}"/>
    <cellStyle name="20% - Accent3 3 5 3 3" xfId="18574" xr:uid="{00000000-0005-0000-0000-0000C0120000}"/>
    <cellStyle name="20% - Accent3 3 5 4" xfId="1252" xr:uid="{00000000-0005-0000-0000-0000C1120000}"/>
    <cellStyle name="20% - Accent3 3 5 4 2" xfId="14801" xr:uid="{00000000-0005-0000-0000-0000C2120000}"/>
    <cellStyle name="20% - Accent3 3 5 4 2 2" xfId="28350" xr:uid="{00000000-0005-0000-0000-0000C3120000}"/>
    <cellStyle name="20% - Accent3 3 5 4 3" xfId="18575" xr:uid="{00000000-0005-0000-0000-0000C4120000}"/>
    <cellStyle name="20% - Accent3 3 5 5" xfId="1253" xr:uid="{00000000-0005-0000-0000-0000C5120000}"/>
    <cellStyle name="20% - Accent3 3 5 5 2" xfId="17235" xr:uid="{00000000-0005-0000-0000-0000C6120000}"/>
    <cellStyle name="20% - Accent3 3 5 5 2 2" xfId="30594" xr:uid="{00000000-0005-0000-0000-0000C7120000}"/>
    <cellStyle name="20% - Accent3 3 5 5 3" xfId="18576" xr:uid="{00000000-0005-0000-0000-0000C8120000}"/>
    <cellStyle name="20% - Accent3 3 5 6" xfId="8998" xr:uid="{00000000-0005-0000-0000-0000C9120000}"/>
    <cellStyle name="20% - Accent3 3 5 6 2" xfId="23473" xr:uid="{00000000-0005-0000-0000-0000CA120000}"/>
    <cellStyle name="20% - Accent3 3 5 7" xfId="18572" xr:uid="{00000000-0005-0000-0000-0000CB120000}"/>
    <cellStyle name="20% - Accent3 3 6" xfId="1254" xr:uid="{00000000-0005-0000-0000-0000CC120000}"/>
    <cellStyle name="20% - Accent3 3 6 2" xfId="1255" xr:uid="{00000000-0005-0000-0000-0000CD120000}"/>
    <cellStyle name="20% - Accent3 3 6 2 2" xfId="14802" xr:uid="{00000000-0005-0000-0000-0000CE120000}"/>
    <cellStyle name="20% - Accent3 3 6 2 2 2" xfId="28351" xr:uid="{00000000-0005-0000-0000-0000CF120000}"/>
    <cellStyle name="20% - Accent3 3 6 2 3" xfId="18578" xr:uid="{00000000-0005-0000-0000-0000D0120000}"/>
    <cellStyle name="20% - Accent3 3 6 3" xfId="1256" xr:uid="{00000000-0005-0000-0000-0000D1120000}"/>
    <cellStyle name="20% - Accent3 3 6 3 2" xfId="16510" xr:uid="{00000000-0005-0000-0000-0000D2120000}"/>
    <cellStyle name="20% - Accent3 3 6 3 2 2" xfId="29917" xr:uid="{00000000-0005-0000-0000-0000D3120000}"/>
    <cellStyle name="20% - Accent3 3 6 3 3" xfId="18579" xr:uid="{00000000-0005-0000-0000-0000D4120000}"/>
    <cellStyle name="20% - Accent3 3 6 4" xfId="10715" xr:uid="{00000000-0005-0000-0000-0000D5120000}"/>
    <cellStyle name="20% - Accent3 3 6 4 2" xfId="24657" xr:uid="{00000000-0005-0000-0000-0000D6120000}"/>
    <cellStyle name="20% - Accent3 3 6 5" xfId="18577" xr:uid="{00000000-0005-0000-0000-0000D7120000}"/>
    <cellStyle name="20% - Accent3 3 7" xfId="1257" xr:uid="{00000000-0005-0000-0000-0000D8120000}"/>
    <cellStyle name="20% - Accent3 3 7 2" xfId="11882" xr:uid="{00000000-0005-0000-0000-0000D9120000}"/>
    <cellStyle name="20% - Accent3 3 7 2 2" xfId="25597" xr:uid="{00000000-0005-0000-0000-0000DA120000}"/>
    <cellStyle name="20% - Accent3 3 7 3" xfId="18580" xr:uid="{00000000-0005-0000-0000-0000DB120000}"/>
    <cellStyle name="20% - Accent3 3 8" xfId="1258" xr:uid="{00000000-0005-0000-0000-0000DC120000}"/>
    <cellStyle name="20% - Accent3 3 8 2" xfId="12688" xr:uid="{00000000-0005-0000-0000-0000DD120000}"/>
    <cellStyle name="20% - Accent3 3 8 2 2" xfId="26400" xr:uid="{00000000-0005-0000-0000-0000DE120000}"/>
    <cellStyle name="20% - Accent3 3 8 3" xfId="18581" xr:uid="{00000000-0005-0000-0000-0000DF120000}"/>
    <cellStyle name="20% - Accent3 3 9" xfId="1259" xr:uid="{00000000-0005-0000-0000-0000E0120000}"/>
    <cellStyle name="20% - Accent3 3 9 2" xfId="13462" xr:uid="{00000000-0005-0000-0000-0000E1120000}"/>
    <cellStyle name="20% - Accent3 3 9 2 2" xfId="27011" xr:uid="{00000000-0005-0000-0000-0000E2120000}"/>
    <cellStyle name="20% - Accent3 3 9 3" xfId="18582" xr:uid="{00000000-0005-0000-0000-0000E3120000}"/>
    <cellStyle name="20% - Accent3 30" xfId="23253" xr:uid="{00000000-0005-0000-0000-0000E4120000}"/>
    <cellStyle name="20% - Accent3 4" xfId="1260" xr:uid="{00000000-0005-0000-0000-0000E5120000}"/>
    <cellStyle name="20% - Accent3 4 10" xfId="1261" xr:uid="{00000000-0005-0000-0000-0000E6120000}"/>
    <cellStyle name="20% - Accent3 4 10 2" xfId="14803" xr:uid="{00000000-0005-0000-0000-0000E7120000}"/>
    <cellStyle name="20% - Accent3 4 10 2 2" xfId="28352" xr:uid="{00000000-0005-0000-0000-0000E8120000}"/>
    <cellStyle name="20% - Accent3 4 10 3" xfId="18584" xr:uid="{00000000-0005-0000-0000-0000E9120000}"/>
    <cellStyle name="20% - Accent3 4 11" xfId="1262" xr:uid="{00000000-0005-0000-0000-0000EA120000}"/>
    <cellStyle name="20% - Accent3 4 11 2" xfId="15881" xr:uid="{00000000-0005-0000-0000-0000EB120000}"/>
    <cellStyle name="20% - Accent3 4 11 2 2" xfId="29288" xr:uid="{00000000-0005-0000-0000-0000EC120000}"/>
    <cellStyle name="20% - Accent3 4 11 3" xfId="18585" xr:uid="{00000000-0005-0000-0000-0000ED120000}"/>
    <cellStyle name="20% - Accent3 4 12" xfId="8999" xr:uid="{00000000-0005-0000-0000-0000EE120000}"/>
    <cellStyle name="20% - Accent3 4 12 2" xfId="23474" xr:uid="{00000000-0005-0000-0000-0000EF120000}"/>
    <cellStyle name="20% - Accent3 4 13" xfId="18583" xr:uid="{00000000-0005-0000-0000-0000F0120000}"/>
    <cellStyle name="20% - Accent3 4 2" xfId="1263" xr:uid="{00000000-0005-0000-0000-0000F1120000}"/>
    <cellStyle name="20% - Accent3 4 2 10" xfId="1264" xr:uid="{00000000-0005-0000-0000-0000F2120000}"/>
    <cellStyle name="20% - Accent3 4 2 10 2" xfId="16024" xr:uid="{00000000-0005-0000-0000-0000F3120000}"/>
    <cellStyle name="20% - Accent3 4 2 10 2 2" xfId="29431" xr:uid="{00000000-0005-0000-0000-0000F4120000}"/>
    <cellStyle name="20% - Accent3 4 2 10 3" xfId="18587" xr:uid="{00000000-0005-0000-0000-0000F5120000}"/>
    <cellStyle name="20% - Accent3 4 2 11" xfId="9000" xr:uid="{00000000-0005-0000-0000-0000F6120000}"/>
    <cellStyle name="20% - Accent3 4 2 11 2" xfId="23475" xr:uid="{00000000-0005-0000-0000-0000F7120000}"/>
    <cellStyle name="20% - Accent3 4 2 12" xfId="18586" xr:uid="{00000000-0005-0000-0000-0000F8120000}"/>
    <cellStyle name="20% - Accent3 4 2 2" xfId="1265" xr:uid="{00000000-0005-0000-0000-0000F9120000}"/>
    <cellStyle name="20% - Accent3 4 2 2 10" xfId="9001" xr:uid="{00000000-0005-0000-0000-0000FA120000}"/>
    <cellStyle name="20% - Accent3 4 2 2 10 2" xfId="23476" xr:uid="{00000000-0005-0000-0000-0000FB120000}"/>
    <cellStyle name="20% - Accent3 4 2 2 11" xfId="18588" xr:uid="{00000000-0005-0000-0000-0000FC120000}"/>
    <cellStyle name="20% - Accent3 4 2 2 2" xfId="1266" xr:uid="{00000000-0005-0000-0000-0000FD120000}"/>
    <cellStyle name="20% - Accent3 4 2 2 2 2" xfId="1267" xr:uid="{00000000-0005-0000-0000-0000FE120000}"/>
    <cellStyle name="20% - Accent3 4 2 2 2 2 2" xfId="10727" xr:uid="{00000000-0005-0000-0000-0000FF120000}"/>
    <cellStyle name="20% - Accent3 4 2 2 2 2 2 2" xfId="24669" xr:uid="{00000000-0005-0000-0000-000000130000}"/>
    <cellStyle name="20% - Accent3 4 2 2 2 2 3" xfId="18590" xr:uid="{00000000-0005-0000-0000-000001130000}"/>
    <cellStyle name="20% - Accent3 4 2 2 2 3" xfId="1268" xr:uid="{00000000-0005-0000-0000-000002130000}"/>
    <cellStyle name="20% - Accent3 4 2 2 2 3 2" xfId="11755" xr:uid="{00000000-0005-0000-0000-000003130000}"/>
    <cellStyle name="20% - Accent3 4 2 2 2 3 2 2" xfId="25470" xr:uid="{00000000-0005-0000-0000-000004130000}"/>
    <cellStyle name="20% - Accent3 4 2 2 2 3 3" xfId="18591" xr:uid="{00000000-0005-0000-0000-000005130000}"/>
    <cellStyle name="20% - Accent3 4 2 2 2 4" xfId="1269" xr:uid="{00000000-0005-0000-0000-000006130000}"/>
    <cellStyle name="20% - Accent3 4 2 2 2 4 2" xfId="14806" xr:uid="{00000000-0005-0000-0000-000007130000}"/>
    <cellStyle name="20% - Accent3 4 2 2 2 4 2 2" xfId="28355" xr:uid="{00000000-0005-0000-0000-000008130000}"/>
    <cellStyle name="20% - Accent3 4 2 2 2 4 3" xfId="18592" xr:uid="{00000000-0005-0000-0000-000009130000}"/>
    <cellStyle name="20% - Accent3 4 2 2 2 5" xfId="1270" xr:uid="{00000000-0005-0000-0000-00000A130000}"/>
    <cellStyle name="20% - Accent3 4 2 2 2 5 2" xfId="16894" xr:uid="{00000000-0005-0000-0000-00000B130000}"/>
    <cellStyle name="20% - Accent3 4 2 2 2 5 2 2" xfId="30301" xr:uid="{00000000-0005-0000-0000-00000C130000}"/>
    <cellStyle name="20% - Accent3 4 2 2 2 5 3" xfId="18593" xr:uid="{00000000-0005-0000-0000-00000D130000}"/>
    <cellStyle name="20% - Accent3 4 2 2 2 6" xfId="9002" xr:uid="{00000000-0005-0000-0000-00000E130000}"/>
    <cellStyle name="20% - Accent3 4 2 2 2 6 2" xfId="23477" xr:uid="{00000000-0005-0000-0000-00000F130000}"/>
    <cellStyle name="20% - Accent3 4 2 2 2 7" xfId="18589" xr:uid="{00000000-0005-0000-0000-000010130000}"/>
    <cellStyle name="20% - Accent3 4 2 2 3" xfId="1271" xr:uid="{00000000-0005-0000-0000-000011130000}"/>
    <cellStyle name="20% - Accent3 4 2 2 3 2" xfId="1272" xr:uid="{00000000-0005-0000-0000-000012130000}"/>
    <cellStyle name="20% - Accent3 4 2 2 3 2 2" xfId="14807" xr:uid="{00000000-0005-0000-0000-000013130000}"/>
    <cellStyle name="20% - Accent3 4 2 2 3 2 2 2" xfId="28356" xr:uid="{00000000-0005-0000-0000-000014130000}"/>
    <cellStyle name="20% - Accent3 4 2 2 3 2 3" xfId="18595" xr:uid="{00000000-0005-0000-0000-000015130000}"/>
    <cellStyle name="20% - Accent3 4 2 2 3 3" xfId="10726" xr:uid="{00000000-0005-0000-0000-000016130000}"/>
    <cellStyle name="20% - Accent3 4 2 2 3 3 2" xfId="24668" xr:uid="{00000000-0005-0000-0000-000017130000}"/>
    <cellStyle name="20% - Accent3 4 2 2 3 4" xfId="18594" xr:uid="{00000000-0005-0000-0000-000018130000}"/>
    <cellStyle name="20% - Accent3 4 2 2 4" xfId="1273" xr:uid="{00000000-0005-0000-0000-000019130000}"/>
    <cellStyle name="20% - Accent3 4 2 2 4 2" xfId="12282" xr:uid="{00000000-0005-0000-0000-00001A130000}"/>
    <cellStyle name="20% - Accent3 4 2 2 4 2 2" xfId="25994" xr:uid="{00000000-0005-0000-0000-00001B130000}"/>
    <cellStyle name="20% - Accent3 4 2 2 4 3" xfId="18596" xr:uid="{00000000-0005-0000-0000-00001C130000}"/>
    <cellStyle name="20% - Accent3 4 2 2 5" xfId="1274" xr:uid="{00000000-0005-0000-0000-00001D130000}"/>
    <cellStyle name="20% - Accent3 4 2 2 5 2" xfId="12627" xr:uid="{00000000-0005-0000-0000-00001E130000}"/>
    <cellStyle name="20% - Accent3 4 2 2 5 2 2" xfId="26339" xr:uid="{00000000-0005-0000-0000-00001F130000}"/>
    <cellStyle name="20% - Accent3 4 2 2 5 3" xfId="18597" xr:uid="{00000000-0005-0000-0000-000020130000}"/>
    <cellStyle name="20% - Accent3 4 2 2 6" xfId="1275" xr:uid="{00000000-0005-0000-0000-000021130000}"/>
    <cellStyle name="20% - Accent3 4 2 2 6 2" xfId="13846" xr:uid="{00000000-0005-0000-0000-000022130000}"/>
    <cellStyle name="20% - Accent3 4 2 2 6 2 2" xfId="27395" xr:uid="{00000000-0005-0000-0000-000023130000}"/>
    <cellStyle name="20% - Accent3 4 2 2 6 3" xfId="18598" xr:uid="{00000000-0005-0000-0000-000024130000}"/>
    <cellStyle name="20% - Accent3 4 2 2 7" xfId="1276" xr:uid="{00000000-0005-0000-0000-000025130000}"/>
    <cellStyle name="20% - Accent3 4 2 2 7 2" xfId="14427" xr:uid="{00000000-0005-0000-0000-000026130000}"/>
    <cellStyle name="20% - Accent3 4 2 2 7 2 2" xfId="27976" xr:uid="{00000000-0005-0000-0000-000027130000}"/>
    <cellStyle name="20% - Accent3 4 2 2 7 3" xfId="18599" xr:uid="{00000000-0005-0000-0000-000028130000}"/>
    <cellStyle name="20% - Accent3 4 2 2 8" xfId="1277" xr:uid="{00000000-0005-0000-0000-000029130000}"/>
    <cellStyle name="20% - Accent3 4 2 2 8 2" xfId="14805" xr:uid="{00000000-0005-0000-0000-00002A130000}"/>
    <cellStyle name="20% - Accent3 4 2 2 8 2 2" xfId="28354" xr:uid="{00000000-0005-0000-0000-00002B130000}"/>
    <cellStyle name="20% - Accent3 4 2 2 8 3" xfId="18600" xr:uid="{00000000-0005-0000-0000-00002C130000}"/>
    <cellStyle name="20% - Accent3 4 2 2 9" xfId="1278" xr:uid="{00000000-0005-0000-0000-00002D130000}"/>
    <cellStyle name="20% - Accent3 4 2 2 9 2" xfId="16313" xr:uid="{00000000-0005-0000-0000-00002E130000}"/>
    <cellStyle name="20% - Accent3 4 2 2 9 2 2" xfId="29720" xr:uid="{00000000-0005-0000-0000-00002F130000}"/>
    <cellStyle name="20% - Accent3 4 2 2 9 3" xfId="18601" xr:uid="{00000000-0005-0000-0000-000030130000}"/>
    <cellStyle name="20% - Accent3 4 2 3" xfId="1279" xr:uid="{00000000-0005-0000-0000-000031130000}"/>
    <cellStyle name="20% - Accent3 4 2 3 2" xfId="1280" xr:uid="{00000000-0005-0000-0000-000032130000}"/>
    <cellStyle name="20% - Accent3 4 2 3 2 2" xfId="10728" xr:uid="{00000000-0005-0000-0000-000033130000}"/>
    <cellStyle name="20% - Accent3 4 2 3 2 2 2" xfId="24670" xr:uid="{00000000-0005-0000-0000-000034130000}"/>
    <cellStyle name="20% - Accent3 4 2 3 2 3" xfId="18603" xr:uid="{00000000-0005-0000-0000-000035130000}"/>
    <cellStyle name="20% - Accent3 4 2 3 3" xfId="1281" xr:uid="{00000000-0005-0000-0000-000036130000}"/>
    <cellStyle name="20% - Accent3 4 2 3 3 2" xfId="12506" xr:uid="{00000000-0005-0000-0000-000037130000}"/>
    <cellStyle name="20% - Accent3 4 2 3 3 2 2" xfId="26218" xr:uid="{00000000-0005-0000-0000-000038130000}"/>
    <cellStyle name="20% - Accent3 4 2 3 3 3" xfId="18604" xr:uid="{00000000-0005-0000-0000-000039130000}"/>
    <cellStyle name="20% - Accent3 4 2 3 4" xfId="1282" xr:uid="{00000000-0005-0000-0000-00003A130000}"/>
    <cellStyle name="20% - Accent3 4 2 3 4 2" xfId="14808" xr:uid="{00000000-0005-0000-0000-00003B130000}"/>
    <cellStyle name="20% - Accent3 4 2 3 4 2 2" xfId="28357" xr:uid="{00000000-0005-0000-0000-00003C130000}"/>
    <cellStyle name="20% - Accent3 4 2 3 4 3" xfId="18605" xr:uid="{00000000-0005-0000-0000-00003D130000}"/>
    <cellStyle name="20% - Accent3 4 2 3 5" xfId="1283" xr:uid="{00000000-0005-0000-0000-00003E130000}"/>
    <cellStyle name="20% - Accent3 4 2 3 5 2" xfId="16605" xr:uid="{00000000-0005-0000-0000-00003F130000}"/>
    <cellStyle name="20% - Accent3 4 2 3 5 2 2" xfId="30012" xr:uid="{00000000-0005-0000-0000-000040130000}"/>
    <cellStyle name="20% - Accent3 4 2 3 5 3" xfId="18606" xr:uid="{00000000-0005-0000-0000-000041130000}"/>
    <cellStyle name="20% - Accent3 4 2 3 6" xfId="9003" xr:uid="{00000000-0005-0000-0000-000042130000}"/>
    <cellStyle name="20% - Accent3 4 2 3 6 2" xfId="23478" xr:uid="{00000000-0005-0000-0000-000043130000}"/>
    <cellStyle name="20% - Accent3 4 2 3 7" xfId="18602" xr:uid="{00000000-0005-0000-0000-000044130000}"/>
    <cellStyle name="20% - Accent3 4 2 4" xfId="1284" xr:uid="{00000000-0005-0000-0000-000045130000}"/>
    <cellStyle name="20% - Accent3 4 2 4 2" xfId="1285" xr:uid="{00000000-0005-0000-0000-000046130000}"/>
    <cellStyle name="20% - Accent3 4 2 4 2 2" xfId="14809" xr:uid="{00000000-0005-0000-0000-000047130000}"/>
    <cellStyle name="20% - Accent3 4 2 4 2 2 2" xfId="28358" xr:uid="{00000000-0005-0000-0000-000048130000}"/>
    <cellStyle name="20% - Accent3 4 2 4 2 3" xfId="18608" xr:uid="{00000000-0005-0000-0000-000049130000}"/>
    <cellStyle name="20% - Accent3 4 2 4 3" xfId="10725" xr:uid="{00000000-0005-0000-0000-00004A130000}"/>
    <cellStyle name="20% - Accent3 4 2 4 3 2" xfId="24667" xr:uid="{00000000-0005-0000-0000-00004B130000}"/>
    <cellStyle name="20% - Accent3 4 2 4 4" xfId="18607" xr:uid="{00000000-0005-0000-0000-00004C130000}"/>
    <cellStyle name="20% - Accent3 4 2 5" xfId="1286" xr:uid="{00000000-0005-0000-0000-00004D130000}"/>
    <cellStyle name="20% - Accent3 4 2 5 2" xfId="11982" xr:uid="{00000000-0005-0000-0000-00004E130000}"/>
    <cellStyle name="20% - Accent3 4 2 5 2 2" xfId="25697" xr:uid="{00000000-0005-0000-0000-00004F130000}"/>
    <cellStyle name="20% - Accent3 4 2 5 3" xfId="18609" xr:uid="{00000000-0005-0000-0000-000050130000}"/>
    <cellStyle name="20% - Accent3 4 2 6" xfId="1287" xr:uid="{00000000-0005-0000-0000-000051130000}"/>
    <cellStyle name="20% - Accent3 4 2 6 2" xfId="12736" xr:uid="{00000000-0005-0000-0000-000052130000}"/>
    <cellStyle name="20% - Accent3 4 2 6 2 2" xfId="26448" xr:uid="{00000000-0005-0000-0000-000053130000}"/>
    <cellStyle name="20% - Accent3 4 2 6 3" xfId="18610" xr:uid="{00000000-0005-0000-0000-000054130000}"/>
    <cellStyle name="20% - Accent3 4 2 7" xfId="1288" xr:uid="{00000000-0005-0000-0000-000055130000}"/>
    <cellStyle name="20% - Accent3 4 2 7 2" xfId="13557" xr:uid="{00000000-0005-0000-0000-000056130000}"/>
    <cellStyle name="20% - Accent3 4 2 7 2 2" xfId="27106" xr:uid="{00000000-0005-0000-0000-000057130000}"/>
    <cellStyle name="20% - Accent3 4 2 7 3" xfId="18611" xr:uid="{00000000-0005-0000-0000-000058130000}"/>
    <cellStyle name="20% - Accent3 4 2 8" xfId="1289" xr:uid="{00000000-0005-0000-0000-000059130000}"/>
    <cellStyle name="20% - Accent3 4 2 8 2" xfId="14138" xr:uid="{00000000-0005-0000-0000-00005A130000}"/>
    <cellStyle name="20% - Accent3 4 2 8 2 2" xfId="27687" xr:uid="{00000000-0005-0000-0000-00005B130000}"/>
    <cellStyle name="20% - Accent3 4 2 8 3" xfId="18612" xr:uid="{00000000-0005-0000-0000-00005C130000}"/>
    <cellStyle name="20% - Accent3 4 2 9" xfId="1290" xr:uid="{00000000-0005-0000-0000-00005D130000}"/>
    <cellStyle name="20% - Accent3 4 2 9 2" xfId="14804" xr:uid="{00000000-0005-0000-0000-00005E130000}"/>
    <cellStyle name="20% - Accent3 4 2 9 2 2" xfId="28353" xr:uid="{00000000-0005-0000-0000-00005F130000}"/>
    <cellStyle name="20% - Accent3 4 2 9 3" xfId="18613" xr:uid="{00000000-0005-0000-0000-000060130000}"/>
    <cellStyle name="20% - Accent3 4 3" xfId="1291" xr:uid="{00000000-0005-0000-0000-000061130000}"/>
    <cellStyle name="20% - Accent3 4 3 10" xfId="9004" xr:uid="{00000000-0005-0000-0000-000062130000}"/>
    <cellStyle name="20% - Accent3 4 3 10 2" xfId="23479" xr:uid="{00000000-0005-0000-0000-000063130000}"/>
    <cellStyle name="20% - Accent3 4 3 11" xfId="18614" xr:uid="{00000000-0005-0000-0000-000064130000}"/>
    <cellStyle name="20% - Accent3 4 3 2" xfId="1292" xr:uid="{00000000-0005-0000-0000-000065130000}"/>
    <cellStyle name="20% - Accent3 4 3 2 2" xfId="1293" xr:uid="{00000000-0005-0000-0000-000066130000}"/>
    <cellStyle name="20% - Accent3 4 3 2 2 2" xfId="10730" xr:uid="{00000000-0005-0000-0000-000067130000}"/>
    <cellStyle name="20% - Accent3 4 3 2 2 2 2" xfId="24672" xr:uid="{00000000-0005-0000-0000-000068130000}"/>
    <cellStyle name="20% - Accent3 4 3 2 2 3" xfId="18616" xr:uid="{00000000-0005-0000-0000-000069130000}"/>
    <cellStyle name="20% - Accent3 4 3 2 3" xfId="1294" xr:uid="{00000000-0005-0000-0000-00006A130000}"/>
    <cellStyle name="20% - Accent3 4 3 2 3 2" xfId="12619" xr:uid="{00000000-0005-0000-0000-00006B130000}"/>
    <cellStyle name="20% - Accent3 4 3 2 3 2 2" xfId="26331" xr:uid="{00000000-0005-0000-0000-00006C130000}"/>
    <cellStyle name="20% - Accent3 4 3 2 3 3" xfId="18617" xr:uid="{00000000-0005-0000-0000-00006D130000}"/>
    <cellStyle name="20% - Accent3 4 3 2 4" xfId="1295" xr:uid="{00000000-0005-0000-0000-00006E130000}"/>
    <cellStyle name="20% - Accent3 4 3 2 4 2" xfId="14811" xr:uid="{00000000-0005-0000-0000-00006F130000}"/>
    <cellStyle name="20% - Accent3 4 3 2 4 2 2" xfId="28360" xr:uid="{00000000-0005-0000-0000-000070130000}"/>
    <cellStyle name="20% - Accent3 4 3 2 4 3" xfId="18618" xr:uid="{00000000-0005-0000-0000-000071130000}"/>
    <cellStyle name="20% - Accent3 4 3 2 5" xfId="1296" xr:uid="{00000000-0005-0000-0000-000072130000}"/>
    <cellStyle name="20% - Accent3 4 3 2 5 2" xfId="16754" xr:uid="{00000000-0005-0000-0000-000073130000}"/>
    <cellStyle name="20% - Accent3 4 3 2 5 2 2" xfId="30161" xr:uid="{00000000-0005-0000-0000-000074130000}"/>
    <cellStyle name="20% - Accent3 4 3 2 5 3" xfId="18619" xr:uid="{00000000-0005-0000-0000-000075130000}"/>
    <cellStyle name="20% - Accent3 4 3 2 6" xfId="9005" xr:uid="{00000000-0005-0000-0000-000076130000}"/>
    <cellStyle name="20% - Accent3 4 3 2 6 2" xfId="23480" xr:uid="{00000000-0005-0000-0000-000077130000}"/>
    <cellStyle name="20% - Accent3 4 3 2 7" xfId="18615" xr:uid="{00000000-0005-0000-0000-000078130000}"/>
    <cellStyle name="20% - Accent3 4 3 3" xfId="1297" xr:uid="{00000000-0005-0000-0000-000079130000}"/>
    <cellStyle name="20% - Accent3 4 3 3 2" xfId="1298" xr:uid="{00000000-0005-0000-0000-00007A130000}"/>
    <cellStyle name="20% - Accent3 4 3 3 2 2" xfId="14812" xr:uid="{00000000-0005-0000-0000-00007B130000}"/>
    <cellStyle name="20% - Accent3 4 3 3 2 2 2" xfId="28361" xr:uid="{00000000-0005-0000-0000-00007C130000}"/>
    <cellStyle name="20% - Accent3 4 3 3 2 3" xfId="18621" xr:uid="{00000000-0005-0000-0000-00007D130000}"/>
    <cellStyle name="20% - Accent3 4 3 3 3" xfId="10729" xr:uid="{00000000-0005-0000-0000-00007E130000}"/>
    <cellStyle name="20% - Accent3 4 3 3 3 2" xfId="24671" xr:uid="{00000000-0005-0000-0000-00007F130000}"/>
    <cellStyle name="20% - Accent3 4 3 3 4" xfId="18620" xr:uid="{00000000-0005-0000-0000-000080130000}"/>
    <cellStyle name="20% - Accent3 4 3 4" xfId="1299" xr:uid="{00000000-0005-0000-0000-000081130000}"/>
    <cellStyle name="20% - Accent3 4 3 4 2" xfId="12142" xr:uid="{00000000-0005-0000-0000-000082130000}"/>
    <cellStyle name="20% - Accent3 4 3 4 2 2" xfId="25854" xr:uid="{00000000-0005-0000-0000-000083130000}"/>
    <cellStyle name="20% - Accent3 4 3 4 3" xfId="18622" xr:uid="{00000000-0005-0000-0000-000084130000}"/>
    <cellStyle name="20% - Accent3 4 3 5" xfId="1300" xr:uid="{00000000-0005-0000-0000-000085130000}"/>
    <cellStyle name="20% - Accent3 4 3 5 2" xfId="12723" xr:uid="{00000000-0005-0000-0000-000086130000}"/>
    <cellStyle name="20% - Accent3 4 3 5 2 2" xfId="26435" xr:uid="{00000000-0005-0000-0000-000087130000}"/>
    <cellStyle name="20% - Accent3 4 3 5 3" xfId="18623" xr:uid="{00000000-0005-0000-0000-000088130000}"/>
    <cellStyle name="20% - Accent3 4 3 6" xfId="1301" xr:uid="{00000000-0005-0000-0000-000089130000}"/>
    <cellStyle name="20% - Accent3 4 3 6 2" xfId="13706" xr:uid="{00000000-0005-0000-0000-00008A130000}"/>
    <cellStyle name="20% - Accent3 4 3 6 2 2" xfId="27255" xr:uid="{00000000-0005-0000-0000-00008B130000}"/>
    <cellStyle name="20% - Accent3 4 3 6 3" xfId="18624" xr:uid="{00000000-0005-0000-0000-00008C130000}"/>
    <cellStyle name="20% - Accent3 4 3 7" xfId="1302" xr:uid="{00000000-0005-0000-0000-00008D130000}"/>
    <cellStyle name="20% - Accent3 4 3 7 2" xfId="14287" xr:uid="{00000000-0005-0000-0000-00008E130000}"/>
    <cellStyle name="20% - Accent3 4 3 7 2 2" xfId="27836" xr:uid="{00000000-0005-0000-0000-00008F130000}"/>
    <cellStyle name="20% - Accent3 4 3 7 3" xfId="18625" xr:uid="{00000000-0005-0000-0000-000090130000}"/>
    <cellStyle name="20% - Accent3 4 3 8" xfId="1303" xr:uid="{00000000-0005-0000-0000-000091130000}"/>
    <cellStyle name="20% - Accent3 4 3 8 2" xfId="14810" xr:uid="{00000000-0005-0000-0000-000092130000}"/>
    <cellStyle name="20% - Accent3 4 3 8 2 2" xfId="28359" xr:uid="{00000000-0005-0000-0000-000093130000}"/>
    <cellStyle name="20% - Accent3 4 3 8 3" xfId="18626" xr:uid="{00000000-0005-0000-0000-000094130000}"/>
    <cellStyle name="20% - Accent3 4 3 9" xfId="1304" xr:uid="{00000000-0005-0000-0000-000095130000}"/>
    <cellStyle name="20% - Accent3 4 3 9 2" xfId="16173" xr:uid="{00000000-0005-0000-0000-000096130000}"/>
    <cellStyle name="20% - Accent3 4 3 9 2 2" xfId="29580" xr:uid="{00000000-0005-0000-0000-000097130000}"/>
    <cellStyle name="20% - Accent3 4 3 9 3" xfId="18627" xr:uid="{00000000-0005-0000-0000-000098130000}"/>
    <cellStyle name="20% - Accent3 4 4" xfId="1305" xr:uid="{00000000-0005-0000-0000-000099130000}"/>
    <cellStyle name="20% - Accent3 4 4 2" xfId="1306" xr:uid="{00000000-0005-0000-0000-00009A130000}"/>
    <cellStyle name="20% - Accent3 4 4 2 2" xfId="10731" xr:uid="{00000000-0005-0000-0000-00009B130000}"/>
    <cellStyle name="20% - Accent3 4 4 2 2 2" xfId="24673" xr:uid="{00000000-0005-0000-0000-00009C130000}"/>
    <cellStyle name="20% - Accent3 4 4 2 3" xfId="18629" xr:uid="{00000000-0005-0000-0000-00009D130000}"/>
    <cellStyle name="20% - Accent3 4 4 3" xfId="1307" xr:uid="{00000000-0005-0000-0000-00009E130000}"/>
    <cellStyle name="20% - Accent3 4 4 3 2" xfId="12479" xr:uid="{00000000-0005-0000-0000-00009F130000}"/>
    <cellStyle name="20% - Accent3 4 4 3 2 2" xfId="26191" xr:uid="{00000000-0005-0000-0000-0000A0130000}"/>
    <cellStyle name="20% - Accent3 4 4 3 3" xfId="18630" xr:uid="{00000000-0005-0000-0000-0000A1130000}"/>
    <cellStyle name="20% - Accent3 4 4 4" xfId="1308" xr:uid="{00000000-0005-0000-0000-0000A2130000}"/>
    <cellStyle name="20% - Accent3 4 4 4 2" xfId="14813" xr:uid="{00000000-0005-0000-0000-0000A3130000}"/>
    <cellStyle name="20% - Accent3 4 4 4 2 2" xfId="28362" xr:uid="{00000000-0005-0000-0000-0000A4130000}"/>
    <cellStyle name="20% - Accent3 4 4 4 3" xfId="18631" xr:uid="{00000000-0005-0000-0000-0000A5130000}"/>
    <cellStyle name="20% - Accent3 4 4 5" xfId="1309" xr:uid="{00000000-0005-0000-0000-0000A6130000}"/>
    <cellStyle name="20% - Accent3 4 4 5 2" xfId="16462" xr:uid="{00000000-0005-0000-0000-0000A7130000}"/>
    <cellStyle name="20% - Accent3 4 4 5 2 2" xfId="29869" xr:uid="{00000000-0005-0000-0000-0000A8130000}"/>
    <cellStyle name="20% - Accent3 4 4 5 3" xfId="18632" xr:uid="{00000000-0005-0000-0000-0000A9130000}"/>
    <cellStyle name="20% - Accent3 4 4 6" xfId="9006" xr:uid="{00000000-0005-0000-0000-0000AA130000}"/>
    <cellStyle name="20% - Accent3 4 4 6 2" xfId="23481" xr:uid="{00000000-0005-0000-0000-0000AB130000}"/>
    <cellStyle name="20% - Accent3 4 4 7" xfId="18628" xr:uid="{00000000-0005-0000-0000-0000AC130000}"/>
    <cellStyle name="20% - Accent3 4 5" xfId="1310" xr:uid="{00000000-0005-0000-0000-0000AD130000}"/>
    <cellStyle name="20% - Accent3 4 5 2" xfId="1311" xr:uid="{00000000-0005-0000-0000-0000AE130000}"/>
    <cellStyle name="20% - Accent3 4 5 2 2" xfId="14814" xr:uid="{00000000-0005-0000-0000-0000AF130000}"/>
    <cellStyle name="20% - Accent3 4 5 2 2 2" xfId="28363" xr:uid="{00000000-0005-0000-0000-0000B0130000}"/>
    <cellStyle name="20% - Accent3 4 5 2 3" xfId="18634" xr:uid="{00000000-0005-0000-0000-0000B1130000}"/>
    <cellStyle name="20% - Accent3 4 5 3" xfId="10724" xr:uid="{00000000-0005-0000-0000-0000B2130000}"/>
    <cellStyle name="20% - Accent3 4 5 3 2" xfId="24666" xr:uid="{00000000-0005-0000-0000-0000B3130000}"/>
    <cellStyle name="20% - Accent3 4 5 4" xfId="18633" xr:uid="{00000000-0005-0000-0000-0000B4130000}"/>
    <cellStyle name="20% - Accent3 4 6" xfId="1312" xr:uid="{00000000-0005-0000-0000-0000B5130000}"/>
    <cellStyle name="20% - Accent3 4 6 2" xfId="11813" xr:uid="{00000000-0005-0000-0000-0000B6130000}"/>
    <cellStyle name="20% - Accent3 4 6 2 2" xfId="25528" xr:uid="{00000000-0005-0000-0000-0000B7130000}"/>
    <cellStyle name="20% - Accent3 4 6 3" xfId="18635" xr:uid="{00000000-0005-0000-0000-0000B8130000}"/>
    <cellStyle name="20% - Accent3 4 7" xfId="1313" xr:uid="{00000000-0005-0000-0000-0000B9130000}"/>
    <cellStyle name="20% - Accent3 4 7 2" xfId="12520" xr:uid="{00000000-0005-0000-0000-0000BA130000}"/>
    <cellStyle name="20% - Accent3 4 7 2 2" xfId="26232" xr:uid="{00000000-0005-0000-0000-0000BB130000}"/>
    <cellStyle name="20% - Accent3 4 7 3" xfId="18636" xr:uid="{00000000-0005-0000-0000-0000BC130000}"/>
    <cellStyle name="20% - Accent3 4 8" xfId="1314" xr:uid="{00000000-0005-0000-0000-0000BD130000}"/>
    <cellStyle name="20% - Accent3 4 8 2" xfId="13414" xr:uid="{00000000-0005-0000-0000-0000BE130000}"/>
    <cellStyle name="20% - Accent3 4 8 2 2" xfId="26963" xr:uid="{00000000-0005-0000-0000-0000BF130000}"/>
    <cellStyle name="20% - Accent3 4 8 3" xfId="18637" xr:uid="{00000000-0005-0000-0000-0000C0130000}"/>
    <cellStyle name="20% - Accent3 4 9" xfId="1315" xr:uid="{00000000-0005-0000-0000-0000C1130000}"/>
    <cellStyle name="20% - Accent3 4 9 2" xfId="13995" xr:uid="{00000000-0005-0000-0000-0000C2130000}"/>
    <cellStyle name="20% - Accent3 4 9 2 2" xfId="27544" xr:uid="{00000000-0005-0000-0000-0000C3130000}"/>
    <cellStyle name="20% - Accent3 4 9 3" xfId="18638" xr:uid="{00000000-0005-0000-0000-0000C4130000}"/>
    <cellStyle name="20% - Accent3 5" xfId="1316" xr:uid="{00000000-0005-0000-0000-0000C5130000}"/>
    <cellStyle name="20% - Accent3 5 10" xfId="1317" xr:uid="{00000000-0005-0000-0000-0000C6130000}"/>
    <cellStyle name="20% - Accent3 5 10 2" xfId="14815" xr:uid="{00000000-0005-0000-0000-0000C7130000}"/>
    <cellStyle name="20% - Accent3 5 10 2 2" xfId="28364" xr:uid="{00000000-0005-0000-0000-0000C8130000}"/>
    <cellStyle name="20% - Accent3 5 10 3" xfId="18640" xr:uid="{00000000-0005-0000-0000-0000C9130000}"/>
    <cellStyle name="20% - Accent3 5 11" xfId="1318" xr:uid="{00000000-0005-0000-0000-0000CA130000}"/>
    <cellStyle name="20% - Accent3 5 11 2" xfId="15864" xr:uid="{00000000-0005-0000-0000-0000CB130000}"/>
    <cellStyle name="20% - Accent3 5 11 2 2" xfId="29271" xr:uid="{00000000-0005-0000-0000-0000CC130000}"/>
    <cellStyle name="20% - Accent3 5 11 3" xfId="18641" xr:uid="{00000000-0005-0000-0000-0000CD130000}"/>
    <cellStyle name="20% - Accent3 5 12" xfId="9007" xr:uid="{00000000-0005-0000-0000-0000CE130000}"/>
    <cellStyle name="20% - Accent3 5 12 2" xfId="23482" xr:uid="{00000000-0005-0000-0000-0000CF130000}"/>
    <cellStyle name="20% - Accent3 5 13" xfId="18639" xr:uid="{00000000-0005-0000-0000-0000D0130000}"/>
    <cellStyle name="20% - Accent3 5 2" xfId="1319" xr:uid="{00000000-0005-0000-0000-0000D1130000}"/>
    <cellStyle name="20% - Accent3 5 2 10" xfId="1320" xr:uid="{00000000-0005-0000-0000-0000D2130000}"/>
    <cellStyle name="20% - Accent3 5 2 10 2" xfId="16007" xr:uid="{00000000-0005-0000-0000-0000D3130000}"/>
    <cellStyle name="20% - Accent3 5 2 10 2 2" xfId="29414" xr:uid="{00000000-0005-0000-0000-0000D4130000}"/>
    <cellStyle name="20% - Accent3 5 2 10 3" xfId="18643" xr:uid="{00000000-0005-0000-0000-0000D5130000}"/>
    <cellStyle name="20% - Accent3 5 2 11" xfId="9008" xr:uid="{00000000-0005-0000-0000-0000D6130000}"/>
    <cellStyle name="20% - Accent3 5 2 11 2" xfId="23483" xr:uid="{00000000-0005-0000-0000-0000D7130000}"/>
    <cellStyle name="20% - Accent3 5 2 12" xfId="18642" xr:uid="{00000000-0005-0000-0000-0000D8130000}"/>
    <cellStyle name="20% - Accent3 5 2 2" xfId="1321" xr:uid="{00000000-0005-0000-0000-0000D9130000}"/>
    <cellStyle name="20% - Accent3 5 2 2 10" xfId="9009" xr:uid="{00000000-0005-0000-0000-0000DA130000}"/>
    <cellStyle name="20% - Accent3 5 2 2 10 2" xfId="23484" xr:uid="{00000000-0005-0000-0000-0000DB130000}"/>
    <cellStyle name="20% - Accent3 5 2 2 11" xfId="18644" xr:uid="{00000000-0005-0000-0000-0000DC130000}"/>
    <cellStyle name="20% - Accent3 5 2 2 2" xfId="1322" xr:uid="{00000000-0005-0000-0000-0000DD130000}"/>
    <cellStyle name="20% - Accent3 5 2 2 2 2" xfId="1323" xr:uid="{00000000-0005-0000-0000-0000DE130000}"/>
    <cellStyle name="20% - Accent3 5 2 2 2 2 2" xfId="10735" xr:uid="{00000000-0005-0000-0000-0000DF130000}"/>
    <cellStyle name="20% - Accent3 5 2 2 2 2 2 2" xfId="24677" xr:uid="{00000000-0005-0000-0000-0000E0130000}"/>
    <cellStyle name="20% - Accent3 5 2 2 2 2 3" xfId="18646" xr:uid="{00000000-0005-0000-0000-0000E1130000}"/>
    <cellStyle name="20% - Accent3 5 2 2 2 3" xfId="1324" xr:uid="{00000000-0005-0000-0000-0000E2130000}"/>
    <cellStyle name="20% - Accent3 5 2 2 2 3 2" xfId="12496" xr:uid="{00000000-0005-0000-0000-0000E3130000}"/>
    <cellStyle name="20% - Accent3 5 2 2 2 3 2 2" xfId="26208" xr:uid="{00000000-0005-0000-0000-0000E4130000}"/>
    <cellStyle name="20% - Accent3 5 2 2 2 3 3" xfId="18647" xr:uid="{00000000-0005-0000-0000-0000E5130000}"/>
    <cellStyle name="20% - Accent3 5 2 2 2 4" xfId="1325" xr:uid="{00000000-0005-0000-0000-0000E6130000}"/>
    <cellStyle name="20% - Accent3 5 2 2 2 4 2" xfId="14818" xr:uid="{00000000-0005-0000-0000-0000E7130000}"/>
    <cellStyle name="20% - Accent3 5 2 2 2 4 2 2" xfId="28367" xr:uid="{00000000-0005-0000-0000-0000E8130000}"/>
    <cellStyle name="20% - Accent3 5 2 2 2 4 3" xfId="18648" xr:uid="{00000000-0005-0000-0000-0000E9130000}"/>
    <cellStyle name="20% - Accent3 5 2 2 2 5" xfId="1326" xr:uid="{00000000-0005-0000-0000-0000EA130000}"/>
    <cellStyle name="20% - Accent3 5 2 2 2 5 2" xfId="16877" xr:uid="{00000000-0005-0000-0000-0000EB130000}"/>
    <cellStyle name="20% - Accent3 5 2 2 2 5 2 2" xfId="30284" xr:uid="{00000000-0005-0000-0000-0000EC130000}"/>
    <cellStyle name="20% - Accent3 5 2 2 2 5 3" xfId="18649" xr:uid="{00000000-0005-0000-0000-0000ED130000}"/>
    <cellStyle name="20% - Accent3 5 2 2 2 6" xfId="9010" xr:uid="{00000000-0005-0000-0000-0000EE130000}"/>
    <cellStyle name="20% - Accent3 5 2 2 2 6 2" xfId="23485" xr:uid="{00000000-0005-0000-0000-0000EF130000}"/>
    <cellStyle name="20% - Accent3 5 2 2 2 7" xfId="18645" xr:uid="{00000000-0005-0000-0000-0000F0130000}"/>
    <cellStyle name="20% - Accent3 5 2 2 3" xfId="1327" xr:uid="{00000000-0005-0000-0000-0000F1130000}"/>
    <cellStyle name="20% - Accent3 5 2 2 3 2" xfId="1328" xr:uid="{00000000-0005-0000-0000-0000F2130000}"/>
    <cellStyle name="20% - Accent3 5 2 2 3 2 2" xfId="14819" xr:uid="{00000000-0005-0000-0000-0000F3130000}"/>
    <cellStyle name="20% - Accent3 5 2 2 3 2 2 2" xfId="28368" xr:uid="{00000000-0005-0000-0000-0000F4130000}"/>
    <cellStyle name="20% - Accent3 5 2 2 3 2 3" xfId="18651" xr:uid="{00000000-0005-0000-0000-0000F5130000}"/>
    <cellStyle name="20% - Accent3 5 2 2 3 3" xfId="10734" xr:uid="{00000000-0005-0000-0000-0000F6130000}"/>
    <cellStyle name="20% - Accent3 5 2 2 3 3 2" xfId="24676" xr:uid="{00000000-0005-0000-0000-0000F7130000}"/>
    <cellStyle name="20% - Accent3 5 2 2 3 4" xfId="18650" xr:uid="{00000000-0005-0000-0000-0000F8130000}"/>
    <cellStyle name="20% - Accent3 5 2 2 4" xfId="1329" xr:uid="{00000000-0005-0000-0000-0000F9130000}"/>
    <cellStyle name="20% - Accent3 5 2 2 4 2" xfId="12265" xr:uid="{00000000-0005-0000-0000-0000FA130000}"/>
    <cellStyle name="20% - Accent3 5 2 2 4 2 2" xfId="25977" xr:uid="{00000000-0005-0000-0000-0000FB130000}"/>
    <cellStyle name="20% - Accent3 5 2 2 4 3" xfId="18652" xr:uid="{00000000-0005-0000-0000-0000FC130000}"/>
    <cellStyle name="20% - Accent3 5 2 2 5" xfId="1330" xr:uid="{00000000-0005-0000-0000-0000FD130000}"/>
    <cellStyle name="20% - Accent3 5 2 2 5 2" xfId="12695" xr:uid="{00000000-0005-0000-0000-0000FE130000}"/>
    <cellStyle name="20% - Accent3 5 2 2 5 2 2" xfId="26407" xr:uid="{00000000-0005-0000-0000-0000FF130000}"/>
    <cellStyle name="20% - Accent3 5 2 2 5 3" xfId="18653" xr:uid="{00000000-0005-0000-0000-000000140000}"/>
    <cellStyle name="20% - Accent3 5 2 2 6" xfId="1331" xr:uid="{00000000-0005-0000-0000-000001140000}"/>
    <cellStyle name="20% - Accent3 5 2 2 6 2" xfId="13829" xr:uid="{00000000-0005-0000-0000-000002140000}"/>
    <cellStyle name="20% - Accent3 5 2 2 6 2 2" xfId="27378" xr:uid="{00000000-0005-0000-0000-000003140000}"/>
    <cellStyle name="20% - Accent3 5 2 2 6 3" xfId="18654" xr:uid="{00000000-0005-0000-0000-000004140000}"/>
    <cellStyle name="20% - Accent3 5 2 2 7" xfId="1332" xr:uid="{00000000-0005-0000-0000-000005140000}"/>
    <cellStyle name="20% - Accent3 5 2 2 7 2" xfId="14410" xr:uid="{00000000-0005-0000-0000-000006140000}"/>
    <cellStyle name="20% - Accent3 5 2 2 7 2 2" xfId="27959" xr:uid="{00000000-0005-0000-0000-000007140000}"/>
    <cellStyle name="20% - Accent3 5 2 2 7 3" xfId="18655" xr:uid="{00000000-0005-0000-0000-000008140000}"/>
    <cellStyle name="20% - Accent3 5 2 2 8" xfId="1333" xr:uid="{00000000-0005-0000-0000-000009140000}"/>
    <cellStyle name="20% - Accent3 5 2 2 8 2" xfId="14817" xr:uid="{00000000-0005-0000-0000-00000A140000}"/>
    <cellStyle name="20% - Accent3 5 2 2 8 2 2" xfId="28366" xr:uid="{00000000-0005-0000-0000-00000B140000}"/>
    <cellStyle name="20% - Accent3 5 2 2 8 3" xfId="18656" xr:uid="{00000000-0005-0000-0000-00000C140000}"/>
    <cellStyle name="20% - Accent3 5 2 2 9" xfId="1334" xr:uid="{00000000-0005-0000-0000-00000D140000}"/>
    <cellStyle name="20% - Accent3 5 2 2 9 2" xfId="16296" xr:uid="{00000000-0005-0000-0000-00000E140000}"/>
    <cellStyle name="20% - Accent3 5 2 2 9 2 2" xfId="29703" xr:uid="{00000000-0005-0000-0000-00000F140000}"/>
    <cellStyle name="20% - Accent3 5 2 2 9 3" xfId="18657" xr:uid="{00000000-0005-0000-0000-000010140000}"/>
    <cellStyle name="20% - Accent3 5 2 3" xfId="1335" xr:uid="{00000000-0005-0000-0000-000011140000}"/>
    <cellStyle name="20% - Accent3 5 2 3 2" xfId="1336" xr:uid="{00000000-0005-0000-0000-000012140000}"/>
    <cellStyle name="20% - Accent3 5 2 3 2 2" xfId="10736" xr:uid="{00000000-0005-0000-0000-000013140000}"/>
    <cellStyle name="20% - Accent3 5 2 3 2 2 2" xfId="24678" xr:uid="{00000000-0005-0000-0000-000014140000}"/>
    <cellStyle name="20% - Accent3 5 2 3 2 3" xfId="18659" xr:uid="{00000000-0005-0000-0000-000015140000}"/>
    <cellStyle name="20% - Accent3 5 2 3 3" xfId="1337" xr:uid="{00000000-0005-0000-0000-000016140000}"/>
    <cellStyle name="20% - Accent3 5 2 3 3 2" xfId="12711" xr:uid="{00000000-0005-0000-0000-000017140000}"/>
    <cellStyle name="20% - Accent3 5 2 3 3 2 2" xfId="26423" xr:uid="{00000000-0005-0000-0000-000018140000}"/>
    <cellStyle name="20% - Accent3 5 2 3 3 3" xfId="18660" xr:uid="{00000000-0005-0000-0000-000019140000}"/>
    <cellStyle name="20% - Accent3 5 2 3 4" xfId="1338" xr:uid="{00000000-0005-0000-0000-00001A140000}"/>
    <cellStyle name="20% - Accent3 5 2 3 4 2" xfId="14820" xr:uid="{00000000-0005-0000-0000-00001B140000}"/>
    <cellStyle name="20% - Accent3 5 2 3 4 2 2" xfId="28369" xr:uid="{00000000-0005-0000-0000-00001C140000}"/>
    <cellStyle name="20% - Accent3 5 2 3 4 3" xfId="18661" xr:uid="{00000000-0005-0000-0000-00001D140000}"/>
    <cellStyle name="20% - Accent3 5 2 3 5" xfId="1339" xr:uid="{00000000-0005-0000-0000-00001E140000}"/>
    <cellStyle name="20% - Accent3 5 2 3 5 2" xfId="16588" xr:uid="{00000000-0005-0000-0000-00001F140000}"/>
    <cellStyle name="20% - Accent3 5 2 3 5 2 2" xfId="29995" xr:uid="{00000000-0005-0000-0000-000020140000}"/>
    <cellStyle name="20% - Accent3 5 2 3 5 3" xfId="18662" xr:uid="{00000000-0005-0000-0000-000021140000}"/>
    <cellStyle name="20% - Accent3 5 2 3 6" xfId="9011" xr:uid="{00000000-0005-0000-0000-000022140000}"/>
    <cellStyle name="20% - Accent3 5 2 3 6 2" xfId="23486" xr:uid="{00000000-0005-0000-0000-000023140000}"/>
    <cellStyle name="20% - Accent3 5 2 3 7" xfId="18658" xr:uid="{00000000-0005-0000-0000-000024140000}"/>
    <cellStyle name="20% - Accent3 5 2 4" xfId="1340" xr:uid="{00000000-0005-0000-0000-000025140000}"/>
    <cellStyle name="20% - Accent3 5 2 4 2" xfId="1341" xr:uid="{00000000-0005-0000-0000-000026140000}"/>
    <cellStyle name="20% - Accent3 5 2 4 2 2" xfId="14821" xr:uid="{00000000-0005-0000-0000-000027140000}"/>
    <cellStyle name="20% - Accent3 5 2 4 2 2 2" xfId="28370" xr:uid="{00000000-0005-0000-0000-000028140000}"/>
    <cellStyle name="20% - Accent3 5 2 4 2 3" xfId="18664" xr:uid="{00000000-0005-0000-0000-000029140000}"/>
    <cellStyle name="20% - Accent3 5 2 4 3" xfId="10733" xr:uid="{00000000-0005-0000-0000-00002A140000}"/>
    <cellStyle name="20% - Accent3 5 2 4 3 2" xfId="24675" xr:uid="{00000000-0005-0000-0000-00002B140000}"/>
    <cellStyle name="20% - Accent3 5 2 4 4" xfId="18663" xr:uid="{00000000-0005-0000-0000-00002C140000}"/>
    <cellStyle name="20% - Accent3 5 2 5" xfId="1342" xr:uid="{00000000-0005-0000-0000-00002D140000}"/>
    <cellStyle name="20% - Accent3 5 2 5 2" xfId="11965" xr:uid="{00000000-0005-0000-0000-00002E140000}"/>
    <cellStyle name="20% - Accent3 5 2 5 2 2" xfId="25680" xr:uid="{00000000-0005-0000-0000-00002F140000}"/>
    <cellStyle name="20% - Accent3 5 2 5 3" xfId="18665" xr:uid="{00000000-0005-0000-0000-000030140000}"/>
    <cellStyle name="20% - Accent3 5 2 6" xfId="1343" xr:uid="{00000000-0005-0000-0000-000031140000}"/>
    <cellStyle name="20% - Accent3 5 2 6 2" xfId="12803" xr:uid="{00000000-0005-0000-0000-000032140000}"/>
    <cellStyle name="20% - Accent3 5 2 6 2 2" xfId="26515" xr:uid="{00000000-0005-0000-0000-000033140000}"/>
    <cellStyle name="20% - Accent3 5 2 6 3" xfId="18666" xr:uid="{00000000-0005-0000-0000-000034140000}"/>
    <cellStyle name="20% - Accent3 5 2 7" xfId="1344" xr:uid="{00000000-0005-0000-0000-000035140000}"/>
    <cellStyle name="20% - Accent3 5 2 7 2" xfId="13540" xr:uid="{00000000-0005-0000-0000-000036140000}"/>
    <cellStyle name="20% - Accent3 5 2 7 2 2" xfId="27089" xr:uid="{00000000-0005-0000-0000-000037140000}"/>
    <cellStyle name="20% - Accent3 5 2 7 3" xfId="18667" xr:uid="{00000000-0005-0000-0000-000038140000}"/>
    <cellStyle name="20% - Accent3 5 2 8" xfId="1345" xr:uid="{00000000-0005-0000-0000-000039140000}"/>
    <cellStyle name="20% - Accent3 5 2 8 2" xfId="14121" xr:uid="{00000000-0005-0000-0000-00003A140000}"/>
    <cellStyle name="20% - Accent3 5 2 8 2 2" xfId="27670" xr:uid="{00000000-0005-0000-0000-00003B140000}"/>
    <cellStyle name="20% - Accent3 5 2 8 3" xfId="18668" xr:uid="{00000000-0005-0000-0000-00003C140000}"/>
    <cellStyle name="20% - Accent3 5 2 9" xfId="1346" xr:uid="{00000000-0005-0000-0000-00003D140000}"/>
    <cellStyle name="20% - Accent3 5 2 9 2" xfId="14816" xr:uid="{00000000-0005-0000-0000-00003E140000}"/>
    <cellStyle name="20% - Accent3 5 2 9 2 2" xfId="28365" xr:uid="{00000000-0005-0000-0000-00003F140000}"/>
    <cellStyle name="20% - Accent3 5 2 9 3" xfId="18669" xr:uid="{00000000-0005-0000-0000-000040140000}"/>
    <cellStyle name="20% - Accent3 5 3" xfId="1347" xr:uid="{00000000-0005-0000-0000-000041140000}"/>
    <cellStyle name="20% - Accent3 5 3 10" xfId="9012" xr:uid="{00000000-0005-0000-0000-000042140000}"/>
    <cellStyle name="20% - Accent3 5 3 10 2" xfId="23487" xr:uid="{00000000-0005-0000-0000-000043140000}"/>
    <cellStyle name="20% - Accent3 5 3 11" xfId="18670" xr:uid="{00000000-0005-0000-0000-000044140000}"/>
    <cellStyle name="20% - Accent3 5 3 2" xfId="1348" xr:uid="{00000000-0005-0000-0000-000045140000}"/>
    <cellStyle name="20% - Accent3 5 3 2 2" xfId="1349" xr:uid="{00000000-0005-0000-0000-000046140000}"/>
    <cellStyle name="20% - Accent3 5 3 2 2 2" xfId="10738" xr:uid="{00000000-0005-0000-0000-000047140000}"/>
    <cellStyle name="20% - Accent3 5 3 2 2 2 2" xfId="24680" xr:uid="{00000000-0005-0000-0000-000048140000}"/>
    <cellStyle name="20% - Accent3 5 3 2 2 3" xfId="18672" xr:uid="{00000000-0005-0000-0000-000049140000}"/>
    <cellStyle name="20% - Accent3 5 3 2 3" xfId="1350" xr:uid="{00000000-0005-0000-0000-00004A140000}"/>
    <cellStyle name="20% - Accent3 5 3 2 3 2" xfId="12611" xr:uid="{00000000-0005-0000-0000-00004B140000}"/>
    <cellStyle name="20% - Accent3 5 3 2 3 2 2" xfId="26323" xr:uid="{00000000-0005-0000-0000-00004C140000}"/>
    <cellStyle name="20% - Accent3 5 3 2 3 3" xfId="18673" xr:uid="{00000000-0005-0000-0000-00004D140000}"/>
    <cellStyle name="20% - Accent3 5 3 2 4" xfId="1351" xr:uid="{00000000-0005-0000-0000-00004E140000}"/>
    <cellStyle name="20% - Accent3 5 3 2 4 2" xfId="14823" xr:uid="{00000000-0005-0000-0000-00004F140000}"/>
    <cellStyle name="20% - Accent3 5 3 2 4 2 2" xfId="28372" xr:uid="{00000000-0005-0000-0000-000050140000}"/>
    <cellStyle name="20% - Accent3 5 3 2 4 3" xfId="18674" xr:uid="{00000000-0005-0000-0000-000051140000}"/>
    <cellStyle name="20% - Accent3 5 3 2 5" xfId="1352" xr:uid="{00000000-0005-0000-0000-000052140000}"/>
    <cellStyle name="20% - Accent3 5 3 2 5 2" xfId="16737" xr:uid="{00000000-0005-0000-0000-000053140000}"/>
    <cellStyle name="20% - Accent3 5 3 2 5 2 2" xfId="30144" xr:uid="{00000000-0005-0000-0000-000054140000}"/>
    <cellStyle name="20% - Accent3 5 3 2 5 3" xfId="18675" xr:uid="{00000000-0005-0000-0000-000055140000}"/>
    <cellStyle name="20% - Accent3 5 3 2 6" xfId="9013" xr:uid="{00000000-0005-0000-0000-000056140000}"/>
    <cellStyle name="20% - Accent3 5 3 2 6 2" xfId="23488" xr:uid="{00000000-0005-0000-0000-000057140000}"/>
    <cellStyle name="20% - Accent3 5 3 2 7" xfId="18671" xr:uid="{00000000-0005-0000-0000-000058140000}"/>
    <cellStyle name="20% - Accent3 5 3 3" xfId="1353" xr:uid="{00000000-0005-0000-0000-000059140000}"/>
    <cellStyle name="20% - Accent3 5 3 3 2" xfId="1354" xr:uid="{00000000-0005-0000-0000-00005A140000}"/>
    <cellStyle name="20% - Accent3 5 3 3 2 2" xfId="14824" xr:uid="{00000000-0005-0000-0000-00005B140000}"/>
    <cellStyle name="20% - Accent3 5 3 3 2 2 2" xfId="28373" xr:uid="{00000000-0005-0000-0000-00005C140000}"/>
    <cellStyle name="20% - Accent3 5 3 3 2 3" xfId="18677" xr:uid="{00000000-0005-0000-0000-00005D140000}"/>
    <cellStyle name="20% - Accent3 5 3 3 3" xfId="10737" xr:uid="{00000000-0005-0000-0000-00005E140000}"/>
    <cellStyle name="20% - Accent3 5 3 3 3 2" xfId="24679" xr:uid="{00000000-0005-0000-0000-00005F140000}"/>
    <cellStyle name="20% - Accent3 5 3 3 4" xfId="18676" xr:uid="{00000000-0005-0000-0000-000060140000}"/>
    <cellStyle name="20% - Accent3 5 3 4" xfId="1355" xr:uid="{00000000-0005-0000-0000-000061140000}"/>
    <cellStyle name="20% - Accent3 5 3 4 2" xfId="12125" xr:uid="{00000000-0005-0000-0000-000062140000}"/>
    <cellStyle name="20% - Accent3 5 3 4 2 2" xfId="25837" xr:uid="{00000000-0005-0000-0000-000063140000}"/>
    <cellStyle name="20% - Accent3 5 3 4 3" xfId="18678" xr:uid="{00000000-0005-0000-0000-000064140000}"/>
    <cellStyle name="20% - Accent3 5 3 5" xfId="1356" xr:uid="{00000000-0005-0000-0000-000065140000}"/>
    <cellStyle name="20% - Accent3 5 3 5 2" xfId="12607" xr:uid="{00000000-0005-0000-0000-000066140000}"/>
    <cellStyle name="20% - Accent3 5 3 5 2 2" xfId="26319" xr:uid="{00000000-0005-0000-0000-000067140000}"/>
    <cellStyle name="20% - Accent3 5 3 5 3" xfId="18679" xr:uid="{00000000-0005-0000-0000-000068140000}"/>
    <cellStyle name="20% - Accent3 5 3 6" xfId="1357" xr:uid="{00000000-0005-0000-0000-000069140000}"/>
    <cellStyle name="20% - Accent3 5 3 6 2" xfId="13689" xr:uid="{00000000-0005-0000-0000-00006A140000}"/>
    <cellStyle name="20% - Accent3 5 3 6 2 2" xfId="27238" xr:uid="{00000000-0005-0000-0000-00006B140000}"/>
    <cellStyle name="20% - Accent3 5 3 6 3" xfId="18680" xr:uid="{00000000-0005-0000-0000-00006C140000}"/>
    <cellStyle name="20% - Accent3 5 3 7" xfId="1358" xr:uid="{00000000-0005-0000-0000-00006D140000}"/>
    <cellStyle name="20% - Accent3 5 3 7 2" xfId="14270" xr:uid="{00000000-0005-0000-0000-00006E140000}"/>
    <cellStyle name="20% - Accent3 5 3 7 2 2" xfId="27819" xr:uid="{00000000-0005-0000-0000-00006F140000}"/>
    <cellStyle name="20% - Accent3 5 3 7 3" xfId="18681" xr:uid="{00000000-0005-0000-0000-000070140000}"/>
    <cellStyle name="20% - Accent3 5 3 8" xfId="1359" xr:uid="{00000000-0005-0000-0000-000071140000}"/>
    <cellStyle name="20% - Accent3 5 3 8 2" xfId="14822" xr:uid="{00000000-0005-0000-0000-000072140000}"/>
    <cellStyle name="20% - Accent3 5 3 8 2 2" xfId="28371" xr:uid="{00000000-0005-0000-0000-000073140000}"/>
    <cellStyle name="20% - Accent3 5 3 8 3" xfId="18682" xr:uid="{00000000-0005-0000-0000-000074140000}"/>
    <cellStyle name="20% - Accent3 5 3 9" xfId="1360" xr:uid="{00000000-0005-0000-0000-000075140000}"/>
    <cellStyle name="20% - Accent3 5 3 9 2" xfId="16156" xr:uid="{00000000-0005-0000-0000-000076140000}"/>
    <cellStyle name="20% - Accent3 5 3 9 2 2" xfId="29563" xr:uid="{00000000-0005-0000-0000-000077140000}"/>
    <cellStyle name="20% - Accent3 5 3 9 3" xfId="18683" xr:uid="{00000000-0005-0000-0000-000078140000}"/>
    <cellStyle name="20% - Accent3 5 4" xfId="1361" xr:uid="{00000000-0005-0000-0000-000079140000}"/>
    <cellStyle name="20% - Accent3 5 4 2" xfId="1362" xr:uid="{00000000-0005-0000-0000-00007A140000}"/>
    <cellStyle name="20% - Accent3 5 4 2 2" xfId="10739" xr:uid="{00000000-0005-0000-0000-00007B140000}"/>
    <cellStyle name="20% - Accent3 5 4 2 2 2" xfId="24681" xr:uid="{00000000-0005-0000-0000-00007C140000}"/>
    <cellStyle name="20% - Accent3 5 4 2 3" xfId="18685" xr:uid="{00000000-0005-0000-0000-00007D140000}"/>
    <cellStyle name="20% - Accent3 5 4 3" xfId="1363" xr:uid="{00000000-0005-0000-0000-00007E140000}"/>
    <cellStyle name="20% - Accent3 5 4 3 2" xfId="12422" xr:uid="{00000000-0005-0000-0000-00007F140000}"/>
    <cellStyle name="20% - Accent3 5 4 3 2 2" xfId="26134" xr:uid="{00000000-0005-0000-0000-000080140000}"/>
    <cellStyle name="20% - Accent3 5 4 3 3" xfId="18686" xr:uid="{00000000-0005-0000-0000-000081140000}"/>
    <cellStyle name="20% - Accent3 5 4 4" xfId="1364" xr:uid="{00000000-0005-0000-0000-000082140000}"/>
    <cellStyle name="20% - Accent3 5 4 4 2" xfId="14825" xr:uid="{00000000-0005-0000-0000-000083140000}"/>
    <cellStyle name="20% - Accent3 5 4 4 2 2" xfId="28374" xr:uid="{00000000-0005-0000-0000-000084140000}"/>
    <cellStyle name="20% - Accent3 5 4 4 3" xfId="18687" xr:uid="{00000000-0005-0000-0000-000085140000}"/>
    <cellStyle name="20% - Accent3 5 4 5" xfId="1365" xr:uid="{00000000-0005-0000-0000-000086140000}"/>
    <cellStyle name="20% - Accent3 5 4 5 2" xfId="16445" xr:uid="{00000000-0005-0000-0000-000087140000}"/>
    <cellStyle name="20% - Accent3 5 4 5 2 2" xfId="29852" xr:uid="{00000000-0005-0000-0000-000088140000}"/>
    <cellStyle name="20% - Accent3 5 4 5 3" xfId="18688" xr:uid="{00000000-0005-0000-0000-000089140000}"/>
    <cellStyle name="20% - Accent3 5 4 6" xfId="9014" xr:uid="{00000000-0005-0000-0000-00008A140000}"/>
    <cellStyle name="20% - Accent3 5 4 6 2" xfId="23489" xr:uid="{00000000-0005-0000-0000-00008B140000}"/>
    <cellStyle name="20% - Accent3 5 4 7" xfId="18684" xr:uid="{00000000-0005-0000-0000-00008C140000}"/>
    <cellStyle name="20% - Accent3 5 5" xfId="1366" xr:uid="{00000000-0005-0000-0000-00008D140000}"/>
    <cellStyle name="20% - Accent3 5 5 2" xfId="1367" xr:uid="{00000000-0005-0000-0000-00008E140000}"/>
    <cellStyle name="20% - Accent3 5 5 2 2" xfId="14826" xr:uid="{00000000-0005-0000-0000-00008F140000}"/>
    <cellStyle name="20% - Accent3 5 5 2 2 2" xfId="28375" xr:uid="{00000000-0005-0000-0000-000090140000}"/>
    <cellStyle name="20% - Accent3 5 5 2 3" xfId="18690" xr:uid="{00000000-0005-0000-0000-000091140000}"/>
    <cellStyle name="20% - Accent3 5 5 3" xfId="10732" xr:uid="{00000000-0005-0000-0000-000092140000}"/>
    <cellStyle name="20% - Accent3 5 5 3 2" xfId="24674" xr:uid="{00000000-0005-0000-0000-000093140000}"/>
    <cellStyle name="20% - Accent3 5 5 4" xfId="18689" xr:uid="{00000000-0005-0000-0000-000094140000}"/>
    <cellStyle name="20% - Accent3 5 6" xfId="1368" xr:uid="{00000000-0005-0000-0000-000095140000}"/>
    <cellStyle name="20% - Accent3 5 6 2" xfId="11796" xr:uid="{00000000-0005-0000-0000-000096140000}"/>
    <cellStyle name="20% - Accent3 5 6 2 2" xfId="25511" xr:uid="{00000000-0005-0000-0000-000097140000}"/>
    <cellStyle name="20% - Accent3 5 6 3" xfId="18691" xr:uid="{00000000-0005-0000-0000-000098140000}"/>
    <cellStyle name="20% - Accent3 5 7" xfId="1369" xr:uid="{00000000-0005-0000-0000-000099140000}"/>
    <cellStyle name="20% - Accent3 5 7 2" xfId="12585" xr:uid="{00000000-0005-0000-0000-00009A140000}"/>
    <cellStyle name="20% - Accent3 5 7 2 2" xfId="26297" xr:uid="{00000000-0005-0000-0000-00009B140000}"/>
    <cellStyle name="20% - Accent3 5 7 3" xfId="18692" xr:uid="{00000000-0005-0000-0000-00009C140000}"/>
    <cellStyle name="20% - Accent3 5 8" xfId="1370" xr:uid="{00000000-0005-0000-0000-00009D140000}"/>
    <cellStyle name="20% - Accent3 5 8 2" xfId="13397" xr:uid="{00000000-0005-0000-0000-00009E140000}"/>
    <cellStyle name="20% - Accent3 5 8 2 2" xfId="26946" xr:uid="{00000000-0005-0000-0000-00009F140000}"/>
    <cellStyle name="20% - Accent3 5 8 3" xfId="18693" xr:uid="{00000000-0005-0000-0000-0000A0140000}"/>
    <cellStyle name="20% - Accent3 5 9" xfId="1371" xr:uid="{00000000-0005-0000-0000-0000A1140000}"/>
    <cellStyle name="20% - Accent3 5 9 2" xfId="13978" xr:uid="{00000000-0005-0000-0000-0000A2140000}"/>
    <cellStyle name="20% - Accent3 5 9 2 2" xfId="27527" xr:uid="{00000000-0005-0000-0000-0000A3140000}"/>
    <cellStyle name="20% - Accent3 5 9 3" xfId="18694" xr:uid="{00000000-0005-0000-0000-0000A4140000}"/>
    <cellStyle name="20% - Accent3 6" xfId="1372" xr:uid="{00000000-0005-0000-0000-0000A5140000}"/>
    <cellStyle name="20% - Accent3 6 10" xfId="1373" xr:uid="{00000000-0005-0000-0000-0000A6140000}"/>
    <cellStyle name="20% - Accent3 6 10 2" xfId="14827" xr:uid="{00000000-0005-0000-0000-0000A7140000}"/>
    <cellStyle name="20% - Accent3 6 10 2 2" xfId="28376" xr:uid="{00000000-0005-0000-0000-0000A8140000}"/>
    <cellStyle name="20% - Accent3 6 10 3" xfId="18696" xr:uid="{00000000-0005-0000-0000-0000A9140000}"/>
    <cellStyle name="20% - Accent3 6 11" xfId="1374" xr:uid="{00000000-0005-0000-0000-0000AA140000}"/>
    <cellStyle name="20% - Accent3 6 11 2" xfId="15970" xr:uid="{00000000-0005-0000-0000-0000AB140000}"/>
    <cellStyle name="20% - Accent3 6 11 2 2" xfId="29377" xr:uid="{00000000-0005-0000-0000-0000AC140000}"/>
    <cellStyle name="20% - Accent3 6 11 3" xfId="18697" xr:uid="{00000000-0005-0000-0000-0000AD140000}"/>
    <cellStyle name="20% - Accent3 6 12" xfId="9015" xr:uid="{00000000-0005-0000-0000-0000AE140000}"/>
    <cellStyle name="20% - Accent3 6 12 2" xfId="23490" xr:uid="{00000000-0005-0000-0000-0000AF140000}"/>
    <cellStyle name="20% - Accent3 6 13" xfId="18695" xr:uid="{00000000-0005-0000-0000-0000B0140000}"/>
    <cellStyle name="20% - Accent3 6 2" xfId="1375" xr:uid="{00000000-0005-0000-0000-0000B1140000}"/>
    <cellStyle name="20% - Accent3 6 2 10" xfId="1376" xr:uid="{00000000-0005-0000-0000-0000B2140000}"/>
    <cellStyle name="20% - Accent3 6 2 10 2" xfId="16113" xr:uid="{00000000-0005-0000-0000-0000B3140000}"/>
    <cellStyle name="20% - Accent3 6 2 10 2 2" xfId="29520" xr:uid="{00000000-0005-0000-0000-0000B4140000}"/>
    <cellStyle name="20% - Accent3 6 2 10 3" xfId="18699" xr:uid="{00000000-0005-0000-0000-0000B5140000}"/>
    <cellStyle name="20% - Accent3 6 2 11" xfId="9016" xr:uid="{00000000-0005-0000-0000-0000B6140000}"/>
    <cellStyle name="20% - Accent3 6 2 11 2" xfId="23491" xr:uid="{00000000-0005-0000-0000-0000B7140000}"/>
    <cellStyle name="20% - Accent3 6 2 12" xfId="18698" xr:uid="{00000000-0005-0000-0000-0000B8140000}"/>
    <cellStyle name="20% - Accent3 6 2 2" xfId="1377" xr:uid="{00000000-0005-0000-0000-0000B9140000}"/>
    <cellStyle name="20% - Accent3 6 2 2 10" xfId="9017" xr:uid="{00000000-0005-0000-0000-0000BA140000}"/>
    <cellStyle name="20% - Accent3 6 2 2 10 2" xfId="23492" xr:uid="{00000000-0005-0000-0000-0000BB140000}"/>
    <cellStyle name="20% - Accent3 6 2 2 11" xfId="18700" xr:uid="{00000000-0005-0000-0000-0000BC140000}"/>
    <cellStyle name="20% - Accent3 6 2 2 2" xfId="1378" xr:uid="{00000000-0005-0000-0000-0000BD140000}"/>
    <cellStyle name="20% - Accent3 6 2 2 2 2" xfId="1379" xr:uid="{00000000-0005-0000-0000-0000BE140000}"/>
    <cellStyle name="20% - Accent3 6 2 2 2 2 2" xfId="10743" xr:uid="{00000000-0005-0000-0000-0000BF140000}"/>
    <cellStyle name="20% - Accent3 6 2 2 2 2 2 2" xfId="24685" xr:uid="{00000000-0005-0000-0000-0000C0140000}"/>
    <cellStyle name="20% - Accent3 6 2 2 2 2 3" xfId="18702" xr:uid="{00000000-0005-0000-0000-0000C1140000}"/>
    <cellStyle name="20% - Accent3 6 2 2 2 3" xfId="1380" xr:uid="{00000000-0005-0000-0000-0000C2140000}"/>
    <cellStyle name="20% - Accent3 6 2 2 2 3 2" xfId="12795" xr:uid="{00000000-0005-0000-0000-0000C3140000}"/>
    <cellStyle name="20% - Accent3 6 2 2 2 3 2 2" xfId="26507" xr:uid="{00000000-0005-0000-0000-0000C4140000}"/>
    <cellStyle name="20% - Accent3 6 2 2 2 3 3" xfId="18703" xr:uid="{00000000-0005-0000-0000-0000C5140000}"/>
    <cellStyle name="20% - Accent3 6 2 2 2 4" xfId="1381" xr:uid="{00000000-0005-0000-0000-0000C6140000}"/>
    <cellStyle name="20% - Accent3 6 2 2 2 4 2" xfId="14830" xr:uid="{00000000-0005-0000-0000-0000C7140000}"/>
    <cellStyle name="20% - Accent3 6 2 2 2 4 2 2" xfId="28379" xr:uid="{00000000-0005-0000-0000-0000C8140000}"/>
    <cellStyle name="20% - Accent3 6 2 2 2 4 3" xfId="18704" xr:uid="{00000000-0005-0000-0000-0000C9140000}"/>
    <cellStyle name="20% - Accent3 6 2 2 2 5" xfId="1382" xr:uid="{00000000-0005-0000-0000-0000CA140000}"/>
    <cellStyle name="20% - Accent3 6 2 2 2 5 2" xfId="16983" xr:uid="{00000000-0005-0000-0000-0000CB140000}"/>
    <cellStyle name="20% - Accent3 6 2 2 2 5 2 2" xfId="30390" xr:uid="{00000000-0005-0000-0000-0000CC140000}"/>
    <cellStyle name="20% - Accent3 6 2 2 2 5 3" xfId="18705" xr:uid="{00000000-0005-0000-0000-0000CD140000}"/>
    <cellStyle name="20% - Accent3 6 2 2 2 6" xfId="9018" xr:uid="{00000000-0005-0000-0000-0000CE140000}"/>
    <cellStyle name="20% - Accent3 6 2 2 2 6 2" xfId="23493" xr:uid="{00000000-0005-0000-0000-0000CF140000}"/>
    <cellStyle name="20% - Accent3 6 2 2 2 7" xfId="18701" xr:uid="{00000000-0005-0000-0000-0000D0140000}"/>
    <cellStyle name="20% - Accent3 6 2 2 3" xfId="1383" xr:uid="{00000000-0005-0000-0000-0000D1140000}"/>
    <cellStyle name="20% - Accent3 6 2 2 3 2" xfId="1384" xr:uid="{00000000-0005-0000-0000-0000D2140000}"/>
    <cellStyle name="20% - Accent3 6 2 2 3 2 2" xfId="14831" xr:uid="{00000000-0005-0000-0000-0000D3140000}"/>
    <cellStyle name="20% - Accent3 6 2 2 3 2 2 2" xfId="28380" xr:uid="{00000000-0005-0000-0000-0000D4140000}"/>
    <cellStyle name="20% - Accent3 6 2 2 3 2 3" xfId="18707" xr:uid="{00000000-0005-0000-0000-0000D5140000}"/>
    <cellStyle name="20% - Accent3 6 2 2 3 3" xfId="10742" xr:uid="{00000000-0005-0000-0000-0000D6140000}"/>
    <cellStyle name="20% - Accent3 6 2 2 3 3 2" xfId="24684" xr:uid="{00000000-0005-0000-0000-0000D7140000}"/>
    <cellStyle name="20% - Accent3 6 2 2 3 4" xfId="18706" xr:uid="{00000000-0005-0000-0000-0000D8140000}"/>
    <cellStyle name="20% - Accent3 6 2 2 4" xfId="1385" xr:uid="{00000000-0005-0000-0000-0000D9140000}"/>
    <cellStyle name="20% - Accent3 6 2 2 4 2" xfId="12371" xr:uid="{00000000-0005-0000-0000-0000DA140000}"/>
    <cellStyle name="20% - Accent3 6 2 2 4 2 2" xfId="26083" xr:uid="{00000000-0005-0000-0000-0000DB140000}"/>
    <cellStyle name="20% - Accent3 6 2 2 4 3" xfId="18708" xr:uid="{00000000-0005-0000-0000-0000DC140000}"/>
    <cellStyle name="20% - Accent3 6 2 2 5" xfId="1386" xr:uid="{00000000-0005-0000-0000-0000DD140000}"/>
    <cellStyle name="20% - Accent3 6 2 2 5 2" xfId="12655" xr:uid="{00000000-0005-0000-0000-0000DE140000}"/>
    <cellStyle name="20% - Accent3 6 2 2 5 2 2" xfId="26367" xr:uid="{00000000-0005-0000-0000-0000DF140000}"/>
    <cellStyle name="20% - Accent3 6 2 2 5 3" xfId="18709" xr:uid="{00000000-0005-0000-0000-0000E0140000}"/>
    <cellStyle name="20% - Accent3 6 2 2 6" xfId="1387" xr:uid="{00000000-0005-0000-0000-0000E1140000}"/>
    <cellStyle name="20% - Accent3 6 2 2 6 2" xfId="13935" xr:uid="{00000000-0005-0000-0000-0000E2140000}"/>
    <cellStyle name="20% - Accent3 6 2 2 6 2 2" xfId="27484" xr:uid="{00000000-0005-0000-0000-0000E3140000}"/>
    <cellStyle name="20% - Accent3 6 2 2 6 3" xfId="18710" xr:uid="{00000000-0005-0000-0000-0000E4140000}"/>
    <cellStyle name="20% - Accent3 6 2 2 7" xfId="1388" xr:uid="{00000000-0005-0000-0000-0000E5140000}"/>
    <cellStyle name="20% - Accent3 6 2 2 7 2" xfId="14516" xr:uid="{00000000-0005-0000-0000-0000E6140000}"/>
    <cellStyle name="20% - Accent3 6 2 2 7 2 2" xfId="28065" xr:uid="{00000000-0005-0000-0000-0000E7140000}"/>
    <cellStyle name="20% - Accent3 6 2 2 7 3" xfId="18711" xr:uid="{00000000-0005-0000-0000-0000E8140000}"/>
    <cellStyle name="20% - Accent3 6 2 2 8" xfId="1389" xr:uid="{00000000-0005-0000-0000-0000E9140000}"/>
    <cellStyle name="20% - Accent3 6 2 2 8 2" xfId="14829" xr:uid="{00000000-0005-0000-0000-0000EA140000}"/>
    <cellStyle name="20% - Accent3 6 2 2 8 2 2" xfId="28378" xr:uid="{00000000-0005-0000-0000-0000EB140000}"/>
    <cellStyle name="20% - Accent3 6 2 2 8 3" xfId="18712" xr:uid="{00000000-0005-0000-0000-0000EC140000}"/>
    <cellStyle name="20% - Accent3 6 2 2 9" xfId="1390" xr:uid="{00000000-0005-0000-0000-0000ED140000}"/>
    <cellStyle name="20% - Accent3 6 2 2 9 2" xfId="16402" xr:uid="{00000000-0005-0000-0000-0000EE140000}"/>
    <cellStyle name="20% - Accent3 6 2 2 9 2 2" xfId="29809" xr:uid="{00000000-0005-0000-0000-0000EF140000}"/>
    <cellStyle name="20% - Accent3 6 2 2 9 3" xfId="18713" xr:uid="{00000000-0005-0000-0000-0000F0140000}"/>
    <cellStyle name="20% - Accent3 6 2 3" xfId="1391" xr:uid="{00000000-0005-0000-0000-0000F1140000}"/>
    <cellStyle name="20% - Accent3 6 2 3 2" xfId="1392" xr:uid="{00000000-0005-0000-0000-0000F2140000}"/>
    <cellStyle name="20% - Accent3 6 2 3 2 2" xfId="10744" xr:uid="{00000000-0005-0000-0000-0000F3140000}"/>
    <cellStyle name="20% - Accent3 6 2 3 2 2 2" xfId="24686" xr:uid="{00000000-0005-0000-0000-0000F4140000}"/>
    <cellStyle name="20% - Accent3 6 2 3 2 3" xfId="18715" xr:uid="{00000000-0005-0000-0000-0000F5140000}"/>
    <cellStyle name="20% - Accent3 6 2 3 3" xfId="1393" xr:uid="{00000000-0005-0000-0000-0000F6140000}"/>
    <cellStyle name="20% - Accent3 6 2 3 3 2" xfId="11860" xr:uid="{00000000-0005-0000-0000-0000F7140000}"/>
    <cellStyle name="20% - Accent3 6 2 3 3 2 2" xfId="25575" xr:uid="{00000000-0005-0000-0000-0000F8140000}"/>
    <cellStyle name="20% - Accent3 6 2 3 3 3" xfId="18716" xr:uid="{00000000-0005-0000-0000-0000F9140000}"/>
    <cellStyle name="20% - Accent3 6 2 3 4" xfId="1394" xr:uid="{00000000-0005-0000-0000-0000FA140000}"/>
    <cellStyle name="20% - Accent3 6 2 3 4 2" xfId="14832" xr:uid="{00000000-0005-0000-0000-0000FB140000}"/>
    <cellStyle name="20% - Accent3 6 2 3 4 2 2" xfId="28381" xr:uid="{00000000-0005-0000-0000-0000FC140000}"/>
    <cellStyle name="20% - Accent3 6 2 3 4 3" xfId="18717" xr:uid="{00000000-0005-0000-0000-0000FD140000}"/>
    <cellStyle name="20% - Accent3 6 2 3 5" xfId="1395" xr:uid="{00000000-0005-0000-0000-0000FE140000}"/>
    <cellStyle name="20% - Accent3 6 2 3 5 2" xfId="16694" xr:uid="{00000000-0005-0000-0000-0000FF140000}"/>
    <cellStyle name="20% - Accent3 6 2 3 5 2 2" xfId="30101" xr:uid="{00000000-0005-0000-0000-000000150000}"/>
    <cellStyle name="20% - Accent3 6 2 3 5 3" xfId="18718" xr:uid="{00000000-0005-0000-0000-000001150000}"/>
    <cellStyle name="20% - Accent3 6 2 3 6" xfId="9019" xr:uid="{00000000-0005-0000-0000-000002150000}"/>
    <cellStyle name="20% - Accent3 6 2 3 6 2" xfId="23494" xr:uid="{00000000-0005-0000-0000-000003150000}"/>
    <cellStyle name="20% - Accent3 6 2 3 7" xfId="18714" xr:uid="{00000000-0005-0000-0000-000004150000}"/>
    <cellStyle name="20% - Accent3 6 2 4" xfId="1396" xr:uid="{00000000-0005-0000-0000-000005150000}"/>
    <cellStyle name="20% - Accent3 6 2 4 2" xfId="1397" xr:uid="{00000000-0005-0000-0000-000006150000}"/>
    <cellStyle name="20% - Accent3 6 2 4 2 2" xfId="14833" xr:uid="{00000000-0005-0000-0000-000007150000}"/>
    <cellStyle name="20% - Accent3 6 2 4 2 2 2" xfId="28382" xr:uid="{00000000-0005-0000-0000-000008150000}"/>
    <cellStyle name="20% - Accent3 6 2 4 2 3" xfId="18720" xr:uid="{00000000-0005-0000-0000-000009150000}"/>
    <cellStyle name="20% - Accent3 6 2 4 3" xfId="10741" xr:uid="{00000000-0005-0000-0000-00000A150000}"/>
    <cellStyle name="20% - Accent3 6 2 4 3 2" xfId="24683" xr:uid="{00000000-0005-0000-0000-00000B150000}"/>
    <cellStyle name="20% - Accent3 6 2 4 4" xfId="18719" xr:uid="{00000000-0005-0000-0000-00000C150000}"/>
    <cellStyle name="20% - Accent3 6 2 5" xfId="1398" xr:uid="{00000000-0005-0000-0000-00000D150000}"/>
    <cellStyle name="20% - Accent3 6 2 5 2" xfId="12071" xr:uid="{00000000-0005-0000-0000-00000E150000}"/>
    <cellStyle name="20% - Accent3 6 2 5 2 2" xfId="25786" xr:uid="{00000000-0005-0000-0000-00000F150000}"/>
    <cellStyle name="20% - Accent3 6 2 5 3" xfId="18721" xr:uid="{00000000-0005-0000-0000-000010150000}"/>
    <cellStyle name="20% - Accent3 6 2 6" xfId="1399" xr:uid="{00000000-0005-0000-0000-000011150000}"/>
    <cellStyle name="20% - Accent3 6 2 6 2" xfId="12409" xr:uid="{00000000-0005-0000-0000-000012150000}"/>
    <cellStyle name="20% - Accent3 6 2 6 2 2" xfId="26121" xr:uid="{00000000-0005-0000-0000-000013150000}"/>
    <cellStyle name="20% - Accent3 6 2 6 3" xfId="18722" xr:uid="{00000000-0005-0000-0000-000014150000}"/>
    <cellStyle name="20% - Accent3 6 2 7" xfId="1400" xr:uid="{00000000-0005-0000-0000-000015150000}"/>
    <cellStyle name="20% - Accent3 6 2 7 2" xfId="13646" xr:uid="{00000000-0005-0000-0000-000016150000}"/>
    <cellStyle name="20% - Accent3 6 2 7 2 2" xfId="27195" xr:uid="{00000000-0005-0000-0000-000017150000}"/>
    <cellStyle name="20% - Accent3 6 2 7 3" xfId="18723" xr:uid="{00000000-0005-0000-0000-000018150000}"/>
    <cellStyle name="20% - Accent3 6 2 8" xfId="1401" xr:uid="{00000000-0005-0000-0000-000019150000}"/>
    <cellStyle name="20% - Accent3 6 2 8 2" xfId="14227" xr:uid="{00000000-0005-0000-0000-00001A150000}"/>
    <cellStyle name="20% - Accent3 6 2 8 2 2" xfId="27776" xr:uid="{00000000-0005-0000-0000-00001B150000}"/>
    <cellStyle name="20% - Accent3 6 2 8 3" xfId="18724" xr:uid="{00000000-0005-0000-0000-00001C150000}"/>
    <cellStyle name="20% - Accent3 6 2 9" xfId="1402" xr:uid="{00000000-0005-0000-0000-00001D150000}"/>
    <cellStyle name="20% - Accent3 6 2 9 2" xfId="14828" xr:uid="{00000000-0005-0000-0000-00001E150000}"/>
    <cellStyle name="20% - Accent3 6 2 9 2 2" xfId="28377" xr:uid="{00000000-0005-0000-0000-00001F150000}"/>
    <cellStyle name="20% - Accent3 6 2 9 3" xfId="18725" xr:uid="{00000000-0005-0000-0000-000020150000}"/>
    <cellStyle name="20% - Accent3 6 3" xfId="1403" xr:uid="{00000000-0005-0000-0000-000021150000}"/>
    <cellStyle name="20% - Accent3 6 3 10" xfId="9020" xr:uid="{00000000-0005-0000-0000-000022150000}"/>
    <cellStyle name="20% - Accent3 6 3 10 2" xfId="23495" xr:uid="{00000000-0005-0000-0000-000023150000}"/>
    <cellStyle name="20% - Accent3 6 3 11" xfId="18726" xr:uid="{00000000-0005-0000-0000-000024150000}"/>
    <cellStyle name="20% - Accent3 6 3 2" xfId="1404" xr:uid="{00000000-0005-0000-0000-000025150000}"/>
    <cellStyle name="20% - Accent3 6 3 2 2" xfId="1405" xr:uid="{00000000-0005-0000-0000-000026150000}"/>
    <cellStyle name="20% - Accent3 6 3 2 2 2" xfId="10746" xr:uid="{00000000-0005-0000-0000-000027150000}"/>
    <cellStyle name="20% - Accent3 6 3 2 2 2 2" xfId="24688" xr:uid="{00000000-0005-0000-0000-000028150000}"/>
    <cellStyle name="20% - Accent3 6 3 2 2 3" xfId="18728" xr:uid="{00000000-0005-0000-0000-000029150000}"/>
    <cellStyle name="20% - Accent3 6 3 2 3" xfId="1406" xr:uid="{00000000-0005-0000-0000-00002A150000}"/>
    <cellStyle name="20% - Accent3 6 3 2 3 2" xfId="12648" xr:uid="{00000000-0005-0000-0000-00002B150000}"/>
    <cellStyle name="20% - Accent3 6 3 2 3 2 2" xfId="26360" xr:uid="{00000000-0005-0000-0000-00002C150000}"/>
    <cellStyle name="20% - Accent3 6 3 2 3 3" xfId="18729" xr:uid="{00000000-0005-0000-0000-00002D150000}"/>
    <cellStyle name="20% - Accent3 6 3 2 4" xfId="1407" xr:uid="{00000000-0005-0000-0000-00002E150000}"/>
    <cellStyle name="20% - Accent3 6 3 2 4 2" xfId="14835" xr:uid="{00000000-0005-0000-0000-00002F150000}"/>
    <cellStyle name="20% - Accent3 6 3 2 4 2 2" xfId="28384" xr:uid="{00000000-0005-0000-0000-000030150000}"/>
    <cellStyle name="20% - Accent3 6 3 2 4 3" xfId="18730" xr:uid="{00000000-0005-0000-0000-000031150000}"/>
    <cellStyle name="20% - Accent3 6 3 2 5" xfId="1408" xr:uid="{00000000-0005-0000-0000-000032150000}"/>
    <cellStyle name="20% - Accent3 6 3 2 5 2" xfId="16840" xr:uid="{00000000-0005-0000-0000-000033150000}"/>
    <cellStyle name="20% - Accent3 6 3 2 5 2 2" xfId="30247" xr:uid="{00000000-0005-0000-0000-000034150000}"/>
    <cellStyle name="20% - Accent3 6 3 2 5 3" xfId="18731" xr:uid="{00000000-0005-0000-0000-000035150000}"/>
    <cellStyle name="20% - Accent3 6 3 2 6" xfId="9021" xr:uid="{00000000-0005-0000-0000-000036150000}"/>
    <cellStyle name="20% - Accent3 6 3 2 6 2" xfId="23496" xr:uid="{00000000-0005-0000-0000-000037150000}"/>
    <cellStyle name="20% - Accent3 6 3 2 7" xfId="18727" xr:uid="{00000000-0005-0000-0000-000038150000}"/>
    <cellStyle name="20% - Accent3 6 3 3" xfId="1409" xr:uid="{00000000-0005-0000-0000-000039150000}"/>
    <cellStyle name="20% - Accent3 6 3 3 2" xfId="1410" xr:uid="{00000000-0005-0000-0000-00003A150000}"/>
    <cellStyle name="20% - Accent3 6 3 3 2 2" xfId="14836" xr:uid="{00000000-0005-0000-0000-00003B150000}"/>
    <cellStyle name="20% - Accent3 6 3 3 2 2 2" xfId="28385" xr:uid="{00000000-0005-0000-0000-00003C150000}"/>
    <cellStyle name="20% - Accent3 6 3 3 2 3" xfId="18733" xr:uid="{00000000-0005-0000-0000-00003D150000}"/>
    <cellStyle name="20% - Accent3 6 3 3 3" xfId="10745" xr:uid="{00000000-0005-0000-0000-00003E150000}"/>
    <cellStyle name="20% - Accent3 6 3 3 3 2" xfId="24687" xr:uid="{00000000-0005-0000-0000-00003F150000}"/>
    <cellStyle name="20% - Accent3 6 3 3 4" xfId="18732" xr:uid="{00000000-0005-0000-0000-000040150000}"/>
    <cellStyle name="20% - Accent3 6 3 4" xfId="1411" xr:uid="{00000000-0005-0000-0000-000041150000}"/>
    <cellStyle name="20% - Accent3 6 3 4 2" xfId="12228" xr:uid="{00000000-0005-0000-0000-000042150000}"/>
    <cellStyle name="20% - Accent3 6 3 4 2 2" xfId="25940" xr:uid="{00000000-0005-0000-0000-000043150000}"/>
    <cellStyle name="20% - Accent3 6 3 4 3" xfId="18734" xr:uid="{00000000-0005-0000-0000-000044150000}"/>
    <cellStyle name="20% - Accent3 6 3 5" xfId="1412" xr:uid="{00000000-0005-0000-0000-000045150000}"/>
    <cellStyle name="20% - Accent3 6 3 5 2" xfId="12728" xr:uid="{00000000-0005-0000-0000-000046150000}"/>
    <cellStyle name="20% - Accent3 6 3 5 2 2" xfId="26440" xr:uid="{00000000-0005-0000-0000-000047150000}"/>
    <cellStyle name="20% - Accent3 6 3 5 3" xfId="18735" xr:uid="{00000000-0005-0000-0000-000048150000}"/>
    <cellStyle name="20% - Accent3 6 3 6" xfId="1413" xr:uid="{00000000-0005-0000-0000-000049150000}"/>
    <cellStyle name="20% - Accent3 6 3 6 2" xfId="13792" xr:uid="{00000000-0005-0000-0000-00004A150000}"/>
    <cellStyle name="20% - Accent3 6 3 6 2 2" xfId="27341" xr:uid="{00000000-0005-0000-0000-00004B150000}"/>
    <cellStyle name="20% - Accent3 6 3 6 3" xfId="18736" xr:uid="{00000000-0005-0000-0000-00004C150000}"/>
    <cellStyle name="20% - Accent3 6 3 7" xfId="1414" xr:uid="{00000000-0005-0000-0000-00004D150000}"/>
    <cellStyle name="20% - Accent3 6 3 7 2" xfId="14373" xr:uid="{00000000-0005-0000-0000-00004E150000}"/>
    <cellStyle name="20% - Accent3 6 3 7 2 2" xfId="27922" xr:uid="{00000000-0005-0000-0000-00004F150000}"/>
    <cellStyle name="20% - Accent3 6 3 7 3" xfId="18737" xr:uid="{00000000-0005-0000-0000-000050150000}"/>
    <cellStyle name="20% - Accent3 6 3 8" xfId="1415" xr:uid="{00000000-0005-0000-0000-000051150000}"/>
    <cellStyle name="20% - Accent3 6 3 8 2" xfId="14834" xr:uid="{00000000-0005-0000-0000-000052150000}"/>
    <cellStyle name="20% - Accent3 6 3 8 2 2" xfId="28383" xr:uid="{00000000-0005-0000-0000-000053150000}"/>
    <cellStyle name="20% - Accent3 6 3 8 3" xfId="18738" xr:uid="{00000000-0005-0000-0000-000054150000}"/>
    <cellStyle name="20% - Accent3 6 3 9" xfId="1416" xr:uid="{00000000-0005-0000-0000-000055150000}"/>
    <cellStyle name="20% - Accent3 6 3 9 2" xfId="16259" xr:uid="{00000000-0005-0000-0000-000056150000}"/>
    <cellStyle name="20% - Accent3 6 3 9 2 2" xfId="29666" xr:uid="{00000000-0005-0000-0000-000057150000}"/>
    <cellStyle name="20% - Accent3 6 3 9 3" xfId="18739" xr:uid="{00000000-0005-0000-0000-000058150000}"/>
    <cellStyle name="20% - Accent3 6 4" xfId="1417" xr:uid="{00000000-0005-0000-0000-000059150000}"/>
    <cellStyle name="20% - Accent3 6 4 2" xfId="1418" xr:uid="{00000000-0005-0000-0000-00005A150000}"/>
    <cellStyle name="20% - Accent3 6 4 2 2" xfId="10747" xr:uid="{00000000-0005-0000-0000-00005B150000}"/>
    <cellStyle name="20% - Accent3 6 4 2 2 2" xfId="24689" xr:uid="{00000000-0005-0000-0000-00005C150000}"/>
    <cellStyle name="20% - Accent3 6 4 2 3" xfId="18741" xr:uid="{00000000-0005-0000-0000-00005D150000}"/>
    <cellStyle name="20% - Accent3 6 4 3" xfId="1419" xr:uid="{00000000-0005-0000-0000-00005E150000}"/>
    <cellStyle name="20% - Accent3 6 4 3 2" xfId="12675" xr:uid="{00000000-0005-0000-0000-00005F150000}"/>
    <cellStyle name="20% - Accent3 6 4 3 2 2" xfId="26387" xr:uid="{00000000-0005-0000-0000-000060150000}"/>
    <cellStyle name="20% - Accent3 6 4 3 3" xfId="18742" xr:uid="{00000000-0005-0000-0000-000061150000}"/>
    <cellStyle name="20% - Accent3 6 4 4" xfId="1420" xr:uid="{00000000-0005-0000-0000-000062150000}"/>
    <cellStyle name="20% - Accent3 6 4 4 2" xfId="14837" xr:uid="{00000000-0005-0000-0000-000063150000}"/>
    <cellStyle name="20% - Accent3 6 4 4 2 2" xfId="28386" xr:uid="{00000000-0005-0000-0000-000064150000}"/>
    <cellStyle name="20% - Accent3 6 4 4 3" xfId="18743" xr:uid="{00000000-0005-0000-0000-000065150000}"/>
    <cellStyle name="20% - Accent3 6 4 5" xfId="1421" xr:uid="{00000000-0005-0000-0000-000066150000}"/>
    <cellStyle name="20% - Accent3 6 4 5 2" xfId="16551" xr:uid="{00000000-0005-0000-0000-000067150000}"/>
    <cellStyle name="20% - Accent3 6 4 5 2 2" xfId="29958" xr:uid="{00000000-0005-0000-0000-000068150000}"/>
    <cellStyle name="20% - Accent3 6 4 5 3" xfId="18744" xr:uid="{00000000-0005-0000-0000-000069150000}"/>
    <cellStyle name="20% - Accent3 6 4 6" xfId="9022" xr:uid="{00000000-0005-0000-0000-00006A150000}"/>
    <cellStyle name="20% - Accent3 6 4 6 2" xfId="23497" xr:uid="{00000000-0005-0000-0000-00006B150000}"/>
    <cellStyle name="20% - Accent3 6 4 7" xfId="18740" xr:uid="{00000000-0005-0000-0000-00006C150000}"/>
    <cellStyle name="20% - Accent3 6 5" xfId="1422" xr:uid="{00000000-0005-0000-0000-00006D150000}"/>
    <cellStyle name="20% - Accent3 6 5 2" xfId="1423" xr:uid="{00000000-0005-0000-0000-00006E150000}"/>
    <cellStyle name="20% - Accent3 6 5 2 2" xfId="14838" xr:uid="{00000000-0005-0000-0000-00006F150000}"/>
    <cellStyle name="20% - Accent3 6 5 2 2 2" xfId="28387" xr:uid="{00000000-0005-0000-0000-000070150000}"/>
    <cellStyle name="20% - Accent3 6 5 2 3" xfId="18746" xr:uid="{00000000-0005-0000-0000-000071150000}"/>
    <cellStyle name="20% - Accent3 6 5 3" xfId="10740" xr:uid="{00000000-0005-0000-0000-000072150000}"/>
    <cellStyle name="20% - Accent3 6 5 3 2" xfId="24682" xr:uid="{00000000-0005-0000-0000-000073150000}"/>
    <cellStyle name="20% - Accent3 6 5 4" xfId="18745" xr:uid="{00000000-0005-0000-0000-000074150000}"/>
    <cellStyle name="20% - Accent3 6 6" xfId="1424" xr:uid="{00000000-0005-0000-0000-000075150000}"/>
    <cellStyle name="20% - Accent3 6 6 2" xfId="11926" xr:uid="{00000000-0005-0000-0000-000076150000}"/>
    <cellStyle name="20% - Accent3 6 6 2 2" xfId="25641" xr:uid="{00000000-0005-0000-0000-000077150000}"/>
    <cellStyle name="20% - Accent3 6 6 3" xfId="18747" xr:uid="{00000000-0005-0000-0000-000078150000}"/>
    <cellStyle name="20% - Accent3 6 7" xfId="1425" xr:uid="{00000000-0005-0000-0000-000079150000}"/>
    <cellStyle name="20% - Accent3 6 7 2" xfId="12429" xr:uid="{00000000-0005-0000-0000-00007A150000}"/>
    <cellStyle name="20% - Accent3 6 7 2 2" xfId="26141" xr:uid="{00000000-0005-0000-0000-00007B150000}"/>
    <cellStyle name="20% - Accent3 6 7 3" xfId="18748" xr:uid="{00000000-0005-0000-0000-00007C150000}"/>
    <cellStyle name="20% - Accent3 6 8" xfId="1426" xr:uid="{00000000-0005-0000-0000-00007D150000}"/>
    <cellStyle name="20% - Accent3 6 8 2" xfId="13503" xr:uid="{00000000-0005-0000-0000-00007E150000}"/>
    <cellStyle name="20% - Accent3 6 8 2 2" xfId="27052" xr:uid="{00000000-0005-0000-0000-00007F150000}"/>
    <cellStyle name="20% - Accent3 6 8 3" xfId="18749" xr:uid="{00000000-0005-0000-0000-000080150000}"/>
    <cellStyle name="20% - Accent3 6 9" xfId="1427" xr:uid="{00000000-0005-0000-0000-000081150000}"/>
    <cellStyle name="20% - Accent3 6 9 2" xfId="14084" xr:uid="{00000000-0005-0000-0000-000082150000}"/>
    <cellStyle name="20% - Accent3 6 9 2 2" xfId="27633" xr:uid="{00000000-0005-0000-0000-000083150000}"/>
    <cellStyle name="20% - Accent3 6 9 3" xfId="18750" xr:uid="{00000000-0005-0000-0000-000084150000}"/>
    <cellStyle name="20% - Accent3 7" xfId="1428" xr:uid="{00000000-0005-0000-0000-000085150000}"/>
    <cellStyle name="20% - Accent3 7 10" xfId="1429" xr:uid="{00000000-0005-0000-0000-000086150000}"/>
    <cellStyle name="20% - Accent3 7 10 2" xfId="15992" xr:uid="{00000000-0005-0000-0000-000087150000}"/>
    <cellStyle name="20% - Accent3 7 10 2 2" xfId="29399" xr:uid="{00000000-0005-0000-0000-000088150000}"/>
    <cellStyle name="20% - Accent3 7 10 3" xfId="18752" xr:uid="{00000000-0005-0000-0000-000089150000}"/>
    <cellStyle name="20% - Accent3 7 11" xfId="9023" xr:uid="{00000000-0005-0000-0000-00008A150000}"/>
    <cellStyle name="20% - Accent3 7 11 2" xfId="23498" xr:uid="{00000000-0005-0000-0000-00008B150000}"/>
    <cellStyle name="20% - Accent3 7 12" xfId="18751" xr:uid="{00000000-0005-0000-0000-00008C150000}"/>
    <cellStyle name="20% - Accent3 7 2" xfId="1430" xr:uid="{00000000-0005-0000-0000-00008D150000}"/>
    <cellStyle name="20% - Accent3 7 2 10" xfId="9024" xr:uid="{00000000-0005-0000-0000-00008E150000}"/>
    <cellStyle name="20% - Accent3 7 2 10 2" xfId="23499" xr:uid="{00000000-0005-0000-0000-00008F150000}"/>
    <cellStyle name="20% - Accent3 7 2 11" xfId="18753" xr:uid="{00000000-0005-0000-0000-000090150000}"/>
    <cellStyle name="20% - Accent3 7 2 2" xfId="1431" xr:uid="{00000000-0005-0000-0000-000091150000}"/>
    <cellStyle name="20% - Accent3 7 2 2 2" xfId="1432" xr:uid="{00000000-0005-0000-0000-000092150000}"/>
    <cellStyle name="20% - Accent3 7 2 2 2 2" xfId="10750" xr:uid="{00000000-0005-0000-0000-000093150000}"/>
    <cellStyle name="20% - Accent3 7 2 2 2 2 2" xfId="24692" xr:uid="{00000000-0005-0000-0000-000094150000}"/>
    <cellStyle name="20% - Accent3 7 2 2 2 3" xfId="18755" xr:uid="{00000000-0005-0000-0000-000095150000}"/>
    <cellStyle name="20% - Accent3 7 2 2 3" xfId="1433" xr:uid="{00000000-0005-0000-0000-000096150000}"/>
    <cellStyle name="20% - Accent3 7 2 2 3 2" xfId="12532" xr:uid="{00000000-0005-0000-0000-000097150000}"/>
    <cellStyle name="20% - Accent3 7 2 2 3 2 2" xfId="26244" xr:uid="{00000000-0005-0000-0000-000098150000}"/>
    <cellStyle name="20% - Accent3 7 2 2 3 3" xfId="18756" xr:uid="{00000000-0005-0000-0000-000099150000}"/>
    <cellStyle name="20% - Accent3 7 2 2 4" xfId="1434" xr:uid="{00000000-0005-0000-0000-00009A150000}"/>
    <cellStyle name="20% - Accent3 7 2 2 4 2" xfId="14841" xr:uid="{00000000-0005-0000-0000-00009B150000}"/>
    <cellStyle name="20% - Accent3 7 2 2 4 2 2" xfId="28390" xr:uid="{00000000-0005-0000-0000-00009C150000}"/>
    <cellStyle name="20% - Accent3 7 2 2 4 3" xfId="18757" xr:uid="{00000000-0005-0000-0000-00009D150000}"/>
    <cellStyle name="20% - Accent3 7 2 2 5" xfId="1435" xr:uid="{00000000-0005-0000-0000-00009E150000}"/>
    <cellStyle name="20% - Accent3 7 2 2 5 2" xfId="16862" xr:uid="{00000000-0005-0000-0000-00009F150000}"/>
    <cellStyle name="20% - Accent3 7 2 2 5 2 2" xfId="30269" xr:uid="{00000000-0005-0000-0000-0000A0150000}"/>
    <cellStyle name="20% - Accent3 7 2 2 5 3" xfId="18758" xr:uid="{00000000-0005-0000-0000-0000A1150000}"/>
    <cellStyle name="20% - Accent3 7 2 2 6" xfId="9025" xr:uid="{00000000-0005-0000-0000-0000A2150000}"/>
    <cellStyle name="20% - Accent3 7 2 2 6 2" xfId="23500" xr:uid="{00000000-0005-0000-0000-0000A3150000}"/>
    <cellStyle name="20% - Accent3 7 2 2 7" xfId="18754" xr:uid="{00000000-0005-0000-0000-0000A4150000}"/>
    <cellStyle name="20% - Accent3 7 2 3" xfId="1436" xr:uid="{00000000-0005-0000-0000-0000A5150000}"/>
    <cellStyle name="20% - Accent3 7 2 3 2" xfId="1437" xr:uid="{00000000-0005-0000-0000-0000A6150000}"/>
    <cellStyle name="20% - Accent3 7 2 3 2 2" xfId="14842" xr:uid="{00000000-0005-0000-0000-0000A7150000}"/>
    <cellStyle name="20% - Accent3 7 2 3 2 2 2" xfId="28391" xr:uid="{00000000-0005-0000-0000-0000A8150000}"/>
    <cellStyle name="20% - Accent3 7 2 3 2 3" xfId="18760" xr:uid="{00000000-0005-0000-0000-0000A9150000}"/>
    <cellStyle name="20% - Accent3 7 2 3 3" xfId="10749" xr:uid="{00000000-0005-0000-0000-0000AA150000}"/>
    <cellStyle name="20% - Accent3 7 2 3 3 2" xfId="24691" xr:uid="{00000000-0005-0000-0000-0000AB150000}"/>
    <cellStyle name="20% - Accent3 7 2 3 4" xfId="18759" xr:uid="{00000000-0005-0000-0000-0000AC150000}"/>
    <cellStyle name="20% - Accent3 7 2 4" xfId="1438" xr:uid="{00000000-0005-0000-0000-0000AD150000}"/>
    <cellStyle name="20% - Accent3 7 2 4 2" xfId="12250" xr:uid="{00000000-0005-0000-0000-0000AE150000}"/>
    <cellStyle name="20% - Accent3 7 2 4 2 2" xfId="25962" xr:uid="{00000000-0005-0000-0000-0000AF150000}"/>
    <cellStyle name="20% - Accent3 7 2 4 3" xfId="18761" xr:uid="{00000000-0005-0000-0000-0000B0150000}"/>
    <cellStyle name="20% - Accent3 7 2 5" xfId="1439" xr:uid="{00000000-0005-0000-0000-0000B1150000}"/>
    <cellStyle name="20% - Accent3 7 2 5 2" xfId="12531" xr:uid="{00000000-0005-0000-0000-0000B2150000}"/>
    <cellStyle name="20% - Accent3 7 2 5 2 2" xfId="26243" xr:uid="{00000000-0005-0000-0000-0000B3150000}"/>
    <cellStyle name="20% - Accent3 7 2 5 3" xfId="18762" xr:uid="{00000000-0005-0000-0000-0000B4150000}"/>
    <cellStyle name="20% - Accent3 7 2 6" xfId="1440" xr:uid="{00000000-0005-0000-0000-0000B5150000}"/>
    <cellStyle name="20% - Accent3 7 2 6 2" xfId="13814" xr:uid="{00000000-0005-0000-0000-0000B6150000}"/>
    <cellStyle name="20% - Accent3 7 2 6 2 2" xfId="27363" xr:uid="{00000000-0005-0000-0000-0000B7150000}"/>
    <cellStyle name="20% - Accent3 7 2 6 3" xfId="18763" xr:uid="{00000000-0005-0000-0000-0000B8150000}"/>
    <cellStyle name="20% - Accent3 7 2 7" xfId="1441" xr:uid="{00000000-0005-0000-0000-0000B9150000}"/>
    <cellStyle name="20% - Accent3 7 2 7 2" xfId="14395" xr:uid="{00000000-0005-0000-0000-0000BA150000}"/>
    <cellStyle name="20% - Accent3 7 2 7 2 2" xfId="27944" xr:uid="{00000000-0005-0000-0000-0000BB150000}"/>
    <cellStyle name="20% - Accent3 7 2 7 3" xfId="18764" xr:uid="{00000000-0005-0000-0000-0000BC150000}"/>
    <cellStyle name="20% - Accent3 7 2 8" xfId="1442" xr:uid="{00000000-0005-0000-0000-0000BD150000}"/>
    <cellStyle name="20% - Accent3 7 2 8 2" xfId="14840" xr:uid="{00000000-0005-0000-0000-0000BE150000}"/>
    <cellStyle name="20% - Accent3 7 2 8 2 2" xfId="28389" xr:uid="{00000000-0005-0000-0000-0000BF150000}"/>
    <cellStyle name="20% - Accent3 7 2 8 3" xfId="18765" xr:uid="{00000000-0005-0000-0000-0000C0150000}"/>
    <cellStyle name="20% - Accent3 7 2 9" xfId="1443" xr:uid="{00000000-0005-0000-0000-0000C1150000}"/>
    <cellStyle name="20% - Accent3 7 2 9 2" xfId="16281" xr:uid="{00000000-0005-0000-0000-0000C2150000}"/>
    <cellStyle name="20% - Accent3 7 2 9 2 2" xfId="29688" xr:uid="{00000000-0005-0000-0000-0000C3150000}"/>
    <cellStyle name="20% - Accent3 7 2 9 3" xfId="18766" xr:uid="{00000000-0005-0000-0000-0000C4150000}"/>
    <cellStyle name="20% - Accent3 7 3" xfId="1444" xr:uid="{00000000-0005-0000-0000-0000C5150000}"/>
    <cellStyle name="20% - Accent3 7 3 2" xfId="1445" xr:uid="{00000000-0005-0000-0000-0000C6150000}"/>
    <cellStyle name="20% - Accent3 7 3 2 2" xfId="10751" xr:uid="{00000000-0005-0000-0000-0000C7150000}"/>
    <cellStyle name="20% - Accent3 7 3 2 2 2" xfId="24693" xr:uid="{00000000-0005-0000-0000-0000C8150000}"/>
    <cellStyle name="20% - Accent3 7 3 2 3" xfId="18768" xr:uid="{00000000-0005-0000-0000-0000C9150000}"/>
    <cellStyle name="20% - Accent3 7 3 3" xfId="1446" xr:uid="{00000000-0005-0000-0000-0000CA150000}"/>
    <cellStyle name="20% - Accent3 7 3 3 2" xfId="12709" xr:uid="{00000000-0005-0000-0000-0000CB150000}"/>
    <cellStyle name="20% - Accent3 7 3 3 2 2" xfId="26421" xr:uid="{00000000-0005-0000-0000-0000CC150000}"/>
    <cellStyle name="20% - Accent3 7 3 3 3" xfId="18769" xr:uid="{00000000-0005-0000-0000-0000CD150000}"/>
    <cellStyle name="20% - Accent3 7 3 4" xfId="1447" xr:uid="{00000000-0005-0000-0000-0000CE150000}"/>
    <cellStyle name="20% - Accent3 7 3 4 2" xfId="14843" xr:uid="{00000000-0005-0000-0000-0000CF150000}"/>
    <cellStyle name="20% - Accent3 7 3 4 2 2" xfId="28392" xr:uid="{00000000-0005-0000-0000-0000D0150000}"/>
    <cellStyle name="20% - Accent3 7 3 4 3" xfId="18770" xr:uid="{00000000-0005-0000-0000-0000D1150000}"/>
    <cellStyle name="20% - Accent3 7 3 5" xfId="1448" xr:uid="{00000000-0005-0000-0000-0000D2150000}"/>
    <cellStyle name="20% - Accent3 7 3 5 2" xfId="16573" xr:uid="{00000000-0005-0000-0000-0000D3150000}"/>
    <cellStyle name="20% - Accent3 7 3 5 2 2" xfId="29980" xr:uid="{00000000-0005-0000-0000-0000D4150000}"/>
    <cellStyle name="20% - Accent3 7 3 5 3" xfId="18771" xr:uid="{00000000-0005-0000-0000-0000D5150000}"/>
    <cellStyle name="20% - Accent3 7 3 6" xfId="9026" xr:uid="{00000000-0005-0000-0000-0000D6150000}"/>
    <cellStyle name="20% - Accent3 7 3 6 2" xfId="23501" xr:uid="{00000000-0005-0000-0000-0000D7150000}"/>
    <cellStyle name="20% - Accent3 7 3 7" xfId="18767" xr:uid="{00000000-0005-0000-0000-0000D8150000}"/>
    <cellStyle name="20% - Accent3 7 4" xfId="1449" xr:uid="{00000000-0005-0000-0000-0000D9150000}"/>
    <cellStyle name="20% - Accent3 7 4 2" xfId="1450" xr:uid="{00000000-0005-0000-0000-0000DA150000}"/>
    <cellStyle name="20% - Accent3 7 4 2 2" xfId="14844" xr:uid="{00000000-0005-0000-0000-0000DB150000}"/>
    <cellStyle name="20% - Accent3 7 4 2 2 2" xfId="28393" xr:uid="{00000000-0005-0000-0000-0000DC150000}"/>
    <cellStyle name="20% - Accent3 7 4 2 3" xfId="18773" xr:uid="{00000000-0005-0000-0000-0000DD150000}"/>
    <cellStyle name="20% - Accent3 7 4 3" xfId="10748" xr:uid="{00000000-0005-0000-0000-0000DE150000}"/>
    <cellStyle name="20% - Accent3 7 4 3 2" xfId="24690" xr:uid="{00000000-0005-0000-0000-0000DF150000}"/>
    <cellStyle name="20% - Accent3 7 4 4" xfId="18772" xr:uid="{00000000-0005-0000-0000-0000E0150000}"/>
    <cellStyle name="20% - Accent3 7 5" xfId="1451" xr:uid="{00000000-0005-0000-0000-0000E1150000}"/>
    <cellStyle name="20% - Accent3 7 5 2" xfId="11948" xr:uid="{00000000-0005-0000-0000-0000E2150000}"/>
    <cellStyle name="20% - Accent3 7 5 2 2" xfId="25663" xr:uid="{00000000-0005-0000-0000-0000E3150000}"/>
    <cellStyle name="20% - Accent3 7 5 3" xfId="18774" xr:uid="{00000000-0005-0000-0000-0000E4150000}"/>
    <cellStyle name="20% - Accent3 7 6" xfId="1452" xr:uid="{00000000-0005-0000-0000-0000E5150000}"/>
    <cellStyle name="20% - Accent3 7 6 2" xfId="12495" xr:uid="{00000000-0005-0000-0000-0000E6150000}"/>
    <cellStyle name="20% - Accent3 7 6 2 2" xfId="26207" xr:uid="{00000000-0005-0000-0000-0000E7150000}"/>
    <cellStyle name="20% - Accent3 7 6 3" xfId="18775" xr:uid="{00000000-0005-0000-0000-0000E8150000}"/>
    <cellStyle name="20% - Accent3 7 7" xfId="1453" xr:uid="{00000000-0005-0000-0000-0000E9150000}"/>
    <cellStyle name="20% - Accent3 7 7 2" xfId="13525" xr:uid="{00000000-0005-0000-0000-0000EA150000}"/>
    <cellStyle name="20% - Accent3 7 7 2 2" xfId="27074" xr:uid="{00000000-0005-0000-0000-0000EB150000}"/>
    <cellStyle name="20% - Accent3 7 7 3" xfId="18776" xr:uid="{00000000-0005-0000-0000-0000EC150000}"/>
    <cellStyle name="20% - Accent3 7 8" xfId="1454" xr:uid="{00000000-0005-0000-0000-0000ED150000}"/>
    <cellStyle name="20% - Accent3 7 8 2" xfId="14106" xr:uid="{00000000-0005-0000-0000-0000EE150000}"/>
    <cellStyle name="20% - Accent3 7 8 2 2" xfId="27655" xr:uid="{00000000-0005-0000-0000-0000EF150000}"/>
    <cellStyle name="20% - Accent3 7 8 3" xfId="18777" xr:uid="{00000000-0005-0000-0000-0000F0150000}"/>
    <cellStyle name="20% - Accent3 7 9" xfId="1455" xr:uid="{00000000-0005-0000-0000-0000F1150000}"/>
    <cellStyle name="20% - Accent3 7 9 2" xfId="14839" xr:uid="{00000000-0005-0000-0000-0000F2150000}"/>
    <cellStyle name="20% - Accent3 7 9 2 2" xfId="28388" xr:uid="{00000000-0005-0000-0000-0000F3150000}"/>
    <cellStyle name="20% - Accent3 7 9 3" xfId="18778" xr:uid="{00000000-0005-0000-0000-0000F4150000}"/>
    <cellStyle name="20% - Accent3 8" xfId="1456" xr:uid="{00000000-0005-0000-0000-0000F5150000}"/>
    <cellStyle name="20% - Accent3 8 10" xfId="9027" xr:uid="{00000000-0005-0000-0000-0000F6150000}"/>
    <cellStyle name="20% - Accent3 8 10 2" xfId="23502" xr:uid="{00000000-0005-0000-0000-0000F7150000}"/>
    <cellStyle name="20% - Accent3 8 11" xfId="18779" xr:uid="{00000000-0005-0000-0000-0000F8150000}"/>
    <cellStyle name="20% - Accent3 8 2" xfId="1457" xr:uid="{00000000-0005-0000-0000-0000F9150000}"/>
    <cellStyle name="20% - Accent3 8 2 2" xfId="1458" xr:uid="{00000000-0005-0000-0000-0000FA150000}"/>
    <cellStyle name="20% - Accent3 8 2 2 2" xfId="10753" xr:uid="{00000000-0005-0000-0000-0000FB150000}"/>
    <cellStyle name="20% - Accent3 8 2 2 2 2" xfId="24695" xr:uid="{00000000-0005-0000-0000-0000FC150000}"/>
    <cellStyle name="20% - Accent3 8 2 2 3" xfId="18781" xr:uid="{00000000-0005-0000-0000-0000FD150000}"/>
    <cellStyle name="20% - Accent3 8 2 3" xfId="1459" xr:uid="{00000000-0005-0000-0000-0000FE150000}"/>
    <cellStyle name="20% - Accent3 8 2 3 2" xfId="12111" xr:uid="{00000000-0005-0000-0000-0000FF150000}"/>
    <cellStyle name="20% - Accent3 8 2 3 2 2" xfId="25823" xr:uid="{00000000-0005-0000-0000-000000160000}"/>
    <cellStyle name="20% - Accent3 8 2 3 3" xfId="18782" xr:uid="{00000000-0005-0000-0000-000001160000}"/>
    <cellStyle name="20% - Accent3 8 2 4" xfId="1460" xr:uid="{00000000-0005-0000-0000-000002160000}"/>
    <cellStyle name="20% - Accent3 8 2 4 2" xfId="14846" xr:uid="{00000000-0005-0000-0000-000003160000}"/>
    <cellStyle name="20% - Accent3 8 2 4 2 2" xfId="28395" xr:uid="{00000000-0005-0000-0000-000004160000}"/>
    <cellStyle name="20% - Accent3 8 2 4 3" xfId="18783" xr:uid="{00000000-0005-0000-0000-000005160000}"/>
    <cellStyle name="20% - Accent3 8 2 5" xfId="1461" xr:uid="{00000000-0005-0000-0000-000006160000}"/>
    <cellStyle name="20% - Accent3 8 2 5 2" xfId="16714" xr:uid="{00000000-0005-0000-0000-000007160000}"/>
    <cellStyle name="20% - Accent3 8 2 5 2 2" xfId="30121" xr:uid="{00000000-0005-0000-0000-000008160000}"/>
    <cellStyle name="20% - Accent3 8 2 5 3" xfId="18784" xr:uid="{00000000-0005-0000-0000-000009160000}"/>
    <cellStyle name="20% - Accent3 8 2 6" xfId="9028" xr:uid="{00000000-0005-0000-0000-00000A160000}"/>
    <cellStyle name="20% - Accent3 8 2 6 2" xfId="23503" xr:uid="{00000000-0005-0000-0000-00000B160000}"/>
    <cellStyle name="20% - Accent3 8 2 7" xfId="18780" xr:uid="{00000000-0005-0000-0000-00000C160000}"/>
    <cellStyle name="20% - Accent3 8 3" xfId="1462" xr:uid="{00000000-0005-0000-0000-00000D160000}"/>
    <cellStyle name="20% - Accent3 8 3 2" xfId="1463" xr:uid="{00000000-0005-0000-0000-00000E160000}"/>
    <cellStyle name="20% - Accent3 8 3 2 2" xfId="14847" xr:uid="{00000000-0005-0000-0000-00000F160000}"/>
    <cellStyle name="20% - Accent3 8 3 2 2 2" xfId="28396" xr:uid="{00000000-0005-0000-0000-000010160000}"/>
    <cellStyle name="20% - Accent3 8 3 2 3" xfId="18786" xr:uid="{00000000-0005-0000-0000-000011160000}"/>
    <cellStyle name="20% - Accent3 8 3 3" xfId="10752" xr:uid="{00000000-0005-0000-0000-000012160000}"/>
    <cellStyle name="20% - Accent3 8 3 3 2" xfId="24694" xr:uid="{00000000-0005-0000-0000-000013160000}"/>
    <cellStyle name="20% - Accent3 8 3 4" xfId="18785" xr:uid="{00000000-0005-0000-0000-000014160000}"/>
    <cellStyle name="20% - Accent3 8 4" xfId="1464" xr:uid="{00000000-0005-0000-0000-000015160000}"/>
    <cellStyle name="20% - Accent3 8 4 2" xfId="12092" xr:uid="{00000000-0005-0000-0000-000016160000}"/>
    <cellStyle name="20% - Accent3 8 4 2 2" xfId="25806" xr:uid="{00000000-0005-0000-0000-000017160000}"/>
    <cellStyle name="20% - Accent3 8 4 3" xfId="18787" xr:uid="{00000000-0005-0000-0000-000018160000}"/>
    <cellStyle name="20% - Accent3 8 5" xfId="1465" xr:uid="{00000000-0005-0000-0000-000019160000}"/>
    <cellStyle name="20% - Accent3 8 5 2" xfId="12107" xr:uid="{00000000-0005-0000-0000-00001A160000}"/>
    <cellStyle name="20% - Accent3 8 5 2 2" xfId="25819" xr:uid="{00000000-0005-0000-0000-00001B160000}"/>
    <cellStyle name="20% - Accent3 8 5 3" xfId="18788" xr:uid="{00000000-0005-0000-0000-00001C160000}"/>
    <cellStyle name="20% - Accent3 8 6" xfId="1466" xr:uid="{00000000-0005-0000-0000-00001D160000}"/>
    <cellStyle name="20% - Accent3 8 6 2" xfId="13666" xr:uid="{00000000-0005-0000-0000-00001E160000}"/>
    <cellStyle name="20% - Accent3 8 6 2 2" xfId="27215" xr:uid="{00000000-0005-0000-0000-00001F160000}"/>
    <cellStyle name="20% - Accent3 8 6 3" xfId="18789" xr:uid="{00000000-0005-0000-0000-000020160000}"/>
    <cellStyle name="20% - Accent3 8 7" xfId="1467" xr:uid="{00000000-0005-0000-0000-000021160000}"/>
    <cellStyle name="20% - Accent3 8 7 2" xfId="14247" xr:uid="{00000000-0005-0000-0000-000022160000}"/>
    <cellStyle name="20% - Accent3 8 7 2 2" xfId="27796" xr:uid="{00000000-0005-0000-0000-000023160000}"/>
    <cellStyle name="20% - Accent3 8 7 3" xfId="18790" xr:uid="{00000000-0005-0000-0000-000024160000}"/>
    <cellStyle name="20% - Accent3 8 8" xfId="1468" xr:uid="{00000000-0005-0000-0000-000025160000}"/>
    <cellStyle name="20% - Accent3 8 8 2" xfId="14845" xr:uid="{00000000-0005-0000-0000-000026160000}"/>
    <cellStyle name="20% - Accent3 8 8 2 2" xfId="28394" xr:uid="{00000000-0005-0000-0000-000027160000}"/>
    <cellStyle name="20% - Accent3 8 8 3" xfId="18791" xr:uid="{00000000-0005-0000-0000-000028160000}"/>
    <cellStyle name="20% - Accent3 8 9" xfId="1469" xr:uid="{00000000-0005-0000-0000-000029160000}"/>
    <cellStyle name="20% - Accent3 8 9 2" xfId="16133" xr:uid="{00000000-0005-0000-0000-00002A160000}"/>
    <cellStyle name="20% - Accent3 8 9 2 2" xfId="29540" xr:uid="{00000000-0005-0000-0000-00002B160000}"/>
    <cellStyle name="20% - Accent3 8 9 3" xfId="18792" xr:uid="{00000000-0005-0000-0000-00002C160000}"/>
    <cellStyle name="20% - Accent3 9" xfId="1470" xr:uid="{00000000-0005-0000-0000-00002D160000}"/>
    <cellStyle name="20% - Accent3 9 2" xfId="1471" xr:uid="{00000000-0005-0000-0000-00002E160000}"/>
    <cellStyle name="20% - Accent3 9 2 2" xfId="10754" xr:uid="{00000000-0005-0000-0000-00002F160000}"/>
    <cellStyle name="20% - Accent3 9 2 2 2" xfId="24696" xr:uid="{00000000-0005-0000-0000-000030160000}"/>
    <cellStyle name="20% - Accent3 9 2 3" xfId="18794" xr:uid="{00000000-0005-0000-0000-000031160000}"/>
    <cellStyle name="20% - Accent3 9 3" xfId="1472" xr:uid="{00000000-0005-0000-0000-000032160000}"/>
    <cellStyle name="20% - Accent3 9 3 2" xfId="11761" xr:uid="{00000000-0005-0000-0000-000033160000}"/>
    <cellStyle name="20% - Accent3 9 3 2 2" xfId="25476" xr:uid="{00000000-0005-0000-0000-000034160000}"/>
    <cellStyle name="20% - Accent3 9 3 3" xfId="18795" xr:uid="{00000000-0005-0000-0000-000035160000}"/>
    <cellStyle name="20% - Accent3 9 4" xfId="1473" xr:uid="{00000000-0005-0000-0000-000036160000}"/>
    <cellStyle name="20% - Accent3 9 4 2" xfId="14848" xr:uid="{00000000-0005-0000-0000-000037160000}"/>
    <cellStyle name="20% - Accent3 9 4 2 2" xfId="28397" xr:uid="{00000000-0005-0000-0000-000038160000}"/>
    <cellStyle name="20% - Accent3 9 4 3" xfId="18796" xr:uid="{00000000-0005-0000-0000-000039160000}"/>
    <cellStyle name="20% - Accent3 9 5" xfId="1474" xr:uid="{00000000-0005-0000-0000-00003A160000}"/>
    <cellStyle name="20% - Accent3 9 5 2" xfId="17098" xr:uid="{00000000-0005-0000-0000-00003B160000}"/>
    <cellStyle name="20% - Accent3 9 5 2 2" xfId="30457" xr:uid="{00000000-0005-0000-0000-00003C160000}"/>
    <cellStyle name="20% - Accent3 9 5 3" xfId="18797" xr:uid="{00000000-0005-0000-0000-00003D160000}"/>
    <cellStyle name="20% - Accent3 9 6" xfId="9029" xr:uid="{00000000-0005-0000-0000-00003E160000}"/>
    <cellStyle name="20% - Accent3 9 6 2" xfId="23504" xr:uid="{00000000-0005-0000-0000-00003F160000}"/>
    <cellStyle name="20% - Accent3 9 7" xfId="18793" xr:uid="{00000000-0005-0000-0000-000040160000}"/>
    <cellStyle name="20% - Accent4" xfId="40" builtinId="42" customBuiltin="1"/>
    <cellStyle name="20% - Accent4 10" xfId="1475" xr:uid="{00000000-0005-0000-0000-000042160000}"/>
    <cellStyle name="20% - Accent4 10 2" xfId="1476" xr:uid="{00000000-0005-0000-0000-000043160000}"/>
    <cellStyle name="20% - Accent4 10 2 2" xfId="1477" xr:uid="{00000000-0005-0000-0000-000044160000}"/>
    <cellStyle name="20% - Accent4 10 2 2 2" xfId="12458" xr:uid="{00000000-0005-0000-0000-000045160000}"/>
    <cellStyle name="20% - Accent4 10 2 2 2 2" xfId="26170" xr:uid="{00000000-0005-0000-0000-000046160000}"/>
    <cellStyle name="20% - Accent4 10 2 2 3" xfId="18800" xr:uid="{00000000-0005-0000-0000-000047160000}"/>
    <cellStyle name="20% - Accent4 10 2 3" xfId="1478" xr:uid="{00000000-0005-0000-0000-000048160000}"/>
    <cellStyle name="20% - Accent4 10 2 3 2" xfId="14851" xr:uid="{00000000-0005-0000-0000-000049160000}"/>
    <cellStyle name="20% - Accent4 10 2 3 2 2" xfId="28400" xr:uid="{00000000-0005-0000-0000-00004A160000}"/>
    <cellStyle name="20% - Accent4 10 2 3 3" xfId="18801" xr:uid="{00000000-0005-0000-0000-00004B160000}"/>
    <cellStyle name="20% - Accent4 10 2 4" xfId="10756" xr:uid="{00000000-0005-0000-0000-00004C160000}"/>
    <cellStyle name="20% - Accent4 10 2 4 2" xfId="24698" xr:uid="{00000000-0005-0000-0000-00004D160000}"/>
    <cellStyle name="20% - Accent4 10 2 5" xfId="18799" xr:uid="{00000000-0005-0000-0000-00004E160000}"/>
    <cellStyle name="20% - Accent4 10 3" xfId="1479" xr:uid="{00000000-0005-0000-0000-00004F160000}"/>
    <cellStyle name="20% - Accent4 10 3 2" xfId="12697" xr:uid="{00000000-0005-0000-0000-000050160000}"/>
    <cellStyle name="20% - Accent4 10 3 2 2" xfId="26409" xr:uid="{00000000-0005-0000-0000-000051160000}"/>
    <cellStyle name="20% - Accent4 10 3 3" xfId="18802" xr:uid="{00000000-0005-0000-0000-000052160000}"/>
    <cellStyle name="20% - Accent4 10 4" xfId="1480" xr:uid="{00000000-0005-0000-0000-000053160000}"/>
    <cellStyle name="20% - Accent4 10 4 2" xfId="14850" xr:uid="{00000000-0005-0000-0000-000054160000}"/>
    <cellStyle name="20% - Accent4 10 4 2 2" xfId="28399" xr:uid="{00000000-0005-0000-0000-000055160000}"/>
    <cellStyle name="20% - Accent4 10 4 3" xfId="18803" xr:uid="{00000000-0005-0000-0000-000056160000}"/>
    <cellStyle name="20% - Accent4 10 5" xfId="1481" xr:uid="{00000000-0005-0000-0000-000057160000}"/>
    <cellStyle name="20% - Accent4 10 5 2" xfId="17188" xr:uid="{00000000-0005-0000-0000-000058160000}"/>
    <cellStyle name="20% - Accent4 10 5 2 2" xfId="30547" xr:uid="{00000000-0005-0000-0000-000059160000}"/>
    <cellStyle name="20% - Accent4 10 5 3" xfId="18804" xr:uid="{00000000-0005-0000-0000-00005A160000}"/>
    <cellStyle name="20% - Accent4 10 6" xfId="9031" xr:uid="{00000000-0005-0000-0000-00005B160000}"/>
    <cellStyle name="20% - Accent4 10 6 2" xfId="23506" xr:uid="{00000000-0005-0000-0000-00005C160000}"/>
    <cellStyle name="20% - Accent4 10 7" xfId="18798" xr:uid="{00000000-0005-0000-0000-00005D160000}"/>
    <cellStyle name="20% - Accent4 11" xfId="1482" xr:uid="{00000000-0005-0000-0000-00005E160000}"/>
    <cellStyle name="20% - Accent4 11 2" xfId="1483" xr:uid="{00000000-0005-0000-0000-00005F160000}"/>
    <cellStyle name="20% - Accent4 11 2 2" xfId="10757" xr:uid="{00000000-0005-0000-0000-000060160000}"/>
    <cellStyle name="20% - Accent4 11 2 2 2" xfId="24699" xr:uid="{00000000-0005-0000-0000-000061160000}"/>
    <cellStyle name="20% - Accent4 11 2 3" xfId="18806" xr:uid="{00000000-0005-0000-0000-000062160000}"/>
    <cellStyle name="20% - Accent4 11 3" xfId="1484" xr:uid="{00000000-0005-0000-0000-000063160000}"/>
    <cellStyle name="20% - Accent4 11 3 2" xfId="12588" xr:uid="{00000000-0005-0000-0000-000064160000}"/>
    <cellStyle name="20% - Accent4 11 3 2 2" xfId="26300" xr:uid="{00000000-0005-0000-0000-000065160000}"/>
    <cellStyle name="20% - Accent4 11 3 3" xfId="18807" xr:uid="{00000000-0005-0000-0000-000066160000}"/>
    <cellStyle name="20% - Accent4 11 4" xfId="1485" xr:uid="{00000000-0005-0000-0000-000067160000}"/>
    <cellStyle name="20% - Accent4 11 4 2" xfId="14852" xr:uid="{00000000-0005-0000-0000-000068160000}"/>
    <cellStyle name="20% - Accent4 11 4 2 2" xfId="28401" xr:uid="{00000000-0005-0000-0000-000069160000}"/>
    <cellStyle name="20% - Accent4 11 4 3" xfId="18808" xr:uid="{00000000-0005-0000-0000-00006A160000}"/>
    <cellStyle name="20% - Accent4 11 5" xfId="1486" xr:uid="{00000000-0005-0000-0000-00006B160000}"/>
    <cellStyle name="20% - Accent4 11 5 2" xfId="17277" xr:uid="{00000000-0005-0000-0000-00006C160000}"/>
    <cellStyle name="20% - Accent4 11 5 2 2" xfId="30636" xr:uid="{00000000-0005-0000-0000-00006D160000}"/>
    <cellStyle name="20% - Accent4 11 5 3" xfId="18809" xr:uid="{00000000-0005-0000-0000-00006E160000}"/>
    <cellStyle name="20% - Accent4 11 6" xfId="9032" xr:uid="{00000000-0005-0000-0000-00006F160000}"/>
    <cellStyle name="20% - Accent4 11 6 2" xfId="23507" xr:uid="{00000000-0005-0000-0000-000070160000}"/>
    <cellStyle name="20% - Accent4 11 7" xfId="18805" xr:uid="{00000000-0005-0000-0000-000071160000}"/>
    <cellStyle name="20% - Accent4 12" xfId="1487" xr:uid="{00000000-0005-0000-0000-000072160000}"/>
    <cellStyle name="20% - Accent4 12 2" xfId="1488" xr:uid="{00000000-0005-0000-0000-000073160000}"/>
    <cellStyle name="20% - Accent4 12 2 2" xfId="1489" xr:uid="{00000000-0005-0000-0000-000074160000}"/>
    <cellStyle name="20% - Accent4 12 2 2 2" xfId="10759" xr:uid="{00000000-0005-0000-0000-000075160000}"/>
    <cellStyle name="20% - Accent4 12 2 2 2 2" xfId="24701" xr:uid="{00000000-0005-0000-0000-000076160000}"/>
    <cellStyle name="20% - Accent4 12 2 2 3" xfId="18812" xr:uid="{00000000-0005-0000-0000-000077160000}"/>
    <cellStyle name="20% - Accent4 12 2 3" xfId="1490" xr:uid="{00000000-0005-0000-0000-000078160000}"/>
    <cellStyle name="20% - Accent4 12 2 3 2" xfId="12773" xr:uid="{00000000-0005-0000-0000-000079160000}"/>
    <cellStyle name="20% - Accent4 12 2 3 2 2" xfId="26485" xr:uid="{00000000-0005-0000-0000-00007A160000}"/>
    <cellStyle name="20% - Accent4 12 2 3 3" xfId="18813" xr:uid="{00000000-0005-0000-0000-00007B160000}"/>
    <cellStyle name="20% - Accent4 12 2 4" xfId="1491" xr:uid="{00000000-0005-0000-0000-00007C160000}"/>
    <cellStyle name="20% - Accent4 12 2 4 2" xfId="14854" xr:uid="{00000000-0005-0000-0000-00007D160000}"/>
    <cellStyle name="20% - Accent4 12 2 4 2 2" xfId="28403" xr:uid="{00000000-0005-0000-0000-00007E160000}"/>
    <cellStyle name="20% - Accent4 12 2 4 3" xfId="18814" xr:uid="{00000000-0005-0000-0000-00007F160000}"/>
    <cellStyle name="20% - Accent4 12 2 5" xfId="9034" xr:uid="{00000000-0005-0000-0000-000080160000}"/>
    <cellStyle name="20% - Accent4 12 2 5 2" xfId="23509" xr:uid="{00000000-0005-0000-0000-000081160000}"/>
    <cellStyle name="20% - Accent4 12 2 6" xfId="18811" xr:uid="{00000000-0005-0000-0000-000082160000}"/>
    <cellStyle name="20% - Accent4 12 3" xfId="1492" xr:uid="{00000000-0005-0000-0000-000083160000}"/>
    <cellStyle name="20% - Accent4 12 3 2" xfId="10758" xr:uid="{00000000-0005-0000-0000-000084160000}"/>
    <cellStyle name="20% - Accent4 12 3 2 2" xfId="24700" xr:uid="{00000000-0005-0000-0000-000085160000}"/>
    <cellStyle name="20% - Accent4 12 3 3" xfId="18815" xr:uid="{00000000-0005-0000-0000-000086160000}"/>
    <cellStyle name="20% - Accent4 12 4" xfId="1493" xr:uid="{00000000-0005-0000-0000-000087160000}"/>
    <cellStyle name="20% - Accent4 12 4 2" xfId="12465" xr:uid="{00000000-0005-0000-0000-000088160000}"/>
    <cellStyle name="20% - Accent4 12 4 2 2" xfId="26177" xr:uid="{00000000-0005-0000-0000-000089160000}"/>
    <cellStyle name="20% - Accent4 12 4 3" xfId="18816" xr:uid="{00000000-0005-0000-0000-00008A160000}"/>
    <cellStyle name="20% - Accent4 12 5" xfId="1494" xr:uid="{00000000-0005-0000-0000-00008B160000}"/>
    <cellStyle name="20% - Accent4 12 5 2" xfId="14853" xr:uid="{00000000-0005-0000-0000-00008C160000}"/>
    <cellStyle name="20% - Accent4 12 5 2 2" xfId="28402" xr:uid="{00000000-0005-0000-0000-00008D160000}"/>
    <cellStyle name="20% - Accent4 12 5 3" xfId="18817" xr:uid="{00000000-0005-0000-0000-00008E160000}"/>
    <cellStyle name="20% - Accent4 12 6" xfId="1495" xr:uid="{00000000-0005-0000-0000-00008F160000}"/>
    <cellStyle name="20% - Accent4 12 6 2" xfId="16429" xr:uid="{00000000-0005-0000-0000-000090160000}"/>
    <cellStyle name="20% - Accent4 12 6 2 2" xfId="29836" xr:uid="{00000000-0005-0000-0000-000091160000}"/>
    <cellStyle name="20% - Accent4 12 6 3" xfId="18818" xr:uid="{00000000-0005-0000-0000-000092160000}"/>
    <cellStyle name="20% - Accent4 12 7" xfId="9033" xr:uid="{00000000-0005-0000-0000-000093160000}"/>
    <cellStyle name="20% - Accent4 12 7 2" xfId="23508" xr:uid="{00000000-0005-0000-0000-000094160000}"/>
    <cellStyle name="20% - Accent4 12 8" xfId="18810" xr:uid="{00000000-0005-0000-0000-000095160000}"/>
    <cellStyle name="20% - Accent4 13" xfId="1496" xr:uid="{00000000-0005-0000-0000-000096160000}"/>
    <cellStyle name="20% - Accent4 13 2" xfId="1497" xr:uid="{00000000-0005-0000-0000-000097160000}"/>
    <cellStyle name="20% - Accent4 13 2 2" xfId="10760" xr:uid="{00000000-0005-0000-0000-000098160000}"/>
    <cellStyle name="20% - Accent4 13 2 2 2" xfId="24702" xr:uid="{00000000-0005-0000-0000-000099160000}"/>
    <cellStyle name="20% - Accent4 13 2 3" xfId="18820" xr:uid="{00000000-0005-0000-0000-00009A160000}"/>
    <cellStyle name="20% - Accent4 13 3" xfId="1498" xr:uid="{00000000-0005-0000-0000-00009B160000}"/>
    <cellStyle name="20% - Accent4 13 3 2" xfId="12484" xr:uid="{00000000-0005-0000-0000-00009C160000}"/>
    <cellStyle name="20% - Accent4 13 3 2 2" xfId="26196" xr:uid="{00000000-0005-0000-0000-00009D160000}"/>
    <cellStyle name="20% - Accent4 13 3 3" xfId="18821" xr:uid="{00000000-0005-0000-0000-00009E160000}"/>
    <cellStyle name="20% - Accent4 13 4" xfId="1499" xr:uid="{00000000-0005-0000-0000-00009F160000}"/>
    <cellStyle name="20% - Accent4 13 4 2" xfId="14855" xr:uid="{00000000-0005-0000-0000-0000A0160000}"/>
    <cellStyle name="20% - Accent4 13 4 2 2" xfId="28404" xr:uid="{00000000-0005-0000-0000-0000A1160000}"/>
    <cellStyle name="20% - Accent4 13 4 3" xfId="18822" xr:uid="{00000000-0005-0000-0000-0000A2160000}"/>
    <cellStyle name="20% - Accent4 13 5" xfId="9035" xr:uid="{00000000-0005-0000-0000-0000A3160000}"/>
    <cellStyle name="20% - Accent4 13 5 2" xfId="23510" xr:uid="{00000000-0005-0000-0000-0000A4160000}"/>
    <cellStyle name="20% - Accent4 13 6" xfId="18819" xr:uid="{00000000-0005-0000-0000-0000A5160000}"/>
    <cellStyle name="20% - Accent4 14" xfId="1500" xr:uid="{00000000-0005-0000-0000-0000A6160000}"/>
    <cellStyle name="20% - Accent4 14 2" xfId="1501" xr:uid="{00000000-0005-0000-0000-0000A7160000}"/>
    <cellStyle name="20% - Accent4 14 2 2" xfId="10761" xr:uid="{00000000-0005-0000-0000-0000A8160000}"/>
    <cellStyle name="20% - Accent4 14 2 2 2" xfId="24703" xr:uid="{00000000-0005-0000-0000-0000A9160000}"/>
    <cellStyle name="20% - Accent4 14 2 3" xfId="18824" xr:uid="{00000000-0005-0000-0000-0000AA160000}"/>
    <cellStyle name="20% - Accent4 14 3" xfId="1502" xr:uid="{00000000-0005-0000-0000-0000AB160000}"/>
    <cellStyle name="20% - Accent4 14 3 2" xfId="12575" xr:uid="{00000000-0005-0000-0000-0000AC160000}"/>
    <cellStyle name="20% - Accent4 14 3 2 2" xfId="26287" xr:uid="{00000000-0005-0000-0000-0000AD160000}"/>
    <cellStyle name="20% - Accent4 14 3 3" xfId="18825" xr:uid="{00000000-0005-0000-0000-0000AE160000}"/>
    <cellStyle name="20% - Accent4 14 4" xfId="1503" xr:uid="{00000000-0005-0000-0000-0000AF160000}"/>
    <cellStyle name="20% - Accent4 14 4 2" xfId="14856" xr:uid="{00000000-0005-0000-0000-0000B0160000}"/>
    <cellStyle name="20% - Accent4 14 4 2 2" xfId="28405" xr:uid="{00000000-0005-0000-0000-0000B1160000}"/>
    <cellStyle name="20% - Accent4 14 4 3" xfId="18826" xr:uid="{00000000-0005-0000-0000-0000B2160000}"/>
    <cellStyle name="20% - Accent4 14 5" xfId="9036" xr:uid="{00000000-0005-0000-0000-0000B3160000}"/>
    <cellStyle name="20% - Accent4 14 5 2" xfId="23511" xr:uid="{00000000-0005-0000-0000-0000B4160000}"/>
    <cellStyle name="20% - Accent4 14 6" xfId="18823" xr:uid="{00000000-0005-0000-0000-0000B5160000}"/>
    <cellStyle name="20% - Accent4 15" xfId="1504" xr:uid="{00000000-0005-0000-0000-0000B6160000}"/>
    <cellStyle name="20% - Accent4 15 2" xfId="1505" xr:uid="{00000000-0005-0000-0000-0000B7160000}"/>
    <cellStyle name="20% - Accent4 15 2 2" xfId="10762" xr:uid="{00000000-0005-0000-0000-0000B8160000}"/>
    <cellStyle name="20% - Accent4 15 2 2 2" xfId="24704" xr:uid="{00000000-0005-0000-0000-0000B9160000}"/>
    <cellStyle name="20% - Accent4 15 2 3" xfId="18828" xr:uid="{00000000-0005-0000-0000-0000BA160000}"/>
    <cellStyle name="20% - Accent4 15 3" xfId="1506" xr:uid="{00000000-0005-0000-0000-0000BB160000}"/>
    <cellStyle name="20% - Accent4 15 3 2" xfId="12491" xr:uid="{00000000-0005-0000-0000-0000BC160000}"/>
    <cellStyle name="20% - Accent4 15 3 2 2" xfId="26203" xr:uid="{00000000-0005-0000-0000-0000BD160000}"/>
    <cellStyle name="20% - Accent4 15 3 3" xfId="18829" xr:uid="{00000000-0005-0000-0000-0000BE160000}"/>
    <cellStyle name="20% - Accent4 15 4" xfId="1507" xr:uid="{00000000-0005-0000-0000-0000BF160000}"/>
    <cellStyle name="20% - Accent4 15 4 2" xfId="14857" xr:uid="{00000000-0005-0000-0000-0000C0160000}"/>
    <cellStyle name="20% - Accent4 15 4 2 2" xfId="28406" xr:uid="{00000000-0005-0000-0000-0000C1160000}"/>
    <cellStyle name="20% - Accent4 15 4 3" xfId="18830" xr:uid="{00000000-0005-0000-0000-0000C2160000}"/>
    <cellStyle name="20% - Accent4 15 5" xfId="9037" xr:uid="{00000000-0005-0000-0000-0000C3160000}"/>
    <cellStyle name="20% - Accent4 15 5 2" xfId="23512" xr:uid="{00000000-0005-0000-0000-0000C4160000}"/>
    <cellStyle name="20% - Accent4 15 6" xfId="18827" xr:uid="{00000000-0005-0000-0000-0000C5160000}"/>
    <cellStyle name="20% - Accent4 16" xfId="1508" xr:uid="{00000000-0005-0000-0000-0000C6160000}"/>
    <cellStyle name="20% - Accent4 16 2" xfId="1509" xr:uid="{00000000-0005-0000-0000-0000C7160000}"/>
    <cellStyle name="20% - Accent4 16 2 2" xfId="10763" xr:uid="{00000000-0005-0000-0000-0000C8160000}"/>
    <cellStyle name="20% - Accent4 16 2 2 2" xfId="24705" xr:uid="{00000000-0005-0000-0000-0000C9160000}"/>
    <cellStyle name="20% - Accent4 16 2 3" xfId="18832" xr:uid="{00000000-0005-0000-0000-0000CA160000}"/>
    <cellStyle name="20% - Accent4 16 3" xfId="1510" xr:uid="{00000000-0005-0000-0000-0000CB160000}"/>
    <cellStyle name="20% - Accent4 16 3 2" xfId="12741" xr:uid="{00000000-0005-0000-0000-0000CC160000}"/>
    <cellStyle name="20% - Accent4 16 3 2 2" xfId="26453" xr:uid="{00000000-0005-0000-0000-0000CD160000}"/>
    <cellStyle name="20% - Accent4 16 3 3" xfId="18833" xr:uid="{00000000-0005-0000-0000-0000CE160000}"/>
    <cellStyle name="20% - Accent4 16 4" xfId="1511" xr:uid="{00000000-0005-0000-0000-0000CF160000}"/>
    <cellStyle name="20% - Accent4 16 4 2" xfId="14858" xr:uid="{00000000-0005-0000-0000-0000D0160000}"/>
    <cellStyle name="20% - Accent4 16 4 2 2" xfId="28407" xr:uid="{00000000-0005-0000-0000-0000D1160000}"/>
    <cellStyle name="20% - Accent4 16 4 3" xfId="18834" xr:uid="{00000000-0005-0000-0000-0000D2160000}"/>
    <cellStyle name="20% - Accent4 16 5" xfId="9038" xr:uid="{00000000-0005-0000-0000-0000D3160000}"/>
    <cellStyle name="20% - Accent4 16 5 2" xfId="23513" xr:uid="{00000000-0005-0000-0000-0000D4160000}"/>
    <cellStyle name="20% - Accent4 16 6" xfId="18831" xr:uid="{00000000-0005-0000-0000-0000D5160000}"/>
    <cellStyle name="20% - Accent4 17" xfId="1512" xr:uid="{00000000-0005-0000-0000-0000D6160000}"/>
    <cellStyle name="20% - Accent4 17 2" xfId="1513" xr:uid="{00000000-0005-0000-0000-0000D7160000}"/>
    <cellStyle name="20% - Accent4 17 2 2" xfId="10764" xr:uid="{00000000-0005-0000-0000-0000D8160000}"/>
    <cellStyle name="20% - Accent4 17 2 2 2" xfId="24706" xr:uid="{00000000-0005-0000-0000-0000D9160000}"/>
    <cellStyle name="20% - Accent4 17 2 3" xfId="18836" xr:uid="{00000000-0005-0000-0000-0000DA160000}"/>
    <cellStyle name="20% - Accent4 17 3" xfId="1514" xr:uid="{00000000-0005-0000-0000-0000DB160000}"/>
    <cellStyle name="20% - Accent4 17 3 2" xfId="12779" xr:uid="{00000000-0005-0000-0000-0000DC160000}"/>
    <cellStyle name="20% - Accent4 17 3 2 2" xfId="26491" xr:uid="{00000000-0005-0000-0000-0000DD160000}"/>
    <cellStyle name="20% - Accent4 17 3 3" xfId="18837" xr:uid="{00000000-0005-0000-0000-0000DE160000}"/>
    <cellStyle name="20% - Accent4 17 4" xfId="1515" xr:uid="{00000000-0005-0000-0000-0000DF160000}"/>
    <cellStyle name="20% - Accent4 17 4 2" xfId="14859" xr:uid="{00000000-0005-0000-0000-0000E0160000}"/>
    <cellStyle name="20% - Accent4 17 4 2 2" xfId="28408" xr:uid="{00000000-0005-0000-0000-0000E1160000}"/>
    <cellStyle name="20% - Accent4 17 4 3" xfId="18838" xr:uid="{00000000-0005-0000-0000-0000E2160000}"/>
    <cellStyle name="20% - Accent4 17 5" xfId="9039" xr:uid="{00000000-0005-0000-0000-0000E3160000}"/>
    <cellStyle name="20% - Accent4 17 5 2" xfId="23514" xr:uid="{00000000-0005-0000-0000-0000E4160000}"/>
    <cellStyle name="20% - Accent4 17 6" xfId="18835" xr:uid="{00000000-0005-0000-0000-0000E5160000}"/>
    <cellStyle name="20% - Accent4 18" xfId="1516" xr:uid="{00000000-0005-0000-0000-0000E6160000}"/>
    <cellStyle name="20% - Accent4 18 2" xfId="1517" xr:uid="{00000000-0005-0000-0000-0000E7160000}"/>
    <cellStyle name="20% - Accent4 18 2 2" xfId="10765" xr:uid="{00000000-0005-0000-0000-0000E8160000}"/>
    <cellStyle name="20% - Accent4 18 2 2 2" xfId="24707" xr:uid="{00000000-0005-0000-0000-0000E9160000}"/>
    <cellStyle name="20% - Accent4 18 2 3" xfId="18840" xr:uid="{00000000-0005-0000-0000-0000EA160000}"/>
    <cellStyle name="20% - Accent4 18 3" xfId="1518" xr:uid="{00000000-0005-0000-0000-0000EB160000}"/>
    <cellStyle name="20% - Accent4 18 3 2" xfId="12490" xr:uid="{00000000-0005-0000-0000-0000EC160000}"/>
    <cellStyle name="20% - Accent4 18 3 2 2" xfId="26202" xr:uid="{00000000-0005-0000-0000-0000ED160000}"/>
    <cellStyle name="20% - Accent4 18 3 3" xfId="18841" xr:uid="{00000000-0005-0000-0000-0000EE160000}"/>
    <cellStyle name="20% - Accent4 18 4" xfId="1519" xr:uid="{00000000-0005-0000-0000-0000EF160000}"/>
    <cellStyle name="20% - Accent4 18 4 2" xfId="14860" xr:uid="{00000000-0005-0000-0000-0000F0160000}"/>
    <cellStyle name="20% - Accent4 18 4 2 2" xfId="28409" xr:uid="{00000000-0005-0000-0000-0000F1160000}"/>
    <cellStyle name="20% - Accent4 18 4 3" xfId="18842" xr:uid="{00000000-0005-0000-0000-0000F2160000}"/>
    <cellStyle name="20% - Accent4 18 5" xfId="9040" xr:uid="{00000000-0005-0000-0000-0000F3160000}"/>
    <cellStyle name="20% - Accent4 18 5 2" xfId="23515" xr:uid="{00000000-0005-0000-0000-0000F4160000}"/>
    <cellStyle name="20% - Accent4 18 6" xfId="18839" xr:uid="{00000000-0005-0000-0000-0000F5160000}"/>
    <cellStyle name="20% - Accent4 19" xfId="1520" xr:uid="{00000000-0005-0000-0000-0000F6160000}"/>
    <cellStyle name="20% - Accent4 19 2" xfId="1521" xr:uid="{00000000-0005-0000-0000-0000F7160000}"/>
    <cellStyle name="20% - Accent4 19 2 2" xfId="11713" xr:uid="{00000000-0005-0000-0000-0000F8160000}"/>
    <cellStyle name="20% - Accent4 19 2 2 2" xfId="25433" xr:uid="{00000000-0005-0000-0000-0000F9160000}"/>
    <cellStyle name="20% - Accent4 19 2 3" xfId="18844" xr:uid="{00000000-0005-0000-0000-0000FA160000}"/>
    <cellStyle name="20% - Accent4 19 3" xfId="1522" xr:uid="{00000000-0005-0000-0000-0000FB160000}"/>
    <cellStyle name="20% - Accent4 19 3 2" xfId="12450" xr:uid="{00000000-0005-0000-0000-0000FC160000}"/>
    <cellStyle name="20% - Accent4 19 3 2 2" xfId="26162" xr:uid="{00000000-0005-0000-0000-0000FD160000}"/>
    <cellStyle name="20% - Accent4 19 3 3" xfId="18845" xr:uid="{00000000-0005-0000-0000-0000FE160000}"/>
    <cellStyle name="20% - Accent4 19 4" xfId="1523" xr:uid="{00000000-0005-0000-0000-0000FF160000}"/>
    <cellStyle name="20% - Accent4 19 4 2" xfId="14861" xr:uid="{00000000-0005-0000-0000-000000170000}"/>
    <cellStyle name="20% - Accent4 19 4 2 2" xfId="28410" xr:uid="{00000000-0005-0000-0000-000001170000}"/>
    <cellStyle name="20% - Accent4 19 4 3" xfId="18846" xr:uid="{00000000-0005-0000-0000-000002170000}"/>
    <cellStyle name="20% - Accent4 19 5" xfId="10465" xr:uid="{00000000-0005-0000-0000-000003170000}"/>
    <cellStyle name="20% - Accent4 19 5 2" xfId="24424" xr:uid="{00000000-0005-0000-0000-000004170000}"/>
    <cellStyle name="20% - Accent4 19 6" xfId="18843" xr:uid="{00000000-0005-0000-0000-000005170000}"/>
    <cellStyle name="20% - Accent4 2" xfId="1524" xr:uid="{00000000-0005-0000-0000-000006170000}"/>
    <cellStyle name="20% - Accent4 2 10" xfId="1525" xr:uid="{00000000-0005-0000-0000-000007170000}"/>
    <cellStyle name="20% - Accent4 2 10 2" xfId="1526" xr:uid="{00000000-0005-0000-0000-000008170000}"/>
    <cellStyle name="20% - Accent4 2 10 2 2" xfId="14863" xr:uid="{00000000-0005-0000-0000-000009170000}"/>
    <cellStyle name="20% - Accent4 2 10 2 2 2" xfId="28412" xr:uid="{00000000-0005-0000-0000-00000A170000}"/>
    <cellStyle name="20% - Accent4 2 10 2 3" xfId="18849" xr:uid="{00000000-0005-0000-0000-00000B170000}"/>
    <cellStyle name="20% - Accent4 2 10 3" xfId="11842" xr:uid="{00000000-0005-0000-0000-00000C170000}"/>
    <cellStyle name="20% - Accent4 2 10 3 2" xfId="25557" xr:uid="{00000000-0005-0000-0000-00000D170000}"/>
    <cellStyle name="20% - Accent4 2 10 4" xfId="18848" xr:uid="{00000000-0005-0000-0000-00000E170000}"/>
    <cellStyle name="20% - Accent4 2 11" xfId="1527" xr:uid="{00000000-0005-0000-0000-00000F170000}"/>
    <cellStyle name="20% - Accent4 2 11 2" xfId="12543" xr:uid="{00000000-0005-0000-0000-000010170000}"/>
    <cellStyle name="20% - Accent4 2 11 2 2" xfId="26255" xr:uid="{00000000-0005-0000-0000-000011170000}"/>
    <cellStyle name="20% - Accent4 2 11 3" xfId="18850" xr:uid="{00000000-0005-0000-0000-000012170000}"/>
    <cellStyle name="20% - Accent4 2 12" xfId="1528" xr:uid="{00000000-0005-0000-0000-000013170000}"/>
    <cellStyle name="20% - Accent4 2 12 2" xfId="13441" xr:uid="{00000000-0005-0000-0000-000014170000}"/>
    <cellStyle name="20% - Accent4 2 12 2 2" xfId="26990" xr:uid="{00000000-0005-0000-0000-000015170000}"/>
    <cellStyle name="20% - Accent4 2 12 3" xfId="18851" xr:uid="{00000000-0005-0000-0000-000016170000}"/>
    <cellStyle name="20% - Accent4 2 13" xfId="1529" xr:uid="{00000000-0005-0000-0000-000017170000}"/>
    <cellStyle name="20% - Accent4 2 13 2" xfId="14022" xr:uid="{00000000-0005-0000-0000-000018170000}"/>
    <cellStyle name="20% - Accent4 2 13 2 2" xfId="27571" xr:uid="{00000000-0005-0000-0000-000019170000}"/>
    <cellStyle name="20% - Accent4 2 13 3" xfId="18852" xr:uid="{00000000-0005-0000-0000-00001A170000}"/>
    <cellStyle name="20% - Accent4 2 14" xfId="1530" xr:uid="{00000000-0005-0000-0000-00001B170000}"/>
    <cellStyle name="20% - Accent4 2 14 2" xfId="14862" xr:uid="{00000000-0005-0000-0000-00001C170000}"/>
    <cellStyle name="20% - Accent4 2 14 2 2" xfId="28411" xr:uid="{00000000-0005-0000-0000-00001D170000}"/>
    <cellStyle name="20% - Accent4 2 14 3" xfId="18853" xr:uid="{00000000-0005-0000-0000-00001E170000}"/>
    <cellStyle name="20% - Accent4 2 15" xfId="1531" xr:uid="{00000000-0005-0000-0000-00001F170000}"/>
    <cellStyle name="20% - Accent4 2 15 2" xfId="15908" xr:uid="{00000000-0005-0000-0000-000020170000}"/>
    <cellStyle name="20% - Accent4 2 15 2 2" xfId="29315" xr:uid="{00000000-0005-0000-0000-000021170000}"/>
    <cellStyle name="20% - Accent4 2 15 3" xfId="18854" xr:uid="{00000000-0005-0000-0000-000022170000}"/>
    <cellStyle name="20% - Accent4 2 16" xfId="9041" xr:uid="{00000000-0005-0000-0000-000023170000}"/>
    <cellStyle name="20% - Accent4 2 16 2" xfId="23516" xr:uid="{00000000-0005-0000-0000-000024170000}"/>
    <cellStyle name="20% - Accent4 2 17" xfId="18847" xr:uid="{00000000-0005-0000-0000-000025170000}"/>
    <cellStyle name="20% - Accent4 2 18" xfId="33074" xr:uid="{00000000-0005-0000-0000-000026170000}"/>
    <cellStyle name="20% - Accent4 2 2" xfId="1532" xr:uid="{00000000-0005-0000-0000-000027170000}"/>
    <cellStyle name="20% - Accent4 2 2 10" xfId="1533" xr:uid="{00000000-0005-0000-0000-000028170000}"/>
    <cellStyle name="20% - Accent4 2 2 10 2" xfId="14864" xr:uid="{00000000-0005-0000-0000-000029170000}"/>
    <cellStyle name="20% - Accent4 2 2 10 2 2" xfId="28413" xr:uid="{00000000-0005-0000-0000-00002A170000}"/>
    <cellStyle name="20% - Accent4 2 2 10 3" xfId="18856" xr:uid="{00000000-0005-0000-0000-00002B170000}"/>
    <cellStyle name="20% - Accent4 2 2 11" xfId="1534" xr:uid="{00000000-0005-0000-0000-00002C170000}"/>
    <cellStyle name="20% - Accent4 2 2 11 2" xfId="15954" xr:uid="{00000000-0005-0000-0000-00002D170000}"/>
    <cellStyle name="20% - Accent4 2 2 11 2 2" xfId="29361" xr:uid="{00000000-0005-0000-0000-00002E170000}"/>
    <cellStyle name="20% - Accent4 2 2 11 3" xfId="18857" xr:uid="{00000000-0005-0000-0000-00002F170000}"/>
    <cellStyle name="20% - Accent4 2 2 12" xfId="9042" xr:uid="{00000000-0005-0000-0000-000030170000}"/>
    <cellStyle name="20% - Accent4 2 2 12 2" xfId="23517" xr:uid="{00000000-0005-0000-0000-000031170000}"/>
    <cellStyle name="20% - Accent4 2 2 13" xfId="18855" xr:uid="{00000000-0005-0000-0000-000032170000}"/>
    <cellStyle name="20% - Accent4 2 2 2" xfId="1535" xr:uid="{00000000-0005-0000-0000-000033170000}"/>
    <cellStyle name="20% - Accent4 2 2 2 10" xfId="1536" xr:uid="{00000000-0005-0000-0000-000034170000}"/>
    <cellStyle name="20% - Accent4 2 2 2 10 2" xfId="16097" xr:uid="{00000000-0005-0000-0000-000035170000}"/>
    <cellStyle name="20% - Accent4 2 2 2 10 2 2" xfId="29504" xr:uid="{00000000-0005-0000-0000-000036170000}"/>
    <cellStyle name="20% - Accent4 2 2 2 10 3" xfId="18859" xr:uid="{00000000-0005-0000-0000-000037170000}"/>
    <cellStyle name="20% - Accent4 2 2 2 11" xfId="9043" xr:uid="{00000000-0005-0000-0000-000038170000}"/>
    <cellStyle name="20% - Accent4 2 2 2 11 2" xfId="23518" xr:uid="{00000000-0005-0000-0000-000039170000}"/>
    <cellStyle name="20% - Accent4 2 2 2 12" xfId="18858" xr:uid="{00000000-0005-0000-0000-00003A170000}"/>
    <cellStyle name="20% - Accent4 2 2 2 2" xfId="1537" xr:uid="{00000000-0005-0000-0000-00003B170000}"/>
    <cellStyle name="20% - Accent4 2 2 2 2 10" xfId="9044" xr:uid="{00000000-0005-0000-0000-00003C170000}"/>
    <cellStyle name="20% - Accent4 2 2 2 2 10 2" xfId="23519" xr:uid="{00000000-0005-0000-0000-00003D170000}"/>
    <cellStyle name="20% - Accent4 2 2 2 2 11" xfId="18860" xr:uid="{00000000-0005-0000-0000-00003E170000}"/>
    <cellStyle name="20% - Accent4 2 2 2 2 2" xfId="1538" xr:uid="{00000000-0005-0000-0000-00003F170000}"/>
    <cellStyle name="20% - Accent4 2 2 2 2 2 2" xfId="1539" xr:uid="{00000000-0005-0000-0000-000040170000}"/>
    <cellStyle name="20% - Accent4 2 2 2 2 2 2 2" xfId="10770" xr:uid="{00000000-0005-0000-0000-000041170000}"/>
    <cellStyle name="20% - Accent4 2 2 2 2 2 2 2 2" xfId="24712" xr:uid="{00000000-0005-0000-0000-000042170000}"/>
    <cellStyle name="20% - Accent4 2 2 2 2 2 2 3" xfId="18862" xr:uid="{00000000-0005-0000-0000-000043170000}"/>
    <cellStyle name="20% - Accent4 2 2 2 2 2 3" xfId="1540" xr:uid="{00000000-0005-0000-0000-000044170000}"/>
    <cellStyle name="20% - Accent4 2 2 2 2 2 3 2" xfId="12623" xr:uid="{00000000-0005-0000-0000-000045170000}"/>
    <cellStyle name="20% - Accent4 2 2 2 2 2 3 2 2" xfId="26335" xr:uid="{00000000-0005-0000-0000-000046170000}"/>
    <cellStyle name="20% - Accent4 2 2 2 2 2 3 3" xfId="18863" xr:uid="{00000000-0005-0000-0000-000047170000}"/>
    <cellStyle name="20% - Accent4 2 2 2 2 2 4" xfId="1541" xr:uid="{00000000-0005-0000-0000-000048170000}"/>
    <cellStyle name="20% - Accent4 2 2 2 2 2 4 2" xfId="14867" xr:uid="{00000000-0005-0000-0000-000049170000}"/>
    <cellStyle name="20% - Accent4 2 2 2 2 2 4 2 2" xfId="28416" xr:uid="{00000000-0005-0000-0000-00004A170000}"/>
    <cellStyle name="20% - Accent4 2 2 2 2 2 4 3" xfId="18864" xr:uid="{00000000-0005-0000-0000-00004B170000}"/>
    <cellStyle name="20% - Accent4 2 2 2 2 2 5" xfId="1542" xr:uid="{00000000-0005-0000-0000-00004C170000}"/>
    <cellStyle name="20% - Accent4 2 2 2 2 2 5 2" xfId="16967" xr:uid="{00000000-0005-0000-0000-00004D170000}"/>
    <cellStyle name="20% - Accent4 2 2 2 2 2 5 2 2" xfId="30374" xr:uid="{00000000-0005-0000-0000-00004E170000}"/>
    <cellStyle name="20% - Accent4 2 2 2 2 2 5 3" xfId="18865" xr:uid="{00000000-0005-0000-0000-00004F170000}"/>
    <cellStyle name="20% - Accent4 2 2 2 2 2 6" xfId="9045" xr:uid="{00000000-0005-0000-0000-000050170000}"/>
    <cellStyle name="20% - Accent4 2 2 2 2 2 6 2" xfId="23520" xr:uid="{00000000-0005-0000-0000-000051170000}"/>
    <cellStyle name="20% - Accent4 2 2 2 2 2 7" xfId="18861" xr:uid="{00000000-0005-0000-0000-000052170000}"/>
    <cellStyle name="20% - Accent4 2 2 2 2 3" xfId="1543" xr:uid="{00000000-0005-0000-0000-000053170000}"/>
    <cellStyle name="20% - Accent4 2 2 2 2 3 2" xfId="1544" xr:uid="{00000000-0005-0000-0000-000054170000}"/>
    <cellStyle name="20% - Accent4 2 2 2 2 3 2 2" xfId="14868" xr:uid="{00000000-0005-0000-0000-000055170000}"/>
    <cellStyle name="20% - Accent4 2 2 2 2 3 2 2 2" xfId="28417" xr:uid="{00000000-0005-0000-0000-000056170000}"/>
    <cellStyle name="20% - Accent4 2 2 2 2 3 2 3" xfId="18867" xr:uid="{00000000-0005-0000-0000-000057170000}"/>
    <cellStyle name="20% - Accent4 2 2 2 2 3 3" xfId="10769" xr:uid="{00000000-0005-0000-0000-000058170000}"/>
    <cellStyle name="20% - Accent4 2 2 2 2 3 3 2" xfId="24711" xr:uid="{00000000-0005-0000-0000-000059170000}"/>
    <cellStyle name="20% - Accent4 2 2 2 2 3 4" xfId="18866" xr:uid="{00000000-0005-0000-0000-00005A170000}"/>
    <cellStyle name="20% - Accent4 2 2 2 2 4" xfId="1545" xr:uid="{00000000-0005-0000-0000-00005B170000}"/>
    <cellStyle name="20% - Accent4 2 2 2 2 4 2" xfId="12355" xr:uid="{00000000-0005-0000-0000-00005C170000}"/>
    <cellStyle name="20% - Accent4 2 2 2 2 4 2 2" xfId="26067" xr:uid="{00000000-0005-0000-0000-00005D170000}"/>
    <cellStyle name="20% - Accent4 2 2 2 2 4 3" xfId="18868" xr:uid="{00000000-0005-0000-0000-00005E170000}"/>
    <cellStyle name="20% - Accent4 2 2 2 2 5" xfId="1546" xr:uid="{00000000-0005-0000-0000-00005F170000}"/>
    <cellStyle name="20% - Accent4 2 2 2 2 5 2" xfId="11850" xr:uid="{00000000-0005-0000-0000-000060170000}"/>
    <cellStyle name="20% - Accent4 2 2 2 2 5 2 2" xfId="25565" xr:uid="{00000000-0005-0000-0000-000061170000}"/>
    <cellStyle name="20% - Accent4 2 2 2 2 5 3" xfId="18869" xr:uid="{00000000-0005-0000-0000-000062170000}"/>
    <cellStyle name="20% - Accent4 2 2 2 2 6" xfId="1547" xr:uid="{00000000-0005-0000-0000-000063170000}"/>
    <cellStyle name="20% - Accent4 2 2 2 2 6 2" xfId="13919" xr:uid="{00000000-0005-0000-0000-000064170000}"/>
    <cellStyle name="20% - Accent4 2 2 2 2 6 2 2" xfId="27468" xr:uid="{00000000-0005-0000-0000-000065170000}"/>
    <cellStyle name="20% - Accent4 2 2 2 2 6 3" xfId="18870" xr:uid="{00000000-0005-0000-0000-000066170000}"/>
    <cellStyle name="20% - Accent4 2 2 2 2 7" xfId="1548" xr:uid="{00000000-0005-0000-0000-000067170000}"/>
    <cellStyle name="20% - Accent4 2 2 2 2 7 2" xfId="14500" xr:uid="{00000000-0005-0000-0000-000068170000}"/>
    <cellStyle name="20% - Accent4 2 2 2 2 7 2 2" xfId="28049" xr:uid="{00000000-0005-0000-0000-000069170000}"/>
    <cellStyle name="20% - Accent4 2 2 2 2 7 3" xfId="18871" xr:uid="{00000000-0005-0000-0000-00006A170000}"/>
    <cellStyle name="20% - Accent4 2 2 2 2 8" xfId="1549" xr:uid="{00000000-0005-0000-0000-00006B170000}"/>
    <cellStyle name="20% - Accent4 2 2 2 2 8 2" xfId="14866" xr:uid="{00000000-0005-0000-0000-00006C170000}"/>
    <cellStyle name="20% - Accent4 2 2 2 2 8 2 2" xfId="28415" xr:uid="{00000000-0005-0000-0000-00006D170000}"/>
    <cellStyle name="20% - Accent4 2 2 2 2 8 3" xfId="18872" xr:uid="{00000000-0005-0000-0000-00006E170000}"/>
    <cellStyle name="20% - Accent4 2 2 2 2 9" xfId="1550" xr:uid="{00000000-0005-0000-0000-00006F170000}"/>
    <cellStyle name="20% - Accent4 2 2 2 2 9 2" xfId="16386" xr:uid="{00000000-0005-0000-0000-000070170000}"/>
    <cellStyle name="20% - Accent4 2 2 2 2 9 2 2" xfId="29793" xr:uid="{00000000-0005-0000-0000-000071170000}"/>
    <cellStyle name="20% - Accent4 2 2 2 2 9 3" xfId="18873" xr:uid="{00000000-0005-0000-0000-000072170000}"/>
    <cellStyle name="20% - Accent4 2 2 2 3" xfId="1551" xr:uid="{00000000-0005-0000-0000-000073170000}"/>
    <cellStyle name="20% - Accent4 2 2 2 3 2" xfId="1552" xr:uid="{00000000-0005-0000-0000-000074170000}"/>
    <cellStyle name="20% - Accent4 2 2 2 3 2 2" xfId="10771" xr:uid="{00000000-0005-0000-0000-000075170000}"/>
    <cellStyle name="20% - Accent4 2 2 2 3 2 2 2" xfId="24713" xr:uid="{00000000-0005-0000-0000-000076170000}"/>
    <cellStyle name="20% - Accent4 2 2 2 3 2 3" xfId="18875" xr:uid="{00000000-0005-0000-0000-000077170000}"/>
    <cellStyle name="20% - Accent4 2 2 2 3 3" xfId="1553" xr:uid="{00000000-0005-0000-0000-000078170000}"/>
    <cellStyle name="20% - Accent4 2 2 2 3 3 2" xfId="11754" xr:uid="{00000000-0005-0000-0000-000079170000}"/>
    <cellStyle name="20% - Accent4 2 2 2 3 3 2 2" xfId="25469" xr:uid="{00000000-0005-0000-0000-00007A170000}"/>
    <cellStyle name="20% - Accent4 2 2 2 3 3 3" xfId="18876" xr:uid="{00000000-0005-0000-0000-00007B170000}"/>
    <cellStyle name="20% - Accent4 2 2 2 3 4" xfId="1554" xr:uid="{00000000-0005-0000-0000-00007C170000}"/>
    <cellStyle name="20% - Accent4 2 2 2 3 4 2" xfId="14869" xr:uid="{00000000-0005-0000-0000-00007D170000}"/>
    <cellStyle name="20% - Accent4 2 2 2 3 4 2 2" xfId="28418" xr:uid="{00000000-0005-0000-0000-00007E170000}"/>
    <cellStyle name="20% - Accent4 2 2 2 3 4 3" xfId="18877" xr:uid="{00000000-0005-0000-0000-00007F170000}"/>
    <cellStyle name="20% - Accent4 2 2 2 3 5" xfId="1555" xr:uid="{00000000-0005-0000-0000-000080170000}"/>
    <cellStyle name="20% - Accent4 2 2 2 3 5 2" xfId="16678" xr:uid="{00000000-0005-0000-0000-000081170000}"/>
    <cellStyle name="20% - Accent4 2 2 2 3 5 2 2" xfId="30085" xr:uid="{00000000-0005-0000-0000-000082170000}"/>
    <cellStyle name="20% - Accent4 2 2 2 3 5 3" xfId="18878" xr:uid="{00000000-0005-0000-0000-000083170000}"/>
    <cellStyle name="20% - Accent4 2 2 2 3 6" xfId="9046" xr:uid="{00000000-0005-0000-0000-000084170000}"/>
    <cellStyle name="20% - Accent4 2 2 2 3 6 2" xfId="23521" xr:uid="{00000000-0005-0000-0000-000085170000}"/>
    <cellStyle name="20% - Accent4 2 2 2 3 7" xfId="18874" xr:uid="{00000000-0005-0000-0000-000086170000}"/>
    <cellStyle name="20% - Accent4 2 2 2 4" xfId="1556" xr:uid="{00000000-0005-0000-0000-000087170000}"/>
    <cellStyle name="20% - Accent4 2 2 2 4 2" xfId="1557" xr:uid="{00000000-0005-0000-0000-000088170000}"/>
    <cellStyle name="20% - Accent4 2 2 2 4 2 2" xfId="14870" xr:uid="{00000000-0005-0000-0000-000089170000}"/>
    <cellStyle name="20% - Accent4 2 2 2 4 2 2 2" xfId="28419" xr:uid="{00000000-0005-0000-0000-00008A170000}"/>
    <cellStyle name="20% - Accent4 2 2 2 4 2 3" xfId="18880" xr:uid="{00000000-0005-0000-0000-00008B170000}"/>
    <cellStyle name="20% - Accent4 2 2 2 4 3" xfId="10768" xr:uid="{00000000-0005-0000-0000-00008C170000}"/>
    <cellStyle name="20% - Accent4 2 2 2 4 3 2" xfId="24710" xr:uid="{00000000-0005-0000-0000-00008D170000}"/>
    <cellStyle name="20% - Accent4 2 2 2 4 4" xfId="18879" xr:uid="{00000000-0005-0000-0000-00008E170000}"/>
    <cellStyle name="20% - Accent4 2 2 2 5" xfId="1558" xr:uid="{00000000-0005-0000-0000-00008F170000}"/>
    <cellStyle name="20% - Accent4 2 2 2 5 2" xfId="12055" xr:uid="{00000000-0005-0000-0000-000090170000}"/>
    <cellStyle name="20% - Accent4 2 2 2 5 2 2" xfId="25770" xr:uid="{00000000-0005-0000-0000-000091170000}"/>
    <cellStyle name="20% - Accent4 2 2 2 5 3" xfId="18881" xr:uid="{00000000-0005-0000-0000-000092170000}"/>
    <cellStyle name="20% - Accent4 2 2 2 6" xfId="1559" xr:uid="{00000000-0005-0000-0000-000093170000}"/>
    <cellStyle name="20% - Accent4 2 2 2 6 2" xfId="12488" xr:uid="{00000000-0005-0000-0000-000094170000}"/>
    <cellStyle name="20% - Accent4 2 2 2 6 2 2" xfId="26200" xr:uid="{00000000-0005-0000-0000-000095170000}"/>
    <cellStyle name="20% - Accent4 2 2 2 6 3" xfId="18882" xr:uid="{00000000-0005-0000-0000-000096170000}"/>
    <cellStyle name="20% - Accent4 2 2 2 7" xfId="1560" xr:uid="{00000000-0005-0000-0000-000097170000}"/>
    <cellStyle name="20% - Accent4 2 2 2 7 2" xfId="13630" xr:uid="{00000000-0005-0000-0000-000098170000}"/>
    <cellStyle name="20% - Accent4 2 2 2 7 2 2" xfId="27179" xr:uid="{00000000-0005-0000-0000-000099170000}"/>
    <cellStyle name="20% - Accent4 2 2 2 7 3" xfId="18883" xr:uid="{00000000-0005-0000-0000-00009A170000}"/>
    <cellStyle name="20% - Accent4 2 2 2 8" xfId="1561" xr:uid="{00000000-0005-0000-0000-00009B170000}"/>
    <cellStyle name="20% - Accent4 2 2 2 8 2" xfId="14211" xr:uid="{00000000-0005-0000-0000-00009C170000}"/>
    <cellStyle name="20% - Accent4 2 2 2 8 2 2" xfId="27760" xr:uid="{00000000-0005-0000-0000-00009D170000}"/>
    <cellStyle name="20% - Accent4 2 2 2 8 3" xfId="18884" xr:uid="{00000000-0005-0000-0000-00009E170000}"/>
    <cellStyle name="20% - Accent4 2 2 2 9" xfId="1562" xr:uid="{00000000-0005-0000-0000-00009F170000}"/>
    <cellStyle name="20% - Accent4 2 2 2 9 2" xfId="14865" xr:uid="{00000000-0005-0000-0000-0000A0170000}"/>
    <cellStyle name="20% - Accent4 2 2 2 9 2 2" xfId="28414" xr:uid="{00000000-0005-0000-0000-0000A1170000}"/>
    <cellStyle name="20% - Accent4 2 2 2 9 3" xfId="18885" xr:uid="{00000000-0005-0000-0000-0000A2170000}"/>
    <cellStyle name="20% - Accent4 2 2 3" xfId="1563" xr:uid="{00000000-0005-0000-0000-0000A3170000}"/>
    <cellStyle name="20% - Accent4 2 2 3 10" xfId="9047" xr:uid="{00000000-0005-0000-0000-0000A4170000}"/>
    <cellStyle name="20% - Accent4 2 2 3 10 2" xfId="23522" xr:uid="{00000000-0005-0000-0000-0000A5170000}"/>
    <cellStyle name="20% - Accent4 2 2 3 11" xfId="18886" xr:uid="{00000000-0005-0000-0000-0000A6170000}"/>
    <cellStyle name="20% - Accent4 2 2 3 2" xfId="1564" xr:uid="{00000000-0005-0000-0000-0000A7170000}"/>
    <cellStyle name="20% - Accent4 2 2 3 2 2" xfId="1565" xr:uid="{00000000-0005-0000-0000-0000A8170000}"/>
    <cellStyle name="20% - Accent4 2 2 3 2 2 2" xfId="10773" xr:uid="{00000000-0005-0000-0000-0000A9170000}"/>
    <cellStyle name="20% - Accent4 2 2 3 2 2 2 2" xfId="24715" xr:uid="{00000000-0005-0000-0000-0000AA170000}"/>
    <cellStyle name="20% - Accent4 2 2 3 2 2 3" xfId="18888" xr:uid="{00000000-0005-0000-0000-0000AB170000}"/>
    <cellStyle name="20% - Accent4 2 2 3 2 3" xfId="1566" xr:uid="{00000000-0005-0000-0000-0000AC170000}"/>
    <cellStyle name="20% - Accent4 2 2 3 2 3 2" xfId="11775" xr:uid="{00000000-0005-0000-0000-0000AD170000}"/>
    <cellStyle name="20% - Accent4 2 2 3 2 3 2 2" xfId="25490" xr:uid="{00000000-0005-0000-0000-0000AE170000}"/>
    <cellStyle name="20% - Accent4 2 2 3 2 3 3" xfId="18889" xr:uid="{00000000-0005-0000-0000-0000AF170000}"/>
    <cellStyle name="20% - Accent4 2 2 3 2 4" xfId="1567" xr:uid="{00000000-0005-0000-0000-0000B0170000}"/>
    <cellStyle name="20% - Accent4 2 2 3 2 4 2" xfId="14872" xr:uid="{00000000-0005-0000-0000-0000B1170000}"/>
    <cellStyle name="20% - Accent4 2 2 3 2 4 2 2" xfId="28421" xr:uid="{00000000-0005-0000-0000-0000B2170000}"/>
    <cellStyle name="20% - Accent4 2 2 3 2 4 3" xfId="18890" xr:uid="{00000000-0005-0000-0000-0000B3170000}"/>
    <cellStyle name="20% - Accent4 2 2 3 2 5" xfId="1568" xr:uid="{00000000-0005-0000-0000-0000B4170000}"/>
    <cellStyle name="20% - Accent4 2 2 3 2 5 2" xfId="16824" xr:uid="{00000000-0005-0000-0000-0000B5170000}"/>
    <cellStyle name="20% - Accent4 2 2 3 2 5 2 2" xfId="30231" xr:uid="{00000000-0005-0000-0000-0000B6170000}"/>
    <cellStyle name="20% - Accent4 2 2 3 2 5 3" xfId="18891" xr:uid="{00000000-0005-0000-0000-0000B7170000}"/>
    <cellStyle name="20% - Accent4 2 2 3 2 6" xfId="9048" xr:uid="{00000000-0005-0000-0000-0000B8170000}"/>
    <cellStyle name="20% - Accent4 2 2 3 2 6 2" xfId="23523" xr:uid="{00000000-0005-0000-0000-0000B9170000}"/>
    <cellStyle name="20% - Accent4 2 2 3 2 7" xfId="18887" xr:uid="{00000000-0005-0000-0000-0000BA170000}"/>
    <cellStyle name="20% - Accent4 2 2 3 3" xfId="1569" xr:uid="{00000000-0005-0000-0000-0000BB170000}"/>
    <cellStyle name="20% - Accent4 2 2 3 3 2" xfId="1570" xr:uid="{00000000-0005-0000-0000-0000BC170000}"/>
    <cellStyle name="20% - Accent4 2 2 3 3 2 2" xfId="14873" xr:uid="{00000000-0005-0000-0000-0000BD170000}"/>
    <cellStyle name="20% - Accent4 2 2 3 3 2 2 2" xfId="28422" xr:uid="{00000000-0005-0000-0000-0000BE170000}"/>
    <cellStyle name="20% - Accent4 2 2 3 3 2 3" xfId="18893" xr:uid="{00000000-0005-0000-0000-0000BF170000}"/>
    <cellStyle name="20% - Accent4 2 2 3 3 3" xfId="10772" xr:uid="{00000000-0005-0000-0000-0000C0170000}"/>
    <cellStyle name="20% - Accent4 2 2 3 3 3 2" xfId="24714" xr:uid="{00000000-0005-0000-0000-0000C1170000}"/>
    <cellStyle name="20% - Accent4 2 2 3 3 4" xfId="18892" xr:uid="{00000000-0005-0000-0000-0000C2170000}"/>
    <cellStyle name="20% - Accent4 2 2 3 4" xfId="1571" xr:uid="{00000000-0005-0000-0000-0000C3170000}"/>
    <cellStyle name="20% - Accent4 2 2 3 4 2" xfId="12212" xr:uid="{00000000-0005-0000-0000-0000C4170000}"/>
    <cellStyle name="20% - Accent4 2 2 3 4 2 2" xfId="25924" xr:uid="{00000000-0005-0000-0000-0000C5170000}"/>
    <cellStyle name="20% - Accent4 2 2 3 4 3" xfId="18894" xr:uid="{00000000-0005-0000-0000-0000C6170000}"/>
    <cellStyle name="20% - Accent4 2 2 3 5" xfId="1572" xr:uid="{00000000-0005-0000-0000-0000C7170000}"/>
    <cellStyle name="20% - Accent4 2 2 3 5 2" xfId="12535" xr:uid="{00000000-0005-0000-0000-0000C8170000}"/>
    <cellStyle name="20% - Accent4 2 2 3 5 2 2" xfId="26247" xr:uid="{00000000-0005-0000-0000-0000C9170000}"/>
    <cellStyle name="20% - Accent4 2 2 3 5 3" xfId="18895" xr:uid="{00000000-0005-0000-0000-0000CA170000}"/>
    <cellStyle name="20% - Accent4 2 2 3 6" xfId="1573" xr:uid="{00000000-0005-0000-0000-0000CB170000}"/>
    <cellStyle name="20% - Accent4 2 2 3 6 2" xfId="13776" xr:uid="{00000000-0005-0000-0000-0000CC170000}"/>
    <cellStyle name="20% - Accent4 2 2 3 6 2 2" xfId="27325" xr:uid="{00000000-0005-0000-0000-0000CD170000}"/>
    <cellStyle name="20% - Accent4 2 2 3 6 3" xfId="18896" xr:uid="{00000000-0005-0000-0000-0000CE170000}"/>
    <cellStyle name="20% - Accent4 2 2 3 7" xfId="1574" xr:uid="{00000000-0005-0000-0000-0000CF170000}"/>
    <cellStyle name="20% - Accent4 2 2 3 7 2" xfId="14357" xr:uid="{00000000-0005-0000-0000-0000D0170000}"/>
    <cellStyle name="20% - Accent4 2 2 3 7 2 2" xfId="27906" xr:uid="{00000000-0005-0000-0000-0000D1170000}"/>
    <cellStyle name="20% - Accent4 2 2 3 7 3" xfId="18897" xr:uid="{00000000-0005-0000-0000-0000D2170000}"/>
    <cellStyle name="20% - Accent4 2 2 3 8" xfId="1575" xr:uid="{00000000-0005-0000-0000-0000D3170000}"/>
    <cellStyle name="20% - Accent4 2 2 3 8 2" xfId="14871" xr:uid="{00000000-0005-0000-0000-0000D4170000}"/>
    <cellStyle name="20% - Accent4 2 2 3 8 2 2" xfId="28420" xr:uid="{00000000-0005-0000-0000-0000D5170000}"/>
    <cellStyle name="20% - Accent4 2 2 3 8 3" xfId="18898" xr:uid="{00000000-0005-0000-0000-0000D6170000}"/>
    <cellStyle name="20% - Accent4 2 2 3 9" xfId="1576" xr:uid="{00000000-0005-0000-0000-0000D7170000}"/>
    <cellStyle name="20% - Accent4 2 2 3 9 2" xfId="16243" xr:uid="{00000000-0005-0000-0000-0000D8170000}"/>
    <cellStyle name="20% - Accent4 2 2 3 9 2 2" xfId="29650" xr:uid="{00000000-0005-0000-0000-0000D9170000}"/>
    <cellStyle name="20% - Accent4 2 2 3 9 3" xfId="18899" xr:uid="{00000000-0005-0000-0000-0000DA170000}"/>
    <cellStyle name="20% - Accent4 2 2 4" xfId="1577" xr:uid="{00000000-0005-0000-0000-0000DB170000}"/>
    <cellStyle name="20% - Accent4 2 2 4 2" xfId="1578" xr:uid="{00000000-0005-0000-0000-0000DC170000}"/>
    <cellStyle name="20% - Accent4 2 2 4 2 2" xfId="10774" xr:uid="{00000000-0005-0000-0000-0000DD170000}"/>
    <cellStyle name="20% - Accent4 2 2 4 2 2 2" xfId="24716" xr:uid="{00000000-0005-0000-0000-0000DE170000}"/>
    <cellStyle name="20% - Accent4 2 2 4 2 3" xfId="18901" xr:uid="{00000000-0005-0000-0000-0000DF170000}"/>
    <cellStyle name="20% - Accent4 2 2 4 3" xfId="1579" xr:uid="{00000000-0005-0000-0000-0000E0170000}"/>
    <cellStyle name="20% - Accent4 2 2 4 3 2" xfId="12747" xr:uid="{00000000-0005-0000-0000-0000E1170000}"/>
    <cellStyle name="20% - Accent4 2 2 4 3 2 2" xfId="26459" xr:uid="{00000000-0005-0000-0000-0000E2170000}"/>
    <cellStyle name="20% - Accent4 2 2 4 3 3" xfId="18902" xr:uid="{00000000-0005-0000-0000-0000E3170000}"/>
    <cellStyle name="20% - Accent4 2 2 4 4" xfId="1580" xr:uid="{00000000-0005-0000-0000-0000E4170000}"/>
    <cellStyle name="20% - Accent4 2 2 4 4 2" xfId="14874" xr:uid="{00000000-0005-0000-0000-0000E5170000}"/>
    <cellStyle name="20% - Accent4 2 2 4 4 2 2" xfId="28423" xr:uid="{00000000-0005-0000-0000-0000E6170000}"/>
    <cellStyle name="20% - Accent4 2 2 4 4 3" xfId="18903" xr:uid="{00000000-0005-0000-0000-0000E7170000}"/>
    <cellStyle name="20% - Accent4 2 2 4 5" xfId="1581" xr:uid="{00000000-0005-0000-0000-0000E8170000}"/>
    <cellStyle name="20% - Accent4 2 2 4 5 2" xfId="17171" xr:uid="{00000000-0005-0000-0000-0000E9170000}"/>
    <cellStyle name="20% - Accent4 2 2 4 5 2 2" xfId="30530" xr:uid="{00000000-0005-0000-0000-0000EA170000}"/>
    <cellStyle name="20% - Accent4 2 2 4 5 3" xfId="18904" xr:uid="{00000000-0005-0000-0000-0000EB170000}"/>
    <cellStyle name="20% - Accent4 2 2 4 6" xfId="9049" xr:uid="{00000000-0005-0000-0000-0000EC170000}"/>
    <cellStyle name="20% - Accent4 2 2 4 6 2" xfId="23524" xr:uid="{00000000-0005-0000-0000-0000ED170000}"/>
    <cellStyle name="20% - Accent4 2 2 4 7" xfId="18900" xr:uid="{00000000-0005-0000-0000-0000EE170000}"/>
    <cellStyle name="20% - Accent4 2 2 5" xfId="1582" xr:uid="{00000000-0005-0000-0000-0000EF170000}"/>
    <cellStyle name="20% - Accent4 2 2 5 2" xfId="1583" xr:uid="{00000000-0005-0000-0000-0000F0170000}"/>
    <cellStyle name="20% - Accent4 2 2 5 2 2" xfId="14875" xr:uid="{00000000-0005-0000-0000-0000F1170000}"/>
    <cellStyle name="20% - Accent4 2 2 5 2 2 2" xfId="28424" xr:uid="{00000000-0005-0000-0000-0000F2170000}"/>
    <cellStyle name="20% - Accent4 2 2 5 2 3" xfId="18906" xr:uid="{00000000-0005-0000-0000-0000F3170000}"/>
    <cellStyle name="20% - Accent4 2 2 5 3" xfId="1584" xr:uid="{00000000-0005-0000-0000-0000F4170000}"/>
    <cellStyle name="20% - Accent4 2 2 5 3 2" xfId="17260" xr:uid="{00000000-0005-0000-0000-0000F5170000}"/>
    <cellStyle name="20% - Accent4 2 2 5 3 2 2" xfId="30619" xr:uid="{00000000-0005-0000-0000-0000F6170000}"/>
    <cellStyle name="20% - Accent4 2 2 5 3 3" xfId="18907" xr:uid="{00000000-0005-0000-0000-0000F7170000}"/>
    <cellStyle name="20% - Accent4 2 2 5 4" xfId="10767" xr:uid="{00000000-0005-0000-0000-0000F8170000}"/>
    <cellStyle name="20% - Accent4 2 2 5 4 2" xfId="24709" xr:uid="{00000000-0005-0000-0000-0000F9170000}"/>
    <cellStyle name="20% - Accent4 2 2 5 5" xfId="18905" xr:uid="{00000000-0005-0000-0000-0000FA170000}"/>
    <cellStyle name="20% - Accent4 2 2 6" xfId="1585" xr:uid="{00000000-0005-0000-0000-0000FB170000}"/>
    <cellStyle name="20% - Accent4 2 2 6 2" xfId="1586" xr:uid="{00000000-0005-0000-0000-0000FC170000}"/>
    <cellStyle name="20% - Accent4 2 2 6 2 2" xfId="16535" xr:uid="{00000000-0005-0000-0000-0000FD170000}"/>
    <cellStyle name="20% - Accent4 2 2 6 2 2 2" xfId="29942" xr:uid="{00000000-0005-0000-0000-0000FE170000}"/>
    <cellStyle name="20% - Accent4 2 2 6 2 3" xfId="18909" xr:uid="{00000000-0005-0000-0000-0000FF170000}"/>
    <cellStyle name="20% - Accent4 2 2 6 3" xfId="11910" xr:uid="{00000000-0005-0000-0000-000000180000}"/>
    <cellStyle name="20% - Accent4 2 2 6 3 2" xfId="25625" xr:uid="{00000000-0005-0000-0000-000001180000}"/>
    <cellStyle name="20% - Accent4 2 2 6 4" xfId="18908" xr:uid="{00000000-0005-0000-0000-000002180000}"/>
    <cellStyle name="20% - Accent4 2 2 7" xfId="1587" xr:uid="{00000000-0005-0000-0000-000003180000}"/>
    <cellStyle name="20% - Accent4 2 2 7 2" xfId="12397" xr:uid="{00000000-0005-0000-0000-000004180000}"/>
    <cellStyle name="20% - Accent4 2 2 7 2 2" xfId="26109" xr:uid="{00000000-0005-0000-0000-000005180000}"/>
    <cellStyle name="20% - Accent4 2 2 7 3" xfId="18910" xr:uid="{00000000-0005-0000-0000-000006180000}"/>
    <cellStyle name="20% - Accent4 2 2 8" xfId="1588" xr:uid="{00000000-0005-0000-0000-000007180000}"/>
    <cellStyle name="20% - Accent4 2 2 8 2" xfId="13487" xr:uid="{00000000-0005-0000-0000-000008180000}"/>
    <cellStyle name="20% - Accent4 2 2 8 2 2" xfId="27036" xr:uid="{00000000-0005-0000-0000-000009180000}"/>
    <cellStyle name="20% - Accent4 2 2 8 3" xfId="18911" xr:uid="{00000000-0005-0000-0000-00000A180000}"/>
    <cellStyle name="20% - Accent4 2 2 9" xfId="1589" xr:uid="{00000000-0005-0000-0000-00000B180000}"/>
    <cellStyle name="20% - Accent4 2 2 9 2" xfId="14068" xr:uid="{00000000-0005-0000-0000-00000C180000}"/>
    <cellStyle name="20% - Accent4 2 2 9 2 2" xfId="27617" xr:uid="{00000000-0005-0000-0000-00000D180000}"/>
    <cellStyle name="20% - Accent4 2 2 9 3" xfId="18912" xr:uid="{00000000-0005-0000-0000-00000E180000}"/>
    <cellStyle name="20% - Accent4 2 3" xfId="1590" xr:uid="{00000000-0005-0000-0000-00000F180000}"/>
    <cellStyle name="20% - Accent4 2 3 10" xfId="1591" xr:uid="{00000000-0005-0000-0000-000010180000}"/>
    <cellStyle name="20% - Accent4 2 3 10 2" xfId="16051" xr:uid="{00000000-0005-0000-0000-000011180000}"/>
    <cellStyle name="20% - Accent4 2 3 10 2 2" xfId="29458" xr:uid="{00000000-0005-0000-0000-000012180000}"/>
    <cellStyle name="20% - Accent4 2 3 10 3" xfId="18914" xr:uid="{00000000-0005-0000-0000-000013180000}"/>
    <cellStyle name="20% - Accent4 2 3 11" xfId="9050" xr:uid="{00000000-0005-0000-0000-000014180000}"/>
    <cellStyle name="20% - Accent4 2 3 11 2" xfId="23525" xr:uid="{00000000-0005-0000-0000-000015180000}"/>
    <cellStyle name="20% - Accent4 2 3 12" xfId="18913" xr:uid="{00000000-0005-0000-0000-000016180000}"/>
    <cellStyle name="20% - Accent4 2 3 2" xfId="1592" xr:uid="{00000000-0005-0000-0000-000017180000}"/>
    <cellStyle name="20% - Accent4 2 3 2 10" xfId="9051" xr:uid="{00000000-0005-0000-0000-000018180000}"/>
    <cellStyle name="20% - Accent4 2 3 2 10 2" xfId="23526" xr:uid="{00000000-0005-0000-0000-000019180000}"/>
    <cellStyle name="20% - Accent4 2 3 2 11" xfId="18915" xr:uid="{00000000-0005-0000-0000-00001A180000}"/>
    <cellStyle name="20% - Accent4 2 3 2 2" xfId="1593" xr:uid="{00000000-0005-0000-0000-00001B180000}"/>
    <cellStyle name="20% - Accent4 2 3 2 2 2" xfId="1594" xr:uid="{00000000-0005-0000-0000-00001C180000}"/>
    <cellStyle name="20% - Accent4 2 3 2 2 2 2" xfId="10777" xr:uid="{00000000-0005-0000-0000-00001D180000}"/>
    <cellStyle name="20% - Accent4 2 3 2 2 2 2 2" xfId="24719" xr:uid="{00000000-0005-0000-0000-00001E180000}"/>
    <cellStyle name="20% - Accent4 2 3 2 2 2 3" xfId="18917" xr:uid="{00000000-0005-0000-0000-00001F180000}"/>
    <cellStyle name="20% - Accent4 2 3 2 2 3" xfId="1595" xr:uid="{00000000-0005-0000-0000-000020180000}"/>
    <cellStyle name="20% - Accent4 2 3 2 2 3 2" xfId="11769" xr:uid="{00000000-0005-0000-0000-000021180000}"/>
    <cellStyle name="20% - Accent4 2 3 2 2 3 2 2" xfId="25484" xr:uid="{00000000-0005-0000-0000-000022180000}"/>
    <cellStyle name="20% - Accent4 2 3 2 2 3 3" xfId="18918" xr:uid="{00000000-0005-0000-0000-000023180000}"/>
    <cellStyle name="20% - Accent4 2 3 2 2 4" xfId="1596" xr:uid="{00000000-0005-0000-0000-000024180000}"/>
    <cellStyle name="20% - Accent4 2 3 2 2 4 2" xfId="14878" xr:uid="{00000000-0005-0000-0000-000025180000}"/>
    <cellStyle name="20% - Accent4 2 3 2 2 4 2 2" xfId="28427" xr:uid="{00000000-0005-0000-0000-000026180000}"/>
    <cellStyle name="20% - Accent4 2 3 2 2 4 3" xfId="18919" xr:uid="{00000000-0005-0000-0000-000027180000}"/>
    <cellStyle name="20% - Accent4 2 3 2 2 5" xfId="1597" xr:uid="{00000000-0005-0000-0000-000028180000}"/>
    <cellStyle name="20% - Accent4 2 3 2 2 5 2" xfId="16921" xr:uid="{00000000-0005-0000-0000-000029180000}"/>
    <cellStyle name="20% - Accent4 2 3 2 2 5 2 2" xfId="30328" xr:uid="{00000000-0005-0000-0000-00002A180000}"/>
    <cellStyle name="20% - Accent4 2 3 2 2 5 3" xfId="18920" xr:uid="{00000000-0005-0000-0000-00002B180000}"/>
    <cellStyle name="20% - Accent4 2 3 2 2 6" xfId="9052" xr:uid="{00000000-0005-0000-0000-00002C180000}"/>
    <cellStyle name="20% - Accent4 2 3 2 2 6 2" xfId="23527" xr:uid="{00000000-0005-0000-0000-00002D180000}"/>
    <cellStyle name="20% - Accent4 2 3 2 2 7" xfId="18916" xr:uid="{00000000-0005-0000-0000-00002E180000}"/>
    <cellStyle name="20% - Accent4 2 3 2 3" xfId="1598" xr:uid="{00000000-0005-0000-0000-00002F180000}"/>
    <cellStyle name="20% - Accent4 2 3 2 3 2" xfId="1599" xr:uid="{00000000-0005-0000-0000-000030180000}"/>
    <cellStyle name="20% - Accent4 2 3 2 3 2 2" xfId="14879" xr:uid="{00000000-0005-0000-0000-000031180000}"/>
    <cellStyle name="20% - Accent4 2 3 2 3 2 2 2" xfId="28428" xr:uid="{00000000-0005-0000-0000-000032180000}"/>
    <cellStyle name="20% - Accent4 2 3 2 3 2 3" xfId="18922" xr:uid="{00000000-0005-0000-0000-000033180000}"/>
    <cellStyle name="20% - Accent4 2 3 2 3 3" xfId="10776" xr:uid="{00000000-0005-0000-0000-000034180000}"/>
    <cellStyle name="20% - Accent4 2 3 2 3 3 2" xfId="24718" xr:uid="{00000000-0005-0000-0000-000035180000}"/>
    <cellStyle name="20% - Accent4 2 3 2 3 4" xfId="18921" xr:uid="{00000000-0005-0000-0000-000036180000}"/>
    <cellStyle name="20% - Accent4 2 3 2 4" xfId="1600" xr:uid="{00000000-0005-0000-0000-000037180000}"/>
    <cellStyle name="20% - Accent4 2 3 2 4 2" xfId="12309" xr:uid="{00000000-0005-0000-0000-000038180000}"/>
    <cellStyle name="20% - Accent4 2 3 2 4 2 2" xfId="26021" xr:uid="{00000000-0005-0000-0000-000039180000}"/>
    <cellStyle name="20% - Accent4 2 3 2 4 3" xfId="18923" xr:uid="{00000000-0005-0000-0000-00003A180000}"/>
    <cellStyle name="20% - Accent4 2 3 2 5" xfId="1601" xr:uid="{00000000-0005-0000-0000-00003B180000}"/>
    <cellStyle name="20% - Accent4 2 3 2 5 2" xfId="12603" xr:uid="{00000000-0005-0000-0000-00003C180000}"/>
    <cellStyle name="20% - Accent4 2 3 2 5 2 2" xfId="26315" xr:uid="{00000000-0005-0000-0000-00003D180000}"/>
    <cellStyle name="20% - Accent4 2 3 2 5 3" xfId="18924" xr:uid="{00000000-0005-0000-0000-00003E180000}"/>
    <cellStyle name="20% - Accent4 2 3 2 6" xfId="1602" xr:uid="{00000000-0005-0000-0000-00003F180000}"/>
    <cellStyle name="20% - Accent4 2 3 2 6 2" xfId="13873" xr:uid="{00000000-0005-0000-0000-000040180000}"/>
    <cellStyle name="20% - Accent4 2 3 2 6 2 2" xfId="27422" xr:uid="{00000000-0005-0000-0000-000041180000}"/>
    <cellStyle name="20% - Accent4 2 3 2 6 3" xfId="18925" xr:uid="{00000000-0005-0000-0000-000042180000}"/>
    <cellStyle name="20% - Accent4 2 3 2 7" xfId="1603" xr:uid="{00000000-0005-0000-0000-000043180000}"/>
    <cellStyle name="20% - Accent4 2 3 2 7 2" xfId="14454" xr:uid="{00000000-0005-0000-0000-000044180000}"/>
    <cellStyle name="20% - Accent4 2 3 2 7 2 2" xfId="28003" xr:uid="{00000000-0005-0000-0000-000045180000}"/>
    <cellStyle name="20% - Accent4 2 3 2 7 3" xfId="18926" xr:uid="{00000000-0005-0000-0000-000046180000}"/>
    <cellStyle name="20% - Accent4 2 3 2 8" xfId="1604" xr:uid="{00000000-0005-0000-0000-000047180000}"/>
    <cellStyle name="20% - Accent4 2 3 2 8 2" xfId="14877" xr:uid="{00000000-0005-0000-0000-000048180000}"/>
    <cellStyle name="20% - Accent4 2 3 2 8 2 2" xfId="28426" xr:uid="{00000000-0005-0000-0000-000049180000}"/>
    <cellStyle name="20% - Accent4 2 3 2 8 3" xfId="18927" xr:uid="{00000000-0005-0000-0000-00004A180000}"/>
    <cellStyle name="20% - Accent4 2 3 2 9" xfId="1605" xr:uid="{00000000-0005-0000-0000-00004B180000}"/>
    <cellStyle name="20% - Accent4 2 3 2 9 2" xfId="16340" xr:uid="{00000000-0005-0000-0000-00004C180000}"/>
    <cellStyle name="20% - Accent4 2 3 2 9 2 2" xfId="29747" xr:uid="{00000000-0005-0000-0000-00004D180000}"/>
    <cellStyle name="20% - Accent4 2 3 2 9 3" xfId="18928" xr:uid="{00000000-0005-0000-0000-00004E180000}"/>
    <cellStyle name="20% - Accent4 2 3 3" xfId="1606" xr:uid="{00000000-0005-0000-0000-00004F180000}"/>
    <cellStyle name="20% - Accent4 2 3 3 2" xfId="1607" xr:uid="{00000000-0005-0000-0000-000050180000}"/>
    <cellStyle name="20% - Accent4 2 3 3 2 2" xfId="10778" xr:uid="{00000000-0005-0000-0000-000051180000}"/>
    <cellStyle name="20% - Accent4 2 3 3 2 2 2" xfId="24720" xr:uid="{00000000-0005-0000-0000-000052180000}"/>
    <cellStyle name="20% - Accent4 2 3 3 2 3" xfId="18930" xr:uid="{00000000-0005-0000-0000-000053180000}"/>
    <cellStyle name="20% - Accent4 2 3 3 3" xfId="1608" xr:uid="{00000000-0005-0000-0000-000054180000}"/>
    <cellStyle name="20% - Accent4 2 3 3 3 2" xfId="12502" xr:uid="{00000000-0005-0000-0000-000055180000}"/>
    <cellStyle name="20% - Accent4 2 3 3 3 2 2" xfId="26214" xr:uid="{00000000-0005-0000-0000-000056180000}"/>
    <cellStyle name="20% - Accent4 2 3 3 3 3" xfId="18931" xr:uid="{00000000-0005-0000-0000-000057180000}"/>
    <cellStyle name="20% - Accent4 2 3 3 4" xfId="1609" xr:uid="{00000000-0005-0000-0000-000058180000}"/>
    <cellStyle name="20% - Accent4 2 3 3 4 2" xfId="14880" xr:uid="{00000000-0005-0000-0000-000059180000}"/>
    <cellStyle name="20% - Accent4 2 3 3 4 2 2" xfId="28429" xr:uid="{00000000-0005-0000-0000-00005A180000}"/>
    <cellStyle name="20% - Accent4 2 3 3 4 3" xfId="18932" xr:uid="{00000000-0005-0000-0000-00005B180000}"/>
    <cellStyle name="20% - Accent4 2 3 3 5" xfId="1610" xr:uid="{00000000-0005-0000-0000-00005C180000}"/>
    <cellStyle name="20% - Accent4 2 3 3 5 2" xfId="16632" xr:uid="{00000000-0005-0000-0000-00005D180000}"/>
    <cellStyle name="20% - Accent4 2 3 3 5 2 2" xfId="30039" xr:uid="{00000000-0005-0000-0000-00005E180000}"/>
    <cellStyle name="20% - Accent4 2 3 3 5 3" xfId="18933" xr:uid="{00000000-0005-0000-0000-00005F180000}"/>
    <cellStyle name="20% - Accent4 2 3 3 6" xfId="9053" xr:uid="{00000000-0005-0000-0000-000060180000}"/>
    <cellStyle name="20% - Accent4 2 3 3 6 2" xfId="23528" xr:uid="{00000000-0005-0000-0000-000061180000}"/>
    <cellStyle name="20% - Accent4 2 3 3 7" xfId="18929" xr:uid="{00000000-0005-0000-0000-000062180000}"/>
    <cellStyle name="20% - Accent4 2 3 4" xfId="1611" xr:uid="{00000000-0005-0000-0000-000063180000}"/>
    <cellStyle name="20% - Accent4 2 3 4 2" xfId="1612" xr:uid="{00000000-0005-0000-0000-000064180000}"/>
    <cellStyle name="20% - Accent4 2 3 4 2 2" xfId="14881" xr:uid="{00000000-0005-0000-0000-000065180000}"/>
    <cellStyle name="20% - Accent4 2 3 4 2 2 2" xfId="28430" xr:uid="{00000000-0005-0000-0000-000066180000}"/>
    <cellStyle name="20% - Accent4 2 3 4 2 3" xfId="18935" xr:uid="{00000000-0005-0000-0000-000067180000}"/>
    <cellStyle name="20% - Accent4 2 3 4 3" xfId="10775" xr:uid="{00000000-0005-0000-0000-000068180000}"/>
    <cellStyle name="20% - Accent4 2 3 4 3 2" xfId="24717" xr:uid="{00000000-0005-0000-0000-000069180000}"/>
    <cellStyle name="20% - Accent4 2 3 4 4" xfId="18934" xr:uid="{00000000-0005-0000-0000-00006A180000}"/>
    <cellStyle name="20% - Accent4 2 3 5" xfId="1613" xr:uid="{00000000-0005-0000-0000-00006B180000}"/>
    <cellStyle name="20% - Accent4 2 3 5 2" xfId="12009" xr:uid="{00000000-0005-0000-0000-00006C180000}"/>
    <cellStyle name="20% - Accent4 2 3 5 2 2" xfId="25724" xr:uid="{00000000-0005-0000-0000-00006D180000}"/>
    <cellStyle name="20% - Accent4 2 3 5 3" xfId="18936" xr:uid="{00000000-0005-0000-0000-00006E180000}"/>
    <cellStyle name="20% - Accent4 2 3 6" xfId="1614" xr:uid="{00000000-0005-0000-0000-00006F180000}"/>
    <cellStyle name="20% - Accent4 2 3 6 2" xfId="12748" xr:uid="{00000000-0005-0000-0000-000070180000}"/>
    <cellStyle name="20% - Accent4 2 3 6 2 2" xfId="26460" xr:uid="{00000000-0005-0000-0000-000071180000}"/>
    <cellStyle name="20% - Accent4 2 3 6 3" xfId="18937" xr:uid="{00000000-0005-0000-0000-000072180000}"/>
    <cellStyle name="20% - Accent4 2 3 7" xfId="1615" xr:uid="{00000000-0005-0000-0000-000073180000}"/>
    <cellStyle name="20% - Accent4 2 3 7 2" xfId="13584" xr:uid="{00000000-0005-0000-0000-000074180000}"/>
    <cellStyle name="20% - Accent4 2 3 7 2 2" xfId="27133" xr:uid="{00000000-0005-0000-0000-000075180000}"/>
    <cellStyle name="20% - Accent4 2 3 7 3" xfId="18938" xr:uid="{00000000-0005-0000-0000-000076180000}"/>
    <cellStyle name="20% - Accent4 2 3 8" xfId="1616" xr:uid="{00000000-0005-0000-0000-000077180000}"/>
    <cellStyle name="20% - Accent4 2 3 8 2" xfId="14165" xr:uid="{00000000-0005-0000-0000-000078180000}"/>
    <cellStyle name="20% - Accent4 2 3 8 2 2" xfId="27714" xr:uid="{00000000-0005-0000-0000-000079180000}"/>
    <cellStyle name="20% - Accent4 2 3 8 3" xfId="18939" xr:uid="{00000000-0005-0000-0000-00007A180000}"/>
    <cellStyle name="20% - Accent4 2 3 9" xfId="1617" xr:uid="{00000000-0005-0000-0000-00007B180000}"/>
    <cellStyle name="20% - Accent4 2 3 9 2" xfId="14876" xr:uid="{00000000-0005-0000-0000-00007C180000}"/>
    <cellStyle name="20% - Accent4 2 3 9 2 2" xfId="28425" xr:uid="{00000000-0005-0000-0000-00007D180000}"/>
    <cellStyle name="20% - Accent4 2 3 9 3" xfId="18940" xr:uid="{00000000-0005-0000-0000-00007E180000}"/>
    <cellStyle name="20% - Accent4 2 4" xfId="1618" xr:uid="{00000000-0005-0000-0000-00007F180000}"/>
    <cellStyle name="20% - Accent4 2 4 10" xfId="9054" xr:uid="{00000000-0005-0000-0000-000080180000}"/>
    <cellStyle name="20% - Accent4 2 4 10 2" xfId="23529" xr:uid="{00000000-0005-0000-0000-000081180000}"/>
    <cellStyle name="20% - Accent4 2 4 11" xfId="18941" xr:uid="{00000000-0005-0000-0000-000082180000}"/>
    <cellStyle name="20% - Accent4 2 4 2" xfId="1619" xr:uid="{00000000-0005-0000-0000-000083180000}"/>
    <cellStyle name="20% - Accent4 2 4 2 2" xfId="1620" xr:uid="{00000000-0005-0000-0000-000084180000}"/>
    <cellStyle name="20% - Accent4 2 4 2 2 2" xfId="10780" xr:uid="{00000000-0005-0000-0000-000085180000}"/>
    <cellStyle name="20% - Accent4 2 4 2 2 2 2" xfId="24722" xr:uid="{00000000-0005-0000-0000-000086180000}"/>
    <cellStyle name="20% - Accent4 2 4 2 2 3" xfId="18943" xr:uid="{00000000-0005-0000-0000-000087180000}"/>
    <cellStyle name="20% - Accent4 2 4 2 3" xfId="1621" xr:uid="{00000000-0005-0000-0000-000088180000}"/>
    <cellStyle name="20% - Accent4 2 4 2 3 2" xfId="12553" xr:uid="{00000000-0005-0000-0000-000089180000}"/>
    <cellStyle name="20% - Accent4 2 4 2 3 2 2" xfId="26265" xr:uid="{00000000-0005-0000-0000-00008A180000}"/>
    <cellStyle name="20% - Accent4 2 4 2 3 3" xfId="18944" xr:uid="{00000000-0005-0000-0000-00008B180000}"/>
    <cellStyle name="20% - Accent4 2 4 2 4" xfId="1622" xr:uid="{00000000-0005-0000-0000-00008C180000}"/>
    <cellStyle name="20% - Accent4 2 4 2 4 2" xfId="14883" xr:uid="{00000000-0005-0000-0000-00008D180000}"/>
    <cellStyle name="20% - Accent4 2 4 2 4 2 2" xfId="28432" xr:uid="{00000000-0005-0000-0000-00008E180000}"/>
    <cellStyle name="20% - Accent4 2 4 2 4 3" xfId="18945" xr:uid="{00000000-0005-0000-0000-00008F180000}"/>
    <cellStyle name="20% - Accent4 2 4 2 5" xfId="1623" xr:uid="{00000000-0005-0000-0000-000090180000}"/>
    <cellStyle name="20% - Accent4 2 4 2 5 2" xfId="16778" xr:uid="{00000000-0005-0000-0000-000091180000}"/>
    <cellStyle name="20% - Accent4 2 4 2 5 2 2" xfId="30185" xr:uid="{00000000-0005-0000-0000-000092180000}"/>
    <cellStyle name="20% - Accent4 2 4 2 5 3" xfId="18946" xr:uid="{00000000-0005-0000-0000-000093180000}"/>
    <cellStyle name="20% - Accent4 2 4 2 6" xfId="9055" xr:uid="{00000000-0005-0000-0000-000094180000}"/>
    <cellStyle name="20% - Accent4 2 4 2 6 2" xfId="23530" xr:uid="{00000000-0005-0000-0000-000095180000}"/>
    <cellStyle name="20% - Accent4 2 4 2 7" xfId="18942" xr:uid="{00000000-0005-0000-0000-000096180000}"/>
    <cellStyle name="20% - Accent4 2 4 3" xfId="1624" xr:uid="{00000000-0005-0000-0000-000097180000}"/>
    <cellStyle name="20% - Accent4 2 4 3 2" xfId="1625" xr:uid="{00000000-0005-0000-0000-000098180000}"/>
    <cellStyle name="20% - Accent4 2 4 3 2 2" xfId="14884" xr:uid="{00000000-0005-0000-0000-000099180000}"/>
    <cellStyle name="20% - Accent4 2 4 3 2 2 2" xfId="28433" xr:uid="{00000000-0005-0000-0000-00009A180000}"/>
    <cellStyle name="20% - Accent4 2 4 3 2 3" xfId="18948" xr:uid="{00000000-0005-0000-0000-00009B180000}"/>
    <cellStyle name="20% - Accent4 2 4 3 3" xfId="10779" xr:uid="{00000000-0005-0000-0000-00009C180000}"/>
    <cellStyle name="20% - Accent4 2 4 3 3 2" xfId="24721" xr:uid="{00000000-0005-0000-0000-00009D180000}"/>
    <cellStyle name="20% - Accent4 2 4 3 4" xfId="18947" xr:uid="{00000000-0005-0000-0000-00009E180000}"/>
    <cellStyle name="20% - Accent4 2 4 4" xfId="1626" xr:uid="{00000000-0005-0000-0000-00009F180000}"/>
    <cellStyle name="20% - Accent4 2 4 4 2" xfId="12166" xr:uid="{00000000-0005-0000-0000-0000A0180000}"/>
    <cellStyle name="20% - Accent4 2 4 4 2 2" xfId="25878" xr:uid="{00000000-0005-0000-0000-0000A1180000}"/>
    <cellStyle name="20% - Accent4 2 4 4 3" xfId="18949" xr:uid="{00000000-0005-0000-0000-0000A2180000}"/>
    <cellStyle name="20% - Accent4 2 4 5" xfId="1627" xr:uid="{00000000-0005-0000-0000-0000A3180000}"/>
    <cellStyle name="20% - Accent4 2 4 5 2" xfId="12499" xr:uid="{00000000-0005-0000-0000-0000A4180000}"/>
    <cellStyle name="20% - Accent4 2 4 5 2 2" xfId="26211" xr:uid="{00000000-0005-0000-0000-0000A5180000}"/>
    <cellStyle name="20% - Accent4 2 4 5 3" xfId="18950" xr:uid="{00000000-0005-0000-0000-0000A6180000}"/>
    <cellStyle name="20% - Accent4 2 4 6" xfId="1628" xr:uid="{00000000-0005-0000-0000-0000A7180000}"/>
    <cellStyle name="20% - Accent4 2 4 6 2" xfId="13730" xr:uid="{00000000-0005-0000-0000-0000A8180000}"/>
    <cellStyle name="20% - Accent4 2 4 6 2 2" xfId="27279" xr:uid="{00000000-0005-0000-0000-0000A9180000}"/>
    <cellStyle name="20% - Accent4 2 4 6 3" xfId="18951" xr:uid="{00000000-0005-0000-0000-0000AA180000}"/>
    <cellStyle name="20% - Accent4 2 4 7" xfId="1629" xr:uid="{00000000-0005-0000-0000-0000AB180000}"/>
    <cellStyle name="20% - Accent4 2 4 7 2" xfId="14311" xr:uid="{00000000-0005-0000-0000-0000AC180000}"/>
    <cellStyle name="20% - Accent4 2 4 7 2 2" xfId="27860" xr:uid="{00000000-0005-0000-0000-0000AD180000}"/>
    <cellStyle name="20% - Accent4 2 4 7 3" xfId="18952" xr:uid="{00000000-0005-0000-0000-0000AE180000}"/>
    <cellStyle name="20% - Accent4 2 4 8" xfId="1630" xr:uid="{00000000-0005-0000-0000-0000AF180000}"/>
    <cellStyle name="20% - Accent4 2 4 8 2" xfId="14882" xr:uid="{00000000-0005-0000-0000-0000B0180000}"/>
    <cellStyle name="20% - Accent4 2 4 8 2 2" xfId="28431" xr:uid="{00000000-0005-0000-0000-0000B1180000}"/>
    <cellStyle name="20% - Accent4 2 4 8 3" xfId="18953" xr:uid="{00000000-0005-0000-0000-0000B2180000}"/>
    <cellStyle name="20% - Accent4 2 4 9" xfId="1631" xr:uid="{00000000-0005-0000-0000-0000B3180000}"/>
    <cellStyle name="20% - Accent4 2 4 9 2" xfId="16197" xr:uid="{00000000-0005-0000-0000-0000B4180000}"/>
    <cellStyle name="20% - Accent4 2 4 9 2 2" xfId="29604" xr:uid="{00000000-0005-0000-0000-0000B5180000}"/>
    <cellStyle name="20% - Accent4 2 4 9 3" xfId="18954" xr:uid="{00000000-0005-0000-0000-0000B6180000}"/>
    <cellStyle name="20% - Accent4 2 5" xfId="1632" xr:uid="{00000000-0005-0000-0000-0000B7180000}"/>
    <cellStyle name="20% - Accent4 2 5 2" xfId="1633" xr:uid="{00000000-0005-0000-0000-0000B8180000}"/>
    <cellStyle name="20% - Accent4 2 5 2 2" xfId="1634" xr:uid="{00000000-0005-0000-0000-0000B9180000}"/>
    <cellStyle name="20% - Accent4 2 5 2 2 2" xfId="10782" xr:uid="{00000000-0005-0000-0000-0000BA180000}"/>
    <cellStyle name="20% - Accent4 2 5 2 2 2 2" xfId="24724" xr:uid="{00000000-0005-0000-0000-0000BB180000}"/>
    <cellStyle name="20% - Accent4 2 5 2 2 3" xfId="18957" xr:uid="{00000000-0005-0000-0000-0000BC180000}"/>
    <cellStyle name="20% - Accent4 2 5 2 3" xfId="1635" xr:uid="{00000000-0005-0000-0000-0000BD180000}"/>
    <cellStyle name="20% - Accent4 2 5 2 3 2" xfId="12780" xr:uid="{00000000-0005-0000-0000-0000BE180000}"/>
    <cellStyle name="20% - Accent4 2 5 2 3 2 2" xfId="26492" xr:uid="{00000000-0005-0000-0000-0000BF180000}"/>
    <cellStyle name="20% - Accent4 2 5 2 3 3" xfId="18958" xr:uid="{00000000-0005-0000-0000-0000C0180000}"/>
    <cellStyle name="20% - Accent4 2 5 2 4" xfId="1636" xr:uid="{00000000-0005-0000-0000-0000C1180000}"/>
    <cellStyle name="20% - Accent4 2 5 2 4 2" xfId="14886" xr:uid="{00000000-0005-0000-0000-0000C2180000}"/>
    <cellStyle name="20% - Accent4 2 5 2 4 2 2" xfId="28435" xr:uid="{00000000-0005-0000-0000-0000C3180000}"/>
    <cellStyle name="20% - Accent4 2 5 2 4 3" xfId="18959" xr:uid="{00000000-0005-0000-0000-0000C4180000}"/>
    <cellStyle name="20% - Accent4 2 5 2 5" xfId="9057" xr:uid="{00000000-0005-0000-0000-0000C5180000}"/>
    <cellStyle name="20% - Accent4 2 5 2 5 2" xfId="23532" xr:uid="{00000000-0005-0000-0000-0000C6180000}"/>
    <cellStyle name="20% - Accent4 2 5 2 6" xfId="18956" xr:uid="{00000000-0005-0000-0000-0000C7180000}"/>
    <cellStyle name="20% - Accent4 2 5 3" xfId="1637" xr:uid="{00000000-0005-0000-0000-0000C8180000}"/>
    <cellStyle name="20% - Accent4 2 5 3 2" xfId="10781" xr:uid="{00000000-0005-0000-0000-0000C9180000}"/>
    <cellStyle name="20% - Accent4 2 5 3 2 2" xfId="24723" xr:uid="{00000000-0005-0000-0000-0000CA180000}"/>
    <cellStyle name="20% - Accent4 2 5 3 3" xfId="18960" xr:uid="{00000000-0005-0000-0000-0000CB180000}"/>
    <cellStyle name="20% - Accent4 2 5 4" xfId="1638" xr:uid="{00000000-0005-0000-0000-0000CC180000}"/>
    <cellStyle name="20% - Accent4 2 5 4 2" xfId="12522" xr:uid="{00000000-0005-0000-0000-0000CD180000}"/>
    <cellStyle name="20% - Accent4 2 5 4 2 2" xfId="26234" xr:uid="{00000000-0005-0000-0000-0000CE180000}"/>
    <cellStyle name="20% - Accent4 2 5 4 3" xfId="18961" xr:uid="{00000000-0005-0000-0000-0000CF180000}"/>
    <cellStyle name="20% - Accent4 2 5 5" xfId="1639" xr:uid="{00000000-0005-0000-0000-0000D0180000}"/>
    <cellStyle name="20% - Accent4 2 5 5 2" xfId="14885" xr:uid="{00000000-0005-0000-0000-0000D1180000}"/>
    <cellStyle name="20% - Accent4 2 5 5 2 2" xfId="28434" xr:uid="{00000000-0005-0000-0000-0000D2180000}"/>
    <cellStyle name="20% - Accent4 2 5 5 3" xfId="18962" xr:uid="{00000000-0005-0000-0000-0000D3180000}"/>
    <cellStyle name="20% - Accent4 2 5 6" xfId="1640" xr:uid="{00000000-0005-0000-0000-0000D4180000}"/>
    <cellStyle name="20% - Accent4 2 5 6 2" xfId="17010" xr:uid="{00000000-0005-0000-0000-0000D5180000}"/>
    <cellStyle name="20% - Accent4 2 5 6 2 2" xfId="30417" xr:uid="{00000000-0005-0000-0000-0000D6180000}"/>
    <cellStyle name="20% - Accent4 2 5 6 3" xfId="18963" xr:uid="{00000000-0005-0000-0000-0000D7180000}"/>
    <cellStyle name="20% - Accent4 2 5 7" xfId="9056" xr:uid="{00000000-0005-0000-0000-0000D8180000}"/>
    <cellStyle name="20% - Accent4 2 5 7 2" xfId="23531" xr:uid="{00000000-0005-0000-0000-0000D9180000}"/>
    <cellStyle name="20% - Accent4 2 5 8" xfId="18955" xr:uid="{00000000-0005-0000-0000-0000DA180000}"/>
    <cellStyle name="20% - Accent4 2 6" xfId="1641" xr:uid="{00000000-0005-0000-0000-0000DB180000}"/>
    <cellStyle name="20% - Accent4 2 6 2" xfId="1642" xr:uid="{00000000-0005-0000-0000-0000DC180000}"/>
    <cellStyle name="20% - Accent4 2 6 2 2" xfId="10783" xr:uid="{00000000-0005-0000-0000-0000DD180000}"/>
    <cellStyle name="20% - Accent4 2 6 2 2 2" xfId="24725" xr:uid="{00000000-0005-0000-0000-0000DE180000}"/>
    <cellStyle name="20% - Accent4 2 6 2 3" xfId="18965" xr:uid="{00000000-0005-0000-0000-0000DF180000}"/>
    <cellStyle name="20% - Accent4 2 6 3" xfId="1643" xr:uid="{00000000-0005-0000-0000-0000E0180000}"/>
    <cellStyle name="20% - Accent4 2 6 3 2" xfId="12406" xr:uid="{00000000-0005-0000-0000-0000E1180000}"/>
    <cellStyle name="20% - Accent4 2 6 3 2 2" xfId="26118" xr:uid="{00000000-0005-0000-0000-0000E2180000}"/>
    <cellStyle name="20% - Accent4 2 6 3 3" xfId="18966" xr:uid="{00000000-0005-0000-0000-0000E3180000}"/>
    <cellStyle name="20% - Accent4 2 6 4" xfId="1644" xr:uid="{00000000-0005-0000-0000-0000E4180000}"/>
    <cellStyle name="20% - Accent4 2 6 4 2" xfId="14887" xr:uid="{00000000-0005-0000-0000-0000E5180000}"/>
    <cellStyle name="20% - Accent4 2 6 4 2 2" xfId="28436" xr:uid="{00000000-0005-0000-0000-0000E6180000}"/>
    <cellStyle name="20% - Accent4 2 6 4 3" xfId="18967" xr:uid="{00000000-0005-0000-0000-0000E7180000}"/>
    <cellStyle name="20% - Accent4 2 6 5" xfId="1645" xr:uid="{00000000-0005-0000-0000-0000E8180000}"/>
    <cellStyle name="20% - Accent4 2 6 5 2" xfId="17125" xr:uid="{00000000-0005-0000-0000-0000E9180000}"/>
    <cellStyle name="20% - Accent4 2 6 5 2 2" xfId="30484" xr:uid="{00000000-0005-0000-0000-0000EA180000}"/>
    <cellStyle name="20% - Accent4 2 6 5 3" xfId="18968" xr:uid="{00000000-0005-0000-0000-0000EB180000}"/>
    <cellStyle name="20% - Accent4 2 6 6" xfId="9058" xr:uid="{00000000-0005-0000-0000-0000EC180000}"/>
    <cellStyle name="20% - Accent4 2 6 6 2" xfId="23533" xr:uid="{00000000-0005-0000-0000-0000ED180000}"/>
    <cellStyle name="20% - Accent4 2 6 7" xfId="18964" xr:uid="{00000000-0005-0000-0000-0000EE180000}"/>
    <cellStyle name="20% - Accent4 2 7" xfId="1646" xr:uid="{00000000-0005-0000-0000-0000EF180000}"/>
    <cellStyle name="20% - Accent4 2 7 2" xfId="1647" xr:uid="{00000000-0005-0000-0000-0000F0180000}"/>
    <cellStyle name="20% - Accent4 2 7 2 2" xfId="10784" xr:uid="{00000000-0005-0000-0000-0000F1180000}"/>
    <cellStyle name="20% - Accent4 2 7 2 2 2" xfId="24726" xr:uid="{00000000-0005-0000-0000-0000F2180000}"/>
    <cellStyle name="20% - Accent4 2 7 2 3" xfId="18970" xr:uid="{00000000-0005-0000-0000-0000F3180000}"/>
    <cellStyle name="20% - Accent4 2 7 3" xfId="1648" xr:uid="{00000000-0005-0000-0000-0000F4180000}"/>
    <cellStyle name="20% - Accent4 2 7 3 2" xfId="12788" xr:uid="{00000000-0005-0000-0000-0000F5180000}"/>
    <cellStyle name="20% - Accent4 2 7 3 2 2" xfId="26500" xr:uid="{00000000-0005-0000-0000-0000F6180000}"/>
    <cellStyle name="20% - Accent4 2 7 3 3" xfId="18971" xr:uid="{00000000-0005-0000-0000-0000F7180000}"/>
    <cellStyle name="20% - Accent4 2 7 4" xfId="1649" xr:uid="{00000000-0005-0000-0000-0000F8180000}"/>
    <cellStyle name="20% - Accent4 2 7 4 2" xfId="14888" xr:uid="{00000000-0005-0000-0000-0000F9180000}"/>
    <cellStyle name="20% - Accent4 2 7 4 2 2" xfId="28437" xr:uid="{00000000-0005-0000-0000-0000FA180000}"/>
    <cellStyle name="20% - Accent4 2 7 4 3" xfId="18972" xr:uid="{00000000-0005-0000-0000-0000FB180000}"/>
    <cellStyle name="20% - Accent4 2 7 5" xfId="1650" xr:uid="{00000000-0005-0000-0000-0000FC180000}"/>
    <cellStyle name="20% - Accent4 2 7 5 2" xfId="17214" xr:uid="{00000000-0005-0000-0000-0000FD180000}"/>
    <cellStyle name="20% - Accent4 2 7 5 2 2" xfId="30573" xr:uid="{00000000-0005-0000-0000-0000FE180000}"/>
    <cellStyle name="20% - Accent4 2 7 5 3" xfId="18973" xr:uid="{00000000-0005-0000-0000-0000FF180000}"/>
    <cellStyle name="20% - Accent4 2 7 6" xfId="9059" xr:uid="{00000000-0005-0000-0000-000000190000}"/>
    <cellStyle name="20% - Accent4 2 7 6 2" xfId="23534" xr:uid="{00000000-0005-0000-0000-000001190000}"/>
    <cellStyle name="20% - Accent4 2 7 7" xfId="18969" xr:uid="{00000000-0005-0000-0000-000002190000}"/>
    <cellStyle name="20% - Accent4 2 8" xfId="1651" xr:uid="{00000000-0005-0000-0000-000003190000}"/>
    <cellStyle name="20% - Accent4 2 8 2" xfId="1652" xr:uid="{00000000-0005-0000-0000-000004190000}"/>
    <cellStyle name="20% - Accent4 2 8 2 2" xfId="12480" xr:uid="{00000000-0005-0000-0000-000005190000}"/>
    <cellStyle name="20% - Accent4 2 8 2 2 2" xfId="26192" xr:uid="{00000000-0005-0000-0000-000006190000}"/>
    <cellStyle name="20% - Accent4 2 8 2 3" xfId="18975" xr:uid="{00000000-0005-0000-0000-000007190000}"/>
    <cellStyle name="20% - Accent4 2 8 3" xfId="1653" xr:uid="{00000000-0005-0000-0000-000008190000}"/>
    <cellStyle name="20% - Accent4 2 8 3 2" xfId="14889" xr:uid="{00000000-0005-0000-0000-000009190000}"/>
    <cellStyle name="20% - Accent4 2 8 3 2 2" xfId="28438" xr:uid="{00000000-0005-0000-0000-00000A190000}"/>
    <cellStyle name="20% - Accent4 2 8 3 3" xfId="18976" xr:uid="{00000000-0005-0000-0000-00000B190000}"/>
    <cellStyle name="20% - Accent4 2 8 4" xfId="1654" xr:uid="{00000000-0005-0000-0000-00000C190000}"/>
    <cellStyle name="20% - Accent4 2 8 4 2" xfId="16489" xr:uid="{00000000-0005-0000-0000-00000D190000}"/>
    <cellStyle name="20% - Accent4 2 8 4 2 2" xfId="29896" xr:uid="{00000000-0005-0000-0000-00000E190000}"/>
    <cellStyle name="20% - Accent4 2 8 4 3" xfId="18977" xr:uid="{00000000-0005-0000-0000-00000F190000}"/>
    <cellStyle name="20% - Accent4 2 8 5" xfId="10531" xr:uid="{00000000-0005-0000-0000-000010190000}"/>
    <cellStyle name="20% - Accent4 2 8 5 2" xfId="24473" xr:uid="{00000000-0005-0000-0000-000011190000}"/>
    <cellStyle name="20% - Accent4 2 8 6" xfId="18974" xr:uid="{00000000-0005-0000-0000-000012190000}"/>
    <cellStyle name="20% - Accent4 2 9" xfId="1655" xr:uid="{00000000-0005-0000-0000-000013190000}"/>
    <cellStyle name="20% - Accent4 2 9 2" xfId="1656" xr:uid="{00000000-0005-0000-0000-000014190000}"/>
    <cellStyle name="20% - Accent4 2 9 2 2" xfId="12593" xr:uid="{00000000-0005-0000-0000-000015190000}"/>
    <cellStyle name="20% - Accent4 2 9 2 2 2" xfId="26305" xr:uid="{00000000-0005-0000-0000-000016190000}"/>
    <cellStyle name="20% - Accent4 2 9 2 3" xfId="18979" xr:uid="{00000000-0005-0000-0000-000017190000}"/>
    <cellStyle name="20% - Accent4 2 9 3" xfId="1657" xr:uid="{00000000-0005-0000-0000-000018190000}"/>
    <cellStyle name="20% - Accent4 2 9 3 2" xfId="14890" xr:uid="{00000000-0005-0000-0000-000019190000}"/>
    <cellStyle name="20% - Accent4 2 9 3 2 2" xfId="28439" xr:uid="{00000000-0005-0000-0000-00001A190000}"/>
    <cellStyle name="20% - Accent4 2 9 3 3" xfId="18980" xr:uid="{00000000-0005-0000-0000-00001B190000}"/>
    <cellStyle name="20% - Accent4 2 9 4" xfId="10766" xr:uid="{00000000-0005-0000-0000-00001C190000}"/>
    <cellStyle name="20% - Accent4 2 9 4 2" xfId="24708" xr:uid="{00000000-0005-0000-0000-00001D190000}"/>
    <cellStyle name="20% - Accent4 2 9 5" xfId="18978" xr:uid="{00000000-0005-0000-0000-00001E190000}"/>
    <cellStyle name="20% - Accent4 20" xfId="1658" xr:uid="{00000000-0005-0000-0000-00001F190000}"/>
    <cellStyle name="20% - Accent4 20 2" xfId="1659" xr:uid="{00000000-0005-0000-0000-000020190000}"/>
    <cellStyle name="20% - Accent4 20 2 2" xfId="12683" xr:uid="{00000000-0005-0000-0000-000021190000}"/>
    <cellStyle name="20% - Accent4 20 2 2 2" xfId="26395" xr:uid="{00000000-0005-0000-0000-000022190000}"/>
    <cellStyle name="20% - Accent4 20 2 3" xfId="18982" xr:uid="{00000000-0005-0000-0000-000023190000}"/>
    <cellStyle name="20% - Accent4 20 3" xfId="1660" xr:uid="{00000000-0005-0000-0000-000024190000}"/>
    <cellStyle name="20% - Accent4 20 3 2" xfId="14891" xr:uid="{00000000-0005-0000-0000-000025190000}"/>
    <cellStyle name="20% - Accent4 20 3 2 2" xfId="28440" xr:uid="{00000000-0005-0000-0000-000026190000}"/>
    <cellStyle name="20% - Accent4 20 3 3" xfId="18983" xr:uid="{00000000-0005-0000-0000-000027190000}"/>
    <cellStyle name="20% - Accent4 20 4" xfId="10506" xr:uid="{00000000-0005-0000-0000-000028190000}"/>
    <cellStyle name="20% - Accent4 20 4 2" xfId="24454" xr:uid="{00000000-0005-0000-0000-000029190000}"/>
    <cellStyle name="20% - Accent4 20 5" xfId="18981" xr:uid="{00000000-0005-0000-0000-00002A190000}"/>
    <cellStyle name="20% - Accent4 21" xfId="1661" xr:uid="{00000000-0005-0000-0000-00002B190000}"/>
    <cellStyle name="20% - Accent4 21 2" xfId="1662" xr:uid="{00000000-0005-0000-0000-00002C190000}"/>
    <cellStyle name="20% - Accent4 21 2 2" xfId="12601" xr:uid="{00000000-0005-0000-0000-00002D190000}"/>
    <cellStyle name="20% - Accent4 21 2 2 2" xfId="26313" xr:uid="{00000000-0005-0000-0000-00002E190000}"/>
    <cellStyle name="20% - Accent4 21 2 3" xfId="18985" xr:uid="{00000000-0005-0000-0000-00002F190000}"/>
    <cellStyle name="20% - Accent4 21 3" xfId="1663" xr:uid="{00000000-0005-0000-0000-000030190000}"/>
    <cellStyle name="20% - Accent4 21 3 2" xfId="14892" xr:uid="{00000000-0005-0000-0000-000031190000}"/>
    <cellStyle name="20% - Accent4 21 3 2 2" xfId="28441" xr:uid="{00000000-0005-0000-0000-000032190000}"/>
    <cellStyle name="20% - Accent4 21 3 3" xfId="18986" xr:uid="{00000000-0005-0000-0000-000033190000}"/>
    <cellStyle name="20% - Accent4 21 4" xfId="10755" xr:uid="{00000000-0005-0000-0000-000034190000}"/>
    <cellStyle name="20% - Accent4 21 4 2" xfId="24697" xr:uid="{00000000-0005-0000-0000-000035190000}"/>
    <cellStyle name="20% - Accent4 21 5" xfId="18984" xr:uid="{00000000-0005-0000-0000-000036190000}"/>
    <cellStyle name="20% - Accent4 22" xfId="1664" xr:uid="{00000000-0005-0000-0000-000037190000}"/>
    <cellStyle name="20% - Accent4 22 2" xfId="11742" xr:uid="{00000000-0005-0000-0000-000038190000}"/>
    <cellStyle name="20% - Accent4 22 2 2" xfId="25457" xr:uid="{00000000-0005-0000-0000-000039190000}"/>
    <cellStyle name="20% - Accent4 22 3" xfId="18987" xr:uid="{00000000-0005-0000-0000-00003A190000}"/>
    <cellStyle name="20% - Accent4 23" xfId="1665" xr:uid="{00000000-0005-0000-0000-00003B190000}"/>
    <cellStyle name="20% - Accent4 23 2" xfId="12447" xr:uid="{00000000-0005-0000-0000-00003C190000}"/>
    <cellStyle name="20% - Accent4 23 2 2" xfId="26159" xr:uid="{00000000-0005-0000-0000-00003D190000}"/>
    <cellStyle name="20% - Accent4 23 3" xfId="18988" xr:uid="{00000000-0005-0000-0000-00003E190000}"/>
    <cellStyle name="20% - Accent4 24" xfId="1666" xr:uid="{00000000-0005-0000-0000-00003F190000}"/>
    <cellStyle name="20% - Accent4 24 2" xfId="13381" xr:uid="{00000000-0005-0000-0000-000040190000}"/>
    <cellStyle name="20% - Accent4 24 2 2" xfId="26930" xr:uid="{00000000-0005-0000-0000-000041190000}"/>
    <cellStyle name="20% - Accent4 24 3" xfId="18989" xr:uid="{00000000-0005-0000-0000-000042190000}"/>
    <cellStyle name="20% - Accent4 25" xfId="1667" xr:uid="{00000000-0005-0000-0000-000043190000}"/>
    <cellStyle name="20% - Accent4 25 2" xfId="13962" xr:uid="{00000000-0005-0000-0000-000044190000}"/>
    <cellStyle name="20% - Accent4 25 2 2" xfId="27511" xr:uid="{00000000-0005-0000-0000-000045190000}"/>
    <cellStyle name="20% - Accent4 25 3" xfId="18990" xr:uid="{00000000-0005-0000-0000-000046190000}"/>
    <cellStyle name="20% - Accent4 26" xfId="1668" xr:uid="{00000000-0005-0000-0000-000047190000}"/>
    <cellStyle name="20% - Accent4 26 2" xfId="14849" xr:uid="{00000000-0005-0000-0000-000048190000}"/>
    <cellStyle name="20% - Accent4 26 2 2" xfId="28398" xr:uid="{00000000-0005-0000-0000-000049190000}"/>
    <cellStyle name="20% - Accent4 26 3" xfId="18991" xr:uid="{00000000-0005-0000-0000-00004A190000}"/>
    <cellStyle name="20% - Accent4 27" xfId="1669" xr:uid="{00000000-0005-0000-0000-00004B190000}"/>
    <cellStyle name="20% - Accent4 27 2" xfId="15837" xr:uid="{00000000-0005-0000-0000-00004C190000}"/>
    <cellStyle name="20% - Accent4 27 2 2" xfId="29244" xr:uid="{00000000-0005-0000-0000-00004D190000}"/>
    <cellStyle name="20% - Accent4 27 3" xfId="18992" xr:uid="{00000000-0005-0000-0000-00004E190000}"/>
    <cellStyle name="20% - Accent4 28" xfId="1670" xr:uid="{00000000-0005-0000-0000-00004F190000}"/>
    <cellStyle name="20% - Accent4 28 2" xfId="15848" xr:uid="{00000000-0005-0000-0000-000050190000}"/>
    <cellStyle name="20% - Accent4 28 2 2" xfId="29255" xr:uid="{00000000-0005-0000-0000-000051190000}"/>
    <cellStyle name="20% - Accent4 28 3" xfId="18993" xr:uid="{00000000-0005-0000-0000-000052190000}"/>
    <cellStyle name="20% - Accent4 29" xfId="1671" xr:uid="{00000000-0005-0000-0000-000053190000}"/>
    <cellStyle name="20% - Accent4 29 2" xfId="9030" xr:uid="{00000000-0005-0000-0000-000054190000}"/>
    <cellStyle name="20% - Accent4 29 2 2" xfId="23505" xr:uid="{00000000-0005-0000-0000-000055190000}"/>
    <cellStyle name="20% - Accent4 29 3" xfId="18994" xr:uid="{00000000-0005-0000-0000-000056190000}"/>
    <cellStyle name="20% - Accent4 3" xfId="1672" xr:uid="{00000000-0005-0000-0000-000057190000}"/>
    <cellStyle name="20% - Accent4 3 10" xfId="1673" xr:uid="{00000000-0005-0000-0000-000058190000}"/>
    <cellStyle name="20% - Accent4 3 10 2" xfId="14045" xr:uid="{00000000-0005-0000-0000-000059190000}"/>
    <cellStyle name="20% - Accent4 3 10 2 2" xfId="27594" xr:uid="{00000000-0005-0000-0000-00005A190000}"/>
    <cellStyle name="20% - Accent4 3 10 3" xfId="18996" xr:uid="{00000000-0005-0000-0000-00005B190000}"/>
    <cellStyle name="20% - Accent4 3 11" xfId="1674" xr:uid="{00000000-0005-0000-0000-00005C190000}"/>
    <cellStyle name="20% - Accent4 3 11 2" xfId="14893" xr:uid="{00000000-0005-0000-0000-00005D190000}"/>
    <cellStyle name="20% - Accent4 3 11 2 2" xfId="28442" xr:uid="{00000000-0005-0000-0000-00005E190000}"/>
    <cellStyle name="20% - Accent4 3 11 3" xfId="18997" xr:uid="{00000000-0005-0000-0000-00005F190000}"/>
    <cellStyle name="20% - Accent4 3 12" xfId="1675" xr:uid="{00000000-0005-0000-0000-000060190000}"/>
    <cellStyle name="20% - Accent4 3 12 2" xfId="15931" xr:uid="{00000000-0005-0000-0000-000061190000}"/>
    <cellStyle name="20% - Accent4 3 12 2 2" xfId="29338" xr:uid="{00000000-0005-0000-0000-000062190000}"/>
    <cellStyle name="20% - Accent4 3 12 3" xfId="18998" xr:uid="{00000000-0005-0000-0000-000063190000}"/>
    <cellStyle name="20% - Accent4 3 13" xfId="9060" xr:uid="{00000000-0005-0000-0000-000064190000}"/>
    <cellStyle name="20% - Accent4 3 13 2" xfId="23535" xr:uid="{00000000-0005-0000-0000-000065190000}"/>
    <cellStyle name="20% - Accent4 3 14" xfId="18995" xr:uid="{00000000-0005-0000-0000-000066190000}"/>
    <cellStyle name="20% - Accent4 3 2" xfId="1676" xr:uid="{00000000-0005-0000-0000-000067190000}"/>
    <cellStyle name="20% - Accent4 3 2 10" xfId="1677" xr:uid="{00000000-0005-0000-0000-000068190000}"/>
    <cellStyle name="20% - Accent4 3 2 10 2" xfId="16074" xr:uid="{00000000-0005-0000-0000-000069190000}"/>
    <cellStyle name="20% - Accent4 3 2 10 2 2" xfId="29481" xr:uid="{00000000-0005-0000-0000-00006A190000}"/>
    <cellStyle name="20% - Accent4 3 2 10 3" xfId="19000" xr:uid="{00000000-0005-0000-0000-00006B190000}"/>
    <cellStyle name="20% - Accent4 3 2 11" xfId="9061" xr:uid="{00000000-0005-0000-0000-00006C190000}"/>
    <cellStyle name="20% - Accent4 3 2 11 2" xfId="23536" xr:uid="{00000000-0005-0000-0000-00006D190000}"/>
    <cellStyle name="20% - Accent4 3 2 12" xfId="18999" xr:uid="{00000000-0005-0000-0000-00006E190000}"/>
    <cellStyle name="20% - Accent4 3 2 2" xfId="1678" xr:uid="{00000000-0005-0000-0000-00006F190000}"/>
    <cellStyle name="20% - Accent4 3 2 2 10" xfId="9062" xr:uid="{00000000-0005-0000-0000-000070190000}"/>
    <cellStyle name="20% - Accent4 3 2 2 10 2" xfId="23537" xr:uid="{00000000-0005-0000-0000-000071190000}"/>
    <cellStyle name="20% - Accent4 3 2 2 11" xfId="19001" xr:uid="{00000000-0005-0000-0000-000072190000}"/>
    <cellStyle name="20% - Accent4 3 2 2 2" xfId="1679" xr:uid="{00000000-0005-0000-0000-000073190000}"/>
    <cellStyle name="20% - Accent4 3 2 2 2 2" xfId="1680" xr:uid="{00000000-0005-0000-0000-000074190000}"/>
    <cellStyle name="20% - Accent4 3 2 2 2 2 2" xfId="10788" xr:uid="{00000000-0005-0000-0000-000075190000}"/>
    <cellStyle name="20% - Accent4 3 2 2 2 2 2 2" xfId="24730" xr:uid="{00000000-0005-0000-0000-000076190000}"/>
    <cellStyle name="20% - Accent4 3 2 2 2 2 3" xfId="19003" xr:uid="{00000000-0005-0000-0000-000077190000}"/>
    <cellStyle name="20% - Accent4 3 2 2 2 3" xfId="1681" xr:uid="{00000000-0005-0000-0000-000078190000}"/>
    <cellStyle name="20% - Accent4 3 2 2 2 3 2" xfId="12771" xr:uid="{00000000-0005-0000-0000-000079190000}"/>
    <cellStyle name="20% - Accent4 3 2 2 2 3 2 2" xfId="26483" xr:uid="{00000000-0005-0000-0000-00007A190000}"/>
    <cellStyle name="20% - Accent4 3 2 2 2 3 3" xfId="19004" xr:uid="{00000000-0005-0000-0000-00007B190000}"/>
    <cellStyle name="20% - Accent4 3 2 2 2 4" xfId="1682" xr:uid="{00000000-0005-0000-0000-00007C190000}"/>
    <cellStyle name="20% - Accent4 3 2 2 2 4 2" xfId="14896" xr:uid="{00000000-0005-0000-0000-00007D190000}"/>
    <cellStyle name="20% - Accent4 3 2 2 2 4 2 2" xfId="28445" xr:uid="{00000000-0005-0000-0000-00007E190000}"/>
    <cellStyle name="20% - Accent4 3 2 2 2 4 3" xfId="19005" xr:uid="{00000000-0005-0000-0000-00007F190000}"/>
    <cellStyle name="20% - Accent4 3 2 2 2 5" xfId="1683" xr:uid="{00000000-0005-0000-0000-000080190000}"/>
    <cellStyle name="20% - Accent4 3 2 2 2 5 2" xfId="16944" xr:uid="{00000000-0005-0000-0000-000081190000}"/>
    <cellStyle name="20% - Accent4 3 2 2 2 5 2 2" xfId="30351" xr:uid="{00000000-0005-0000-0000-000082190000}"/>
    <cellStyle name="20% - Accent4 3 2 2 2 5 3" xfId="19006" xr:uid="{00000000-0005-0000-0000-000083190000}"/>
    <cellStyle name="20% - Accent4 3 2 2 2 6" xfId="9063" xr:uid="{00000000-0005-0000-0000-000084190000}"/>
    <cellStyle name="20% - Accent4 3 2 2 2 6 2" xfId="23538" xr:uid="{00000000-0005-0000-0000-000085190000}"/>
    <cellStyle name="20% - Accent4 3 2 2 2 7" xfId="19002" xr:uid="{00000000-0005-0000-0000-000086190000}"/>
    <cellStyle name="20% - Accent4 3 2 2 3" xfId="1684" xr:uid="{00000000-0005-0000-0000-000087190000}"/>
    <cellStyle name="20% - Accent4 3 2 2 3 2" xfId="1685" xr:uid="{00000000-0005-0000-0000-000088190000}"/>
    <cellStyle name="20% - Accent4 3 2 2 3 2 2" xfId="14897" xr:uid="{00000000-0005-0000-0000-000089190000}"/>
    <cellStyle name="20% - Accent4 3 2 2 3 2 2 2" xfId="28446" xr:uid="{00000000-0005-0000-0000-00008A190000}"/>
    <cellStyle name="20% - Accent4 3 2 2 3 2 3" xfId="19008" xr:uid="{00000000-0005-0000-0000-00008B190000}"/>
    <cellStyle name="20% - Accent4 3 2 2 3 3" xfId="10787" xr:uid="{00000000-0005-0000-0000-00008C190000}"/>
    <cellStyle name="20% - Accent4 3 2 2 3 3 2" xfId="24729" xr:uid="{00000000-0005-0000-0000-00008D190000}"/>
    <cellStyle name="20% - Accent4 3 2 2 3 4" xfId="19007" xr:uid="{00000000-0005-0000-0000-00008E190000}"/>
    <cellStyle name="20% - Accent4 3 2 2 4" xfId="1686" xr:uid="{00000000-0005-0000-0000-00008F190000}"/>
    <cellStyle name="20% - Accent4 3 2 2 4 2" xfId="12332" xr:uid="{00000000-0005-0000-0000-000090190000}"/>
    <cellStyle name="20% - Accent4 3 2 2 4 2 2" xfId="26044" xr:uid="{00000000-0005-0000-0000-000091190000}"/>
    <cellStyle name="20% - Accent4 3 2 2 4 3" xfId="19009" xr:uid="{00000000-0005-0000-0000-000092190000}"/>
    <cellStyle name="20% - Accent4 3 2 2 5" xfId="1687" xr:uid="{00000000-0005-0000-0000-000093190000}"/>
    <cellStyle name="20% - Accent4 3 2 2 5 2" xfId="12595" xr:uid="{00000000-0005-0000-0000-000094190000}"/>
    <cellStyle name="20% - Accent4 3 2 2 5 2 2" xfId="26307" xr:uid="{00000000-0005-0000-0000-000095190000}"/>
    <cellStyle name="20% - Accent4 3 2 2 5 3" xfId="19010" xr:uid="{00000000-0005-0000-0000-000096190000}"/>
    <cellStyle name="20% - Accent4 3 2 2 6" xfId="1688" xr:uid="{00000000-0005-0000-0000-000097190000}"/>
    <cellStyle name="20% - Accent4 3 2 2 6 2" xfId="13896" xr:uid="{00000000-0005-0000-0000-000098190000}"/>
    <cellStyle name="20% - Accent4 3 2 2 6 2 2" xfId="27445" xr:uid="{00000000-0005-0000-0000-000099190000}"/>
    <cellStyle name="20% - Accent4 3 2 2 6 3" xfId="19011" xr:uid="{00000000-0005-0000-0000-00009A190000}"/>
    <cellStyle name="20% - Accent4 3 2 2 7" xfId="1689" xr:uid="{00000000-0005-0000-0000-00009B190000}"/>
    <cellStyle name="20% - Accent4 3 2 2 7 2" xfId="14477" xr:uid="{00000000-0005-0000-0000-00009C190000}"/>
    <cellStyle name="20% - Accent4 3 2 2 7 2 2" xfId="28026" xr:uid="{00000000-0005-0000-0000-00009D190000}"/>
    <cellStyle name="20% - Accent4 3 2 2 7 3" xfId="19012" xr:uid="{00000000-0005-0000-0000-00009E190000}"/>
    <cellStyle name="20% - Accent4 3 2 2 8" xfId="1690" xr:uid="{00000000-0005-0000-0000-00009F190000}"/>
    <cellStyle name="20% - Accent4 3 2 2 8 2" xfId="14895" xr:uid="{00000000-0005-0000-0000-0000A0190000}"/>
    <cellStyle name="20% - Accent4 3 2 2 8 2 2" xfId="28444" xr:uid="{00000000-0005-0000-0000-0000A1190000}"/>
    <cellStyle name="20% - Accent4 3 2 2 8 3" xfId="19013" xr:uid="{00000000-0005-0000-0000-0000A2190000}"/>
    <cellStyle name="20% - Accent4 3 2 2 9" xfId="1691" xr:uid="{00000000-0005-0000-0000-0000A3190000}"/>
    <cellStyle name="20% - Accent4 3 2 2 9 2" xfId="16363" xr:uid="{00000000-0005-0000-0000-0000A4190000}"/>
    <cellStyle name="20% - Accent4 3 2 2 9 2 2" xfId="29770" xr:uid="{00000000-0005-0000-0000-0000A5190000}"/>
    <cellStyle name="20% - Accent4 3 2 2 9 3" xfId="19014" xr:uid="{00000000-0005-0000-0000-0000A6190000}"/>
    <cellStyle name="20% - Accent4 3 2 3" xfId="1692" xr:uid="{00000000-0005-0000-0000-0000A7190000}"/>
    <cellStyle name="20% - Accent4 3 2 3 2" xfId="1693" xr:uid="{00000000-0005-0000-0000-0000A8190000}"/>
    <cellStyle name="20% - Accent4 3 2 3 2 2" xfId="10789" xr:uid="{00000000-0005-0000-0000-0000A9190000}"/>
    <cellStyle name="20% - Accent4 3 2 3 2 2 2" xfId="24731" xr:uid="{00000000-0005-0000-0000-0000AA190000}"/>
    <cellStyle name="20% - Accent4 3 2 3 2 3" xfId="19016" xr:uid="{00000000-0005-0000-0000-0000AB190000}"/>
    <cellStyle name="20% - Accent4 3 2 3 3" xfId="1694" xr:uid="{00000000-0005-0000-0000-0000AC190000}"/>
    <cellStyle name="20% - Accent4 3 2 3 3 2" xfId="11868" xr:uid="{00000000-0005-0000-0000-0000AD190000}"/>
    <cellStyle name="20% - Accent4 3 2 3 3 2 2" xfId="25583" xr:uid="{00000000-0005-0000-0000-0000AE190000}"/>
    <cellStyle name="20% - Accent4 3 2 3 3 3" xfId="19017" xr:uid="{00000000-0005-0000-0000-0000AF190000}"/>
    <cellStyle name="20% - Accent4 3 2 3 4" xfId="1695" xr:uid="{00000000-0005-0000-0000-0000B0190000}"/>
    <cellStyle name="20% - Accent4 3 2 3 4 2" xfId="14898" xr:uid="{00000000-0005-0000-0000-0000B1190000}"/>
    <cellStyle name="20% - Accent4 3 2 3 4 2 2" xfId="28447" xr:uid="{00000000-0005-0000-0000-0000B2190000}"/>
    <cellStyle name="20% - Accent4 3 2 3 4 3" xfId="19018" xr:uid="{00000000-0005-0000-0000-0000B3190000}"/>
    <cellStyle name="20% - Accent4 3 2 3 5" xfId="1696" xr:uid="{00000000-0005-0000-0000-0000B4190000}"/>
    <cellStyle name="20% - Accent4 3 2 3 5 2" xfId="16655" xr:uid="{00000000-0005-0000-0000-0000B5190000}"/>
    <cellStyle name="20% - Accent4 3 2 3 5 2 2" xfId="30062" xr:uid="{00000000-0005-0000-0000-0000B6190000}"/>
    <cellStyle name="20% - Accent4 3 2 3 5 3" xfId="19019" xr:uid="{00000000-0005-0000-0000-0000B7190000}"/>
    <cellStyle name="20% - Accent4 3 2 3 6" xfId="9064" xr:uid="{00000000-0005-0000-0000-0000B8190000}"/>
    <cellStyle name="20% - Accent4 3 2 3 6 2" xfId="23539" xr:uid="{00000000-0005-0000-0000-0000B9190000}"/>
    <cellStyle name="20% - Accent4 3 2 3 7" xfId="19015" xr:uid="{00000000-0005-0000-0000-0000BA190000}"/>
    <cellStyle name="20% - Accent4 3 2 4" xfId="1697" xr:uid="{00000000-0005-0000-0000-0000BB190000}"/>
    <cellStyle name="20% - Accent4 3 2 4 2" xfId="1698" xr:uid="{00000000-0005-0000-0000-0000BC190000}"/>
    <cellStyle name="20% - Accent4 3 2 4 2 2" xfId="14899" xr:uid="{00000000-0005-0000-0000-0000BD190000}"/>
    <cellStyle name="20% - Accent4 3 2 4 2 2 2" xfId="28448" xr:uid="{00000000-0005-0000-0000-0000BE190000}"/>
    <cellStyle name="20% - Accent4 3 2 4 2 3" xfId="19021" xr:uid="{00000000-0005-0000-0000-0000BF190000}"/>
    <cellStyle name="20% - Accent4 3 2 4 3" xfId="10786" xr:uid="{00000000-0005-0000-0000-0000C0190000}"/>
    <cellStyle name="20% - Accent4 3 2 4 3 2" xfId="24728" xr:uid="{00000000-0005-0000-0000-0000C1190000}"/>
    <cellStyle name="20% - Accent4 3 2 4 4" xfId="19020" xr:uid="{00000000-0005-0000-0000-0000C2190000}"/>
    <cellStyle name="20% - Accent4 3 2 5" xfId="1699" xr:uid="{00000000-0005-0000-0000-0000C3190000}"/>
    <cellStyle name="20% - Accent4 3 2 5 2" xfId="12032" xr:uid="{00000000-0005-0000-0000-0000C4190000}"/>
    <cellStyle name="20% - Accent4 3 2 5 2 2" xfId="25747" xr:uid="{00000000-0005-0000-0000-0000C5190000}"/>
    <cellStyle name="20% - Accent4 3 2 5 3" xfId="19022" xr:uid="{00000000-0005-0000-0000-0000C6190000}"/>
    <cellStyle name="20% - Accent4 3 2 6" xfId="1700" xr:uid="{00000000-0005-0000-0000-0000C7190000}"/>
    <cellStyle name="20% - Accent4 3 2 6 2" xfId="12528" xr:uid="{00000000-0005-0000-0000-0000C8190000}"/>
    <cellStyle name="20% - Accent4 3 2 6 2 2" xfId="26240" xr:uid="{00000000-0005-0000-0000-0000C9190000}"/>
    <cellStyle name="20% - Accent4 3 2 6 3" xfId="19023" xr:uid="{00000000-0005-0000-0000-0000CA190000}"/>
    <cellStyle name="20% - Accent4 3 2 7" xfId="1701" xr:uid="{00000000-0005-0000-0000-0000CB190000}"/>
    <cellStyle name="20% - Accent4 3 2 7 2" xfId="13607" xr:uid="{00000000-0005-0000-0000-0000CC190000}"/>
    <cellStyle name="20% - Accent4 3 2 7 2 2" xfId="27156" xr:uid="{00000000-0005-0000-0000-0000CD190000}"/>
    <cellStyle name="20% - Accent4 3 2 7 3" xfId="19024" xr:uid="{00000000-0005-0000-0000-0000CE190000}"/>
    <cellStyle name="20% - Accent4 3 2 8" xfId="1702" xr:uid="{00000000-0005-0000-0000-0000CF190000}"/>
    <cellStyle name="20% - Accent4 3 2 8 2" xfId="14188" xr:uid="{00000000-0005-0000-0000-0000D0190000}"/>
    <cellStyle name="20% - Accent4 3 2 8 2 2" xfId="27737" xr:uid="{00000000-0005-0000-0000-0000D1190000}"/>
    <cellStyle name="20% - Accent4 3 2 8 3" xfId="19025" xr:uid="{00000000-0005-0000-0000-0000D2190000}"/>
    <cellStyle name="20% - Accent4 3 2 9" xfId="1703" xr:uid="{00000000-0005-0000-0000-0000D3190000}"/>
    <cellStyle name="20% - Accent4 3 2 9 2" xfId="14894" xr:uid="{00000000-0005-0000-0000-0000D4190000}"/>
    <cellStyle name="20% - Accent4 3 2 9 2 2" xfId="28443" xr:uid="{00000000-0005-0000-0000-0000D5190000}"/>
    <cellStyle name="20% - Accent4 3 2 9 3" xfId="19026" xr:uid="{00000000-0005-0000-0000-0000D6190000}"/>
    <cellStyle name="20% - Accent4 3 3" xfId="1704" xr:uid="{00000000-0005-0000-0000-0000D7190000}"/>
    <cellStyle name="20% - Accent4 3 3 10" xfId="9065" xr:uid="{00000000-0005-0000-0000-0000D8190000}"/>
    <cellStyle name="20% - Accent4 3 3 10 2" xfId="23540" xr:uid="{00000000-0005-0000-0000-0000D9190000}"/>
    <cellStyle name="20% - Accent4 3 3 11" xfId="19027" xr:uid="{00000000-0005-0000-0000-0000DA190000}"/>
    <cellStyle name="20% - Accent4 3 3 2" xfId="1705" xr:uid="{00000000-0005-0000-0000-0000DB190000}"/>
    <cellStyle name="20% - Accent4 3 3 2 2" xfId="1706" xr:uid="{00000000-0005-0000-0000-0000DC190000}"/>
    <cellStyle name="20% - Accent4 3 3 2 2 2" xfId="10791" xr:uid="{00000000-0005-0000-0000-0000DD190000}"/>
    <cellStyle name="20% - Accent4 3 3 2 2 2 2" xfId="24733" xr:uid="{00000000-0005-0000-0000-0000DE190000}"/>
    <cellStyle name="20% - Accent4 3 3 2 2 3" xfId="19029" xr:uid="{00000000-0005-0000-0000-0000DF190000}"/>
    <cellStyle name="20% - Accent4 3 3 2 3" xfId="1707" xr:uid="{00000000-0005-0000-0000-0000E0190000}"/>
    <cellStyle name="20% - Accent4 3 3 2 3 2" xfId="12516" xr:uid="{00000000-0005-0000-0000-0000E1190000}"/>
    <cellStyle name="20% - Accent4 3 3 2 3 2 2" xfId="26228" xr:uid="{00000000-0005-0000-0000-0000E2190000}"/>
    <cellStyle name="20% - Accent4 3 3 2 3 3" xfId="19030" xr:uid="{00000000-0005-0000-0000-0000E3190000}"/>
    <cellStyle name="20% - Accent4 3 3 2 4" xfId="1708" xr:uid="{00000000-0005-0000-0000-0000E4190000}"/>
    <cellStyle name="20% - Accent4 3 3 2 4 2" xfId="14901" xr:uid="{00000000-0005-0000-0000-0000E5190000}"/>
    <cellStyle name="20% - Accent4 3 3 2 4 2 2" xfId="28450" xr:uid="{00000000-0005-0000-0000-0000E6190000}"/>
    <cellStyle name="20% - Accent4 3 3 2 4 3" xfId="19031" xr:uid="{00000000-0005-0000-0000-0000E7190000}"/>
    <cellStyle name="20% - Accent4 3 3 2 5" xfId="1709" xr:uid="{00000000-0005-0000-0000-0000E8190000}"/>
    <cellStyle name="20% - Accent4 3 3 2 5 2" xfId="16801" xr:uid="{00000000-0005-0000-0000-0000E9190000}"/>
    <cellStyle name="20% - Accent4 3 3 2 5 2 2" xfId="30208" xr:uid="{00000000-0005-0000-0000-0000EA190000}"/>
    <cellStyle name="20% - Accent4 3 3 2 5 3" xfId="19032" xr:uid="{00000000-0005-0000-0000-0000EB190000}"/>
    <cellStyle name="20% - Accent4 3 3 2 6" xfId="9066" xr:uid="{00000000-0005-0000-0000-0000EC190000}"/>
    <cellStyle name="20% - Accent4 3 3 2 6 2" xfId="23541" xr:uid="{00000000-0005-0000-0000-0000ED190000}"/>
    <cellStyle name="20% - Accent4 3 3 2 7" xfId="19028" xr:uid="{00000000-0005-0000-0000-0000EE190000}"/>
    <cellStyle name="20% - Accent4 3 3 3" xfId="1710" xr:uid="{00000000-0005-0000-0000-0000EF190000}"/>
    <cellStyle name="20% - Accent4 3 3 3 2" xfId="1711" xr:uid="{00000000-0005-0000-0000-0000F0190000}"/>
    <cellStyle name="20% - Accent4 3 3 3 2 2" xfId="14902" xr:uid="{00000000-0005-0000-0000-0000F1190000}"/>
    <cellStyle name="20% - Accent4 3 3 3 2 2 2" xfId="28451" xr:uid="{00000000-0005-0000-0000-0000F2190000}"/>
    <cellStyle name="20% - Accent4 3 3 3 2 3" xfId="19034" xr:uid="{00000000-0005-0000-0000-0000F3190000}"/>
    <cellStyle name="20% - Accent4 3 3 3 3" xfId="10790" xr:uid="{00000000-0005-0000-0000-0000F4190000}"/>
    <cellStyle name="20% - Accent4 3 3 3 3 2" xfId="24732" xr:uid="{00000000-0005-0000-0000-0000F5190000}"/>
    <cellStyle name="20% - Accent4 3 3 3 4" xfId="19033" xr:uid="{00000000-0005-0000-0000-0000F6190000}"/>
    <cellStyle name="20% - Accent4 3 3 4" xfId="1712" xr:uid="{00000000-0005-0000-0000-0000F7190000}"/>
    <cellStyle name="20% - Accent4 3 3 4 2" xfId="12189" xr:uid="{00000000-0005-0000-0000-0000F8190000}"/>
    <cellStyle name="20% - Accent4 3 3 4 2 2" xfId="25901" xr:uid="{00000000-0005-0000-0000-0000F9190000}"/>
    <cellStyle name="20% - Accent4 3 3 4 3" xfId="19035" xr:uid="{00000000-0005-0000-0000-0000FA190000}"/>
    <cellStyle name="20% - Accent4 3 3 5" xfId="1713" xr:uid="{00000000-0005-0000-0000-0000FB190000}"/>
    <cellStyle name="20% - Accent4 3 3 5 2" xfId="12545" xr:uid="{00000000-0005-0000-0000-0000FC190000}"/>
    <cellStyle name="20% - Accent4 3 3 5 2 2" xfId="26257" xr:uid="{00000000-0005-0000-0000-0000FD190000}"/>
    <cellStyle name="20% - Accent4 3 3 5 3" xfId="19036" xr:uid="{00000000-0005-0000-0000-0000FE190000}"/>
    <cellStyle name="20% - Accent4 3 3 6" xfId="1714" xr:uid="{00000000-0005-0000-0000-0000FF190000}"/>
    <cellStyle name="20% - Accent4 3 3 6 2" xfId="13753" xr:uid="{00000000-0005-0000-0000-0000001A0000}"/>
    <cellStyle name="20% - Accent4 3 3 6 2 2" xfId="27302" xr:uid="{00000000-0005-0000-0000-0000011A0000}"/>
    <cellStyle name="20% - Accent4 3 3 6 3" xfId="19037" xr:uid="{00000000-0005-0000-0000-0000021A0000}"/>
    <cellStyle name="20% - Accent4 3 3 7" xfId="1715" xr:uid="{00000000-0005-0000-0000-0000031A0000}"/>
    <cellStyle name="20% - Accent4 3 3 7 2" xfId="14334" xr:uid="{00000000-0005-0000-0000-0000041A0000}"/>
    <cellStyle name="20% - Accent4 3 3 7 2 2" xfId="27883" xr:uid="{00000000-0005-0000-0000-0000051A0000}"/>
    <cellStyle name="20% - Accent4 3 3 7 3" xfId="19038" xr:uid="{00000000-0005-0000-0000-0000061A0000}"/>
    <cellStyle name="20% - Accent4 3 3 8" xfId="1716" xr:uid="{00000000-0005-0000-0000-0000071A0000}"/>
    <cellStyle name="20% - Accent4 3 3 8 2" xfId="14900" xr:uid="{00000000-0005-0000-0000-0000081A0000}"/>
    <cellStyle name="20% - Accent4 3 3 8 2 2" xfId="28449" xr:uid="{00000000-0005-0000-0000-0000091A0000}"/>
    <cellStyle name="20% - Accent4 3 3 8 3" xfId="19039" xr:uid="{00000000-0005-0000-0000-00000A1A0000}"/>
    <cellStyle name="20% - Accent4 3 3 9" xfId="1717" xr:uid="{00000000-0005-0000-0000-00000B1A0000}"/>
    <cellStyle name="20% - Accent4 3 3 9 2" xfId="16220" xr:uid="{00000000-0005-0000-0000-00000C1A0000}"/>
    <cellStyle name="20% - Accent4 3 3 9 2 2" xfId="29627" xr:uid="{00000000-0005-0000-0000-00000D1A0000}"/>
    <cellStyle name="20% - Accent4 3 3 9 3" xfId="19040" xr:uid="{00000000-0005-0000-0000-00000E1A0000}"/>
    <cellStyle name="20% - Accent4 3 4" xfId="1718" xr:uid="{00000000-0005-0000-0000-00000F1A0000}"/>
    <cellStyle name="20% - Accent4 3 4 2" xfId="1719" xr:uid="{00000000-0005-0000-0000-0000101A0000}"/>
    <cellStyle name="20% - Accent4 3 4 2 2" xfId="10792" xr:uid="{00000000-0005-0000-0000-0000111A0000}"/>
    <cellStyle name="20% - Accent4 3 4 2 2 2" xfId="24734" xr:uid="{00000000-0005-0000-0000-0000121A0000}"/>
    <cellStyle name="20% - Accent4 3 4 2 3" xfId="19042" xr:uid="{00000000-0005-0000-0000-0000131A0000}"/>
    <cellStyle name="20% - Accent4 3 4 3" xfId="1720" xr:uid="{00000000-0005-0000-0000-0000141A0000}"/>
    <cellStyle name="20% - Accent4 3 4 3 2" xfId="12590" xr:uid="{00000000-0005-0000-0000-0000151A0000}"/>
    <cellStyle name="20% - Accent4 3 4 3 2 2" xfId="26302" xr:uid="{00000000-0005-0000-0000-0000161A0000}"/>
    <cellStyle name="20% - Accent4 3 4 3 3" xfId="19043" xr:uid="{00000000-0005-0000-0000-0000171A0000}"/>
    <cellStyle name="20% - Accent4 3 4 4" xfId="1721" xr:uid="{00000000-0005-0000-0000-0000181A0000}"/>
    <cellStyle name="20% - Accent4 3 4 4 2" xfId="14903" xr:uid="{00000000-0005-0000-0000-0000191A0000}"/>
    <cellStyle name="20% - Accent4 3 4 4 2 2" xfId="28452" xr:uid="{00000000-0005-0000-0000-00001A1A0000}"/>
    <cellStyle name="20% - Accent4 3 4 4 3" xfId="19044" xr:uid="{00000000-0005-0000-0000-00001B1A0000}"/>
    <cellStyle name="20% - Accent4 3 4 5" xfId="1722" xr:uid="{00000000-0005-0000-0000-00001C1A0000}"/>
    <cellStyle name="20% - Accent4 3 4 5 2" xfId="17148" xr:uid="{00000000-0005-0000-0000-00001D1A0000}"/>
    <cellStyle name="20% - Accent4 3 4 5 2 2" xfId="30507" xr:uid="{00000000-0005-0000-0000-00001E1A0000}"/>
    <cellStyle name="20% - Accent4 3 4 5 3" xfId="19045" xr:uid="{00000000-0005-0000-0000-00001F1A0000}"/>
    <cellStyle name="20% - Accent4 3 4 6" xfId="9067" xr:uid="{00000000-0005-0000-0000-0000201A0000}"/>
    <cellStyle name="20% - Accent4 3 4 6 2" xfId="23542" xr:uid="{00000000-0005-0000-0000-0000211A0000}"/>
    <cellStyle name="20% - Accent4 3 4 7" xfId="19041" xr:uid="{00000000-0005-0000-0000-0000221A0000}"/>
    <cellStyle name="20% - Accent4 3 5" xfId="1723" xr:uid="{00000000-0005-0000-0000-0000231A0000}"/>
    <cellStyle name="20% - Accent4 3 5 2" xfId="1724" xr:uid="{00000000-0005-0000-0000-0000241A0000}"/>
    <cellStyle name="20% - Accent4 3 5 2 2" xfId="10793" xr:uid="{00000000-0005-0000-0000-0000251A0000}"/>
    <cellStyle name="20% - Accent4 3 5 2 2 2" xfId="24735" xr:uid="{00000000-0005-0000-0000-0000261A0000}"/>
    <cellStyle name="20% - Accent4 3 5 2 3" xfId="19047" xr:uid="{00000000-0005-0000-0000-0000271A0000}"/>
    <cellStyle name="20% - Accent4 3 5 3" xfId="1725" xr:uid="{00000000-0005-0000-0000-0000281A0000}"/>
    <cellStyle name="20% - Accent4 3 5 3 2" xfId="11851" xr:uid="{00000000-0005-0000-0000-0000291A0000}"/>
    <cellStyle name="20% - Accent4 3 5 3 2 2" xfId="25566" xr:uid="{00000000-0005-0000-0000-00002A1A0000}"/>
    <cellStyle name="20% - Accent4 3 5 3 3" xfId="19048" xr:uid="{00000000-0005-0000-0000-00002B1A0000}"/>
    <cellStyle name="20% - Accent4 3 5 4" xfId="1726" xr:uid="{00000000-0005-0000-0000-00002C1A0000}"/>
    <cellStyle name="20% - Accent4 3 5 4 2" xfId="14904" xr:uid="{00000000-0005-0000-0000-00002D1A0000}"/>
    <cellStyle name="20% - Accent4 3 5 4 2 2" xfId="28453" xr:uid="{00000000-0005-0000-0000-00002E1A0000}"/>
    <cellStyle name="20% - Accent4 3 5 4 3" xfId="19049" xr:uid="{00000000-0005-0000-0000-00002F1A0000}"/>
    <cellStyle name="20% - Accent4 3 5 5" xfId="1727" xr:uid="{00000000-0005-0000-0000-0000301A0000}"/>
    <cellStyle name="20% - Accent4 3 5 5 2" xfId="17237" xr:uid="{00000000-0005-0000-0000-0000311A0000}"/>
    <cellStyle name="20% - Accent4 3 5 5 2 2" xfId="30596" xr:uid="{00000000-0005-0000-0000-0000321A0000}"/>
    <cellStyle name="20% - Accent4 3 5 5 3" xfId="19050" xr:uid="{00000000-0005-0000-0000-0000331A0000}"/>
    <cellStyle name="20% - Accent4 3 5 6" xfId="9068" xr:uid="{00000000-0005-0000-0000-0000341A0000}"/>
    <cellStyle name="20% - Accent4 3 5 6 2" xfId="23543" xr:uid="{00000000-0005-0000-0000-0000351A0000}"/>
    <cellStyle name="20% - Accent4 3 5 7" xfId="19046" xr:uid="{00000000-0005-0000-0000-0000361A0000}"/>
    <cellStyle name="20% - Accent4 3 6" xfId="1728" xr:uid="{00000000-0005-0000-0000-0000371A0000}"/>
    <cellStyle name="20% - Accent4 3 6 2" xfId="1729" xr:uid="{00000000-0005-0000-0000-0000381A0000}"/>
    <cellStyle name="20% - Accent4 3 6 2 2" xfId="14905" xr:uid="{00000000-0005-0000-0000-0000391A0000}"/>
    <cellStyle name="20% - Accent4 3 6 2 2 2" xfId="28454" xr:uid="{00000000-0005-0000-0000-00003A1A0000}"/>
    <cellStyle name="20% - Accent4 3 6 2 3" xfId="19052" xr:uid="{00000000-0005-0000-0000-00003B1A0000}"/>
    <cellStyle name="20% - Accent4 3 6 3" xfId="1730" xr:uid="{00000000-0005-0000-0000-00003C1A0000}"/>
    <cellStyle name="20% - Accent4 3 6 3 2" xfId="16512" xr:uid="{00000000-0005-0000-0000-00003D1A0000}"/>
    <cellStyle name="20% - Accent4 3 6 3 2 2" xfId="29919" xr:uid="{00000000-0005-0000-0000-00003E1A0000}"/>
    <cellStyle name="20% - Accent4 3 6 3 3" xfId="19053" xr:uid="{00000000-0005-0000-0000-00003F1A0000}"/>
    <cellStyle name="20% - Accent4 3 6 4" xfId="10785" xr:uid="{00000000-0005-0000-0000-0000401A0000}"/>
    <cellStyle name="20% - Accent4 3 6 4 2" xfId="24727" xr:uid="{00000000-0005-0000-0000-0000411A0000}"/>
    <cellStyle name="20% - Accent4 3 6 5" xfId="19051" xr:uid="{00000000-0005-0000-0000-0000421A0000}"/>
    <cellStyle name="20% - Accent4 3 7" xfId="1731" xr:uid="{00000000-0005-0000-0000-0000431A0000}"/>
    <cellStyle name="20% - Accent4 3 7 2" xfId="11884" xr:uid="{00000000-0005-0000-0000-0000441A0000}"/>
    <cellStyle name="20% - Accent4 3 7 2 2" xfId="25599" xr:uid="{00000000-0005-0000-0000-0000451A0000}"/>
    <cellStyle name="20% - Accent4 3 7 3" xfId="19054" xr:uid="{00000000-0005-0000-0000-0000461A0000}"/>
    <cellStyle name="20% - Accent4 3 8" xfId="1732" xr:uid="{00000000-0005-0000-0000-0000471A0000}"/>
    <cellStyle name="20% - Accent4 3 8 2" xfId="12435" xr:uid="{00000000-0005-0000-0000-0000481A0000}"/>
    <cellStyle name="20% - Accent4 3 8 2 2" xfId="26147" xr:uid="{00000000-0005-0000-0000-0000491A0000}"/>
    <cellStyle name="20% - Accent4 3 8 3" xfId="19055" xr:uid="{00000000-0005-0000-0000-00004A1A0000}"/>
    <cellStyle name="20% - Accent4 3 9" xfId="1733" xr:uid="{00000000-0005-0000-0000-00004B1A0000}"/>
    <cellStyle name="20% - Accent4 3 9 2" xfId="13464" xr:uid="{00000000-0005-0000-0000-00004C1A0000}"/>
    <cellStyle name="20% - Accent4 3 9 2 2" xfId="27013" xr:uid="{00000000-0005-0000-0000-00004D1A0000}"/>
    <cellStyle name="20% - Accent4 3 9 3" xfId="19056" xr:uid="{00000000-0005-0000-0000-00004E1A0000}"/>
    <cellStyle name="20% - Accent4 30" xfId="23257" xr:uid="{00000000-0005-0000-0000-00004F1A0000}"/>
    <cellStyle name="20% - Accent4 4" xfId="1734" xr:uid="{00000000-0005-0000-0000-0000501A0000}"/>
    <cellStyle name="20% - Accent4 4 10" xfId="1735" xr:uid="{00000000-0005-0000-0000-0000511A0000}"/>
    <cellStyle name="20% - Accent4 4 10 2" xfId="14906" xr:uid="{00000000-0005-0000-0000-0000521A0000}"/>
    <cellStyle name="20% - Accent4 4 10 2 2" xfId="28455" xr:uid="{00000000-0005-0000-0000-0000531A0000}"/>
    <cellStyle name="20% - Accent4 4 10 3" xfId="19058" xr:uid="{00000000-0005-0000-0000-0000541A0000}"/>
    <cellStyle name="20% - Accent4 4 11" xfId="1736" xr:uid="{00000000-0005-0000-0000-0000551A0000}"/>
    <cellStyle name="20% - Accent4 4 11 2" xfId="15882" xr:uid="{00000000-0005-0000-0000-0000561A0000}"/>
    <cellStyle name="20% - Accent4 4 11 2 2" xfId="29289" xr:uid="{00000000-0005-0000-0000-0000571A0000}"/>
    <cellStyle name="20% - Accent4 4 11 3" xfId="19059" xr:uid="{00000000-0005-0000-0000-0000581A0000}"/>
    <cellStyle name="20% - Accent4 4 12" xfId="9069" xr:uid="{00000000-0005-0000-0000-0000591A0000}"/>
    <cellStyle name="20% - Accent4 4 12 2" xfId="23544" xr:uid="{00000000-0005-0000-0000-00005A1A0000}"/>
    <cellStyle name="20% - Accent4 4 13" xfId="19057" xr:uid="{00000000-0005-0000-0000-00005B1A0000}"/>
    <cellStyle name="20% - Accent4 4 2" xfId="1737" xr:uid="{00000000-0005-0000-0000-00005C1A0000}"/>
    <cellStyle name="20% - Accent4 4 2 10" xfId="1738" xr:uid="{00000000-0005-0000-0000-00005D1A0000}"/>
    <cellStyle name="20% - Accent4 4 2 10 2" xfId="16025" xr:uid="{00000000-0005-0000-0000-00005E1A0000}"/>
    <cellStyle name="20% - Accent4 4 2 10 2 2" xfId="29432" xr:uid="{00000000-0005-0000-0000-00005F1A0000}"/>
    <cellStyle name="20% - Accent4 4 2 10 3" xfId="19061" xr:uid="{00000000-0005-0000-0000-0000601A0000}"/>
    <cellStyle name="20% - Accent4 4 2 11" xfId="9070" xr:uid="{00000000-0005-0000-0000-0000611A0000}"/>
    <cellStyle name="20% - Accent4 4 2 11 2" xfId="23545" xr:uid="{00000000-0005-0000-0000-0000621A0000}"/>
    <cellStyle name="20% - Accent4 4 2 12" xfId="19060" xr:uid="{00000000-0005-0000-0000-0000631A0000}"/>
    <cellStyle name="20% - Accent4 4 2 2" xfId="1739" xr:uid="{00000000-0005-0000-0000-0000641A0000}"/>
    <cellStyle name="20% - Accent4 4 2 2 10" xfId="9071" xr:uid="{00000000-0005-0000-0000-0000651A0000}"/>
    <cellStyle name="20% - Accent4 4 2 2 10 2" xfId="23546" xr:uid="{00000000-0005-0000-0000-0000661A0000}"/>
    <cellStyle name="20% - Accent4 4 2 2 11" xfId="19062" xr:uid="{00000000-0005-0000-0000-0000671A0000}"/>
    <cellStyle name="20% - Accent4 4 2 2 2" xfId="1740" xr:uid="{00000000-0005-0000-0000-0000681A0000}"/>
    <cellStyle name="20% - Accent4 4 2 2 2 2" xfId="1741" xr:uid="{00000000-0005-0000-0000-0000691A0000}"/>
    <cellStyle name="20% - Accent4 4 2 2 2 2 2" xfId="10797" xr:uid="{00000000-0005-0000-0000-00006A1A0000}"/>
    <cellStyle name="20% - Accent4 4 2 2 2 2 2 2" xfId="24739" xr:uid="{00000000-0005-0000-0000-00006B1A0000}"/>
    <cellStyle name="20% - Accent4 4 2 2 2 2 3" xfId="19064" xr:uid="{00000000-0005-0000-0000-00006C1A0000}"/>
    <cellStyle name="20% - Accent4 4 2 2 2 3" xfId="1742" xr:uid="{00000000-0005-0000-0000-00006D1A0000}"/>
    <cellStyle name="20% - Accent4 4 2 2 2 3 2" xfId="11738" xr:uid="{00000000-0005-0000-0000-00006E1A0000}"/>
    <cellStyle name="20% - Accent4 4 2 2 2 3 2 2" xfId="25453" xr:uid="{00000000-0005-0000-0000-00006F1A0000}"/>
    <cellStyle name="20% - Accent4 4 2 2 2 3 3" xfId="19065" xr:uid="{00000000-0005-0000-0000-0000701A0000}"/>
    <cellStyle name="20% - Accent4 4 2 2 2 4" xfId="1743" xr:uid="{00000000-0005-0000-0000-0000711A0000}"/>
    <cellStyle name="20% - Accent4 4 2 2 2 4 2" xfId="14909" xr:uid="{00000000-0005-0000-0000-0000721A0000}"/>
    <cellStyle name="20% - Accent4 4 2 2 2 4 2 2" xfId="28458" xr:uid="{00000000-0005-0000-0000-0000731A0000}"/>
    <cellStyle name="20% - Accent4 4 2 2 2 4 3" xfId="19066" xr:uid="{00000000-0005-0000-0000-0000741A0000}"/>
    <cellStyle name="20% - Accent4 4 2 2 2 5" xfId="1744" xr:uid="{00000000-0005-0000-0000-0000751A0000}"/>
    <cellStyle name="20% - Accent4 4 2 2 2 5 2" xfId="16895" xr:uid="{00000000-0005-0000-0000-0000761A0000}"/>
    <cellStyle name="20% - Accent4 4 2 2 2 5 2 2" xfId="30302" xr:uid="{00000000-0005-0000-0000-0000771A0000}"/>
    <cellStyle name="20% - Accent4 4 2 2 2 5 3" xfId="19067" xr:uid="{00000000-0005-0000-0000-0000781A0000}"/>
    <cellStyle name="20% - Accent4 4 2 2 2 6" xfId="9072" xr:uid="{00000000-0005-0000-0000-0000791A0000}"/>
    <cellStyle name="20% - Accent4 4 2 2 2 6 2" xfId="23547" xr:uid="{00000000-0005-0000-0000-00007A1A0000}"/>
    <cellStyle name="20% - Accent4 4 2 2 2 7" xfId="19063" xr:uid="{00000000-0005-0000-0000-00007B1A0000}"/>
    <cellStyle name="20% - Accent4 4 2 2 3" xfId="1745" xr:uid="{00000000-0005-0000-0000-00007C1A0000}"/>
    <cellStyle name="20% - Accent4 4 2 2 3 2" xfId="1746" xr:uid="{00000000-0005-0000-0000-00007D1A0000}"/>
    <cellStyle name="20% - Accent4 4 2 2 3 2 2" xfId="14910" xr:uid="{00000000-0005-0000-0000-00007E1A0000}"/>
    <cellStyle name="20% - Accent4 4 2 2 3 2 2 2" xfId="28459" xr:uid="{00000000-0005-0000-0000-00007F1A0000}"/>
    <cellStyle name="20% - Accent4 4 2 2 3 2 3" xfId="19069" xr:uid="{00000000-0005-0000-0000-0000801A0000}"/>
    <cellStyle name="20% - Accent4 4 2 2 3 3" xfId="10796" xr:uid="{00000000-0005-0000-0000-0000811A0000}"/>
    <cellStyle name="20% - Accent4 4 2 2 3 3 2" xfId="24738" xr:uid="{00000000-0005-0000-0000-0000821A0000}"/>
    <cellStyle name="20% - Accent4 4 2 2 3 4" xfId="19068" xr:uid="{00000000-0005-0000-0000-0000831A0000}"/>
    <cellStyle name="20% - Accent4 4 2 2 4" xfId="1747" xr:uid="{00000000-0005-0000-0000-0000841A0000}"/>
    <cellStyle name="20% - Accent4 4 2 2 4 2" xfId="12283" xr:uid="{00000000-0005-0000-0000-0000851A0000}"/>
    <cellStyle name="20% - Accent4 4 2 2 4 2 2" xfId="25995" xr:uid="{00000000-0005-0000-0000-0000861A0000}"/>
    <cellStyle name="20% - Accent4 4 2 2 4 3" xfId="19070" xr:uid="{00000000-0005-0000-0000-0000871A0000}"/>
    <cellStyle name="20% - Accent4 4 2 2 5" xfId="1748" xr:uid="{00000000-0005-0000-0000-0000881A0000}"/>
    <cellStyle name="20% - Accent4 4 2 2 5 2" xfId="12751" xr:uid="{00000000-0005-0000-0000-0000891A0000}"/>
    <cellStyle name="20% - Accent4 4 2 2 5 2 2" xfId="26463" xr:uid="{00000000-0005-0000-0000-00008A1A0000}"/>
    <cellStyle name="20% - Accent4 4 2 2 5 3" xfId="19071" xr:uid="{00000000-0005-0000-0000-00008B1A0000}"/>
    <cellStyle name="20% - Accent4 4 2 2 6" xfId="1749" xr:uid="{00000000-0005-0000-0000-00008C1A0000}"/>
    <cellStyle name="20% - Accent4 4 2 2 6 2" xfId="13847" xr:uid="{00000000-0005-0000-0000-00008D1A0000}"/>
    <cellStyle name="20% - Accent4 4 2 2 6 2 2" xfId="27396" xr:uid="{00000000-0005-0000-0000-00008E1A0000}"/>
    <cellStyle name="20% - Accent4 4 2 2 6 3" xfId="19072" xr:uid="{00000000-0005-0000-0000-00008F1A0000}"/>
    <cellStyle name="20% - Accent4 4 2 2 7" xfId="1750" xr:uid="{00000000-0005-0000-0000-0000901A0000}"/>
    <cellStyle name="20% - Accent4 4 2 2 7 2" xfId="14428" xr:uid="{00000000-0005-0000-0000-0000911A0000}"/>
    <cellStyle name="20% - Accent4 4 2 2 7 2 2" xfId="27977" xr:uid="{00000000-0005-0000-0000-0000921A0000}"/>
    <cellStyle name="20% - Accent4 4 2 2 7 3" xfId="19073" xr:uid="{00000000-0005-0000-0000-0000931A0000}"/>
    <cellStyle name="20% - Accent4 4 2 2 8" xfId="1751" xr:uid="{00000000-0005-0000-0000-0000941A0000}"/>
    <cellStyle name="20% - Accent4 4 2 2 8 2" xfId="14908" xr:uid="{00000000-0005-0000-0000-0000951A0000}"/>
    <cellStyle name="20% - Accent4 4 2 2 8 2 2" xfId="28457" xr:uid="{00000000-0005-0000-0000-0000961A0000}"/>
    <cellStyle name="20% - Accent4 4 2 2 8 3" xfId="19074" xr:uid="{00000000-0005-0000-0000-0000971A0000}"/>
    <cellStyle name="20% - Accent4 4 2 2 9" xfId="1752" xr:uid="{00000000-0005-0000-0000-0000981A0000}"/>
    <cellStyle name="20% - Accent4 4 2 2 9 2" xfId="16314" xr:uid="{00000000-0005-0000-0000-0000991A0000}"/>
    <cellStyle name="20% - Accent4 4 2 2 9 2 2" xfId="29721" xr:uid="{00000000-0005-0000-0000-00009A1A0000}"/>
    <cellStyle name="20% - Accent4 4 2 2 9 3" xfId="19075" xr:uid="{00000000-0005-0000-0000-00009B1A0000}"/>
    <cellStyle name="20% - Accent4 4 2 3" xfId="1753" xr:uid="{00000000-0005-0000-0000-00009C1A0000}"/>
    <cellStyle name="20% - Accent4 4 2 3 2" xfId="1754" xr:uid="{00000000-0005-0000-0000-00009D1A0000}"/>
    <cellStyle name="20% - Accent4 4 2 3 2 2" xfId="10798" xr:uid="{00000000-0005-0000-0000-00009E1A0000}"/>
    <cellStyle name="20% - Accent4 4 2 3 2 2 2" xfId="24740" xr:uid="{00000000-0005-0000-0000-00009F1A0000}"/>
    <cellStyle name="20% - Accent4 4 2 3 2 3" xfId="19077" xr:uid="{00000000-0005-0000-0000-0000A01A0000}"/>
    <cellStyle name="20% - Accent4 4 2 3 3" xfId="1755" xr:uid="{00000000-0005-0000-0000-0000A11A0000}"/>
    <cellStyle name="20% - Accent4 4 2 3 3 2" xfId="12635" xr:uid="{00000000-0005-0000-0000-0000A21A0000}"/>
    <cellStyle name="20% - Accent4 4 2 3 3 2 2" xfId="26347" xr:uid="{00000000-0005-0000-0000-0000A31A0000}"/>
    <cellStyle name="20% - Accent4 4 2 3 3 3" xfId="19078" xr:uid="{00000000-0005-0000-0000-0000A41A0000}"/>
    <cellStyle name="20% - Accent4 4 2 3 4" xfId="1756" xr:uid="{00000000-0005-0000-0000-0000A51A0000}"/>
    <cellStyle name="20% - Accent4 4 2 3 4 2" xfId="14911" xr:uid="{00000000-0005-0000-0000-0000A61A0000}"/>
    <cellStyle name="20% - Accent4 4 2 3 4 2 2" xfId="28460" xr:uid="{00000000-0005-0000-0000-0000A71A0000}"/>
    <cellStyle name="20% - Accent4 4 2 3 4 3" xfId="19079" xr:uid="{00000000-0005-0000-0000-0000A81A0000}"/>
    <cellStyle name="20% - Accent4 4 2 3 5" xfId="1757" xr:uid="{00000000-0005-0000-0000-0000A91A0000}"/>
    <cellStyle name="20% - Accent4 4 2 3 5 2" xfId="16606" xr:uid="{00000000-0005-0000-0000-0000AA1A0000}"/>
    <cellStyle name="20% - Accent4 4 2 3 5 2 2" xfId="30013" xr:uid="{00000000-0005-0000-0000-0000AB1A0000}"/>
    <cellStyle name="20% - Accent4 4 2 3 5 3" xfId="19080" xr:uid="{00000000-0005-0000-0000-0000AC1A0000}"/>
    <cellStyle name="20% - Accent4 4 2 3 6" xfId="9073" xr:uid="{00000000-0005-0000-0000-0000AD1A0000}"/>
    <cellStyle name="20% - Accent4 4 2 3 6 2" xfId="23548" xr:uid="{00000000-0005-0000-0000-0000AE1A0000}"/>
    <cellStyle name="20% - Accent4 4 2 3 7" xfId="19076" xr:uid="{00000000-0005-0000-0000-0000AF1A0000}"/>
    <cellStyle name="20% - Accent4 4 2 4" xfId="1758" xr:uid="{00000000-0005-0000-0000-0000B01A0000}"/>
    <cellStyle name="20% - Accent4 4 2 4 2" xfId="1759" xr:uid="{00000000-0005-0000-0000-0000B11A0000}"/>
    <cellStyle name="20% - Accent4 4 2 4 2 2" xfId="14912" xr:uid="{00000000-0005-0000-0000-0000B21A0000}"/>
    <cellStyle name="20% - Accent4 4 2 4 2 2 2" xfId="28461" xr:uid="{00000000-0005-0000-0000-0000B31A0000}"/>
    <cellStyle name="20% - Accent4 4 2 4 2 3" xfId="19082" xr:uid="{00000000-0005-0000-0000-0000B41A0000}"/>
    <cellStyle name="20% - Accent4 4 2 4 3" xfId="10795" xr:uid="{00000000-0005-0000-0000-0000B51A0000}"/>
    <cellStyle name="20% - Accent4 4 2 4 3 2" xfId="24737" xr:uid="{00000000-0005-0000-0000-0000B61A0000}"/>
    <cellStyle name="20% - Accent4 4 2 4 4" xfId="19081" xr:uid="{00000000-0005-0000-0000-0000B71A0000}"/>
    <cellStyle name="20% - Accent4 4 2 5" xfId="1760" xr:uid="{00000000-0005-0000-0000-0000B81A0000}"/>
    <cellStyle name="20% - Accent4 4 2 5 2" xfId="11983" xr:uid="{00000000-0005-0000-0000-0000B91A0000}"/>
    <cellStyle name="20% - Accent4 4 2 5 2 2" xfId="25698" xr:uid="{00000000-0005-0000-0000-0000BA1A0000}"/>
    <cellStyle name="20% - Accent4 4 2 5 3" xfId="19083" xr:uid="{00000000-0005-0000-0000-0000BB1A0000}"/>
    <cellStyle name="20% - Accent4 4 2 6" xfId="1761" xr:uid="{00000000-0005-0000-0000-0000BC1A0000}"/>
    <cellStyle name="20% - Accent4 4 2 6 2" xfId="12507" xr:uid="{00000000-0005-0000-0000-0000BD1A0000}"/>
    <cellStyle name="20% - Accent4 4 2 6 2 2" xfId="26219" xr:uid="{00000000-0005-0000-0000-0000BE1A0000}"/>
    <cellStyle name="20% - Accent4 4 2 6 3" xfId="19084" xr:uid="{00000000-0005-0000-0000-0000BF1A0000}"/>
    <cellStyle name="20% - Accent4 4 2 7" xfId="1762" xr:uid="{00000000-0005-0000-0000-0000C01A0000}"/>
    <cellStyle name="20% - Accent4 4 2 7 2" xfId="13558" xr:uid="{00000000-0005-0000-0000-0000C11A0000}"/>
    <cellStyle name="20% - Accent4 4 2 7 2 2" xfId="27107" xr:uid="{00000000-0005-0000-0000-0000C21A0000}"/>
    <cellStyle name="20% - Accent4 4 2 7 3" xfId="19085" xr:uid="{00000000-0005-0000-0000-0000C31A0000}"/>
    <cellStyle name="20% - Accent4 4 2 8" xfId="1763" xr:uid="{00000000-0005-0000-0000-0000C41A0000}"/>
    <cellStyle name="20% - Accent4 4 2 8 2" xfId="14139" xr:uid="{00000000-0005-0000-0000-0000C51A0000}"/>
    <cellStyle name="20% - Accent4 4 2 8 2 2" xfId="27688" xr:uid="{00000000-0005-0000-0000-0000C61A0000}"/>
    <cellStyle name="20% - Accent4 4 2 8 3" xfId="19086" xr:uid="{00000000-0005-0000-0000-0000C71A0000}"/>
    <cellStyle name="20% - Accent4 4 2 9" xfId="1764" xr:uid="{00000000-0005-0000-0000-0000C81A0000}"/>
    <cellStyle name="20% - Accent4 4 2 9 2" xfId="14907" xr:uid="{00000000-0005-0000-0000-0000C91A0000}"/>
    <cellStyle name="20% - Accent4 4 2 9 2 2" xfId="28456" xr:uid="{00000000-0005-0000-0000-0000CA1A0000}"/>
    <cellStyle name="20% - Accent4 4 2 9 3" xfId="19087" xr:uid="{00000000-0005-0000-0000-0000CB1A0000}"/>
    <cellStyle name="20% - Accent4 4 3" xfId="1765" xr:uid="{00000000-0005-0000-0000-0000CC1A0000}"/>
    <cellStyle name="20% - Accent4 4 3 10" xfId="9074" xr:uid="{00000000-0005-0000-0000-0000CD1A0000}"/>
    <cellStyle name="20% - Accent4 4 3 10 2" xfId="23549" xr:uid="{00000000-0005-0000-0000-0000CE1A0000}"/>
    <cellStyle name="20% - Accent4 4 3 11" xfId="19088" xr:uid="{00000000-0005-0000-0000-0000CF1A0000}"/>
    <cellStyle name="20% - Accent4 4 3 2" xfId="1766" xr:uid="{00000000-0005-0000-0000-0000D01A0000}"/>
    <cellStyle name="20% - Accent4 4 3 2 2" xfId="1767" xr:uid="{00000000-0005-0000-0000-0000D11A0000}"/>
    <cellStyle name="20% - Accent4 4 3 2 2 2" xfId="10800" xr:uid="{00000000-0005-0000-0000-0000D21A0000}"/>
    <cellStyle name="20% - Accent4 4 3 2 2 2 2" xfId="24742" xr:uid="{00000000-0005-0000-0000-0000D31A0000}"/>
    <cellStyle name="20% - Accent4 4 3 2 2 3" xfId="19090" xr:uid="{00000000-0005-0000-0000-0000D41A0000}"/>
    <cellStyle name="20% - Accent4 4 3 2 3" xfId="1768" xr:uid="{00000000-0005-0000-0000-0000D51A0000}"/>
    <cellStyle name="20% - Accent4 4 3 2 3 2" xfId="12609" xr:uid="{00000000-0005-0000-0000-0000D61A0000}"/>
    <cellStyle name="20% - Accent4 4 3 2 3 2 2" xfId="26321" xr:uid="{00000000-0005-0000-0000-0000D71A0000}"/>
    <cellStyle name="20% - Accent4 4 3 2 3 3" xfId="19091" xr:uid="{00000000-0005-0000-0000-0000D81A0000}"/>
    <cellStyle name="20% - Accent4 4 3 2 4" xfId="1769" xr:uid="{00000000-0005-0000-0000-0000D91A0000}"/>
    <cellStyle name="20% - Accent4 4 3 2 4 2" xfId="14914" xr:uid="{00000000-0005-0000-0000-0000DA1A0000}"/>
    <cellStyle name="20% - Accent4 4 3 2 4 2 2" xfId="28463" xr:uid="{00000000-0005-0000-0000-0000DB1A0000}"/>
    <cellStyle name="20% - Accent4 4 3 2 4 3" xfId="19092" xr:uid="{00000000-0005-0000-0000-0000DC1A0000}"/>
    <cellStyle name="20% - Accent4 4 3 2 5" xfId="1770" xr:uid="{00000000-0005-0000-0000-0000DD1A0000}"/>
    <cellStyle name="20% - Accent4 4 3 2 5 2" xfId="16755" xr:uid="{00000000-0005-0000-0000-0000DE1A0000}"/>
    <cellStyle name="20% - Accent4 4 3 2 5 2 2" xfId="30162" xr:uid="{00000000-0005-0000-0000-0000DF1A0000}"/>
    <cellStyle name="20% - Accent4 4 3 2 5 3" xfId="19093" xr:uid="{00000000-0005-0000-0000-0000E01A0000}"/>
    <cellStyle name="20% - Accent4 4 3 2 6" xfId="9075" xr:uid="{00000000-0005-0000-0000-0000E11A0000}"/>
    <cellStyle name="20% - Accent4 4 3 2 6 2" xfId="23550" xr:uid="{00000000-0005-0000-0000-0000E21A0000}"/>
    <cellStyle name="20% - Accent4 4 3 2 7" xfId="19089" xr:uid="{00000000-0005-0000-0000-0000E31A0000}"/>
    <cellStyle name="20% - Accent4 4 3 3" xfId="1771" xr:uid="{00000000-0005-0000-0000-0000E41A0000}"/>
    <cellStyle name="20% - Accent4 4 3 3 2" xfId="1772" xr:uid="{00000000-0005-0000-0000-0000E51A0000}"/>
    <cellStyle name="20% - Accent4 4 3 3 2 2" xfId="14915" xr:uid="{00000000-0005-0000-0000-0000E61A0000}"/>
    <cellStyle name="20% - Accent4 4 3 3 2 2 2" xfId="28464" xr:uid="{00000000-0005-0000-0000-0000E71A0000}"/>
    <cellStyle name="20% - Accent4 4 3 3 2 3" xfId="19095" xr:uid="{00000000-0005-0000-0000-0000E81A0000}"/>
    <cellStyle name="20% - Accent4 4 3 3 3" xfId="10799" xr:uid="{00000000-0005-0000-0000-0000E91A0000}"/>
    <cellStyle name="20% - Accent4 4 3 3 3 2" xfId="24741" xr:uid="{00000000-0005-0000-0000-0000EA1A0000}"/>
    <cellStyle name="20% - Accent4 4 3 3 4" xfId="19094" xr:uid="{00000000-0005-0000-0000-0000EB1A0000}"/>
    <cellStyle name="20% - Accent4 4 3 4" xfId="1773" xr:uid="{00000000-0005-0000-0000-0000EC1A0000}"/>
    <cellStyle name="20% - Accent4 4 3 4 2" xfId="12143" xr:uid="{00000000-0005-0000-0000-0000ED1A0000}"/>
    <cellStyle name="20% - Accent4 4 3 4 2 2" xfId="25855" xr:uid="{00000000-0005-0000-0000-0000EE1A0000}"/>
    <cellStyle name="20% - Accent4 4 3 4 3" xfId="19096" xr:uid="{00000000-0005-0000-0000-0000EF1A0000}"/>
    <cellStyle name="20% - Accent4 4 3 5" xfId="1774" xr:uid="{00000000-0005-0000-0000-0000F01A0000}"/>
    <cellStyle name="20% - Accent4 4 3 5 2" xfId="12636" xr:uid="{00000000-0005-0000-0000-0000F11A0000}"/>
    <cellStyle name="20% - Accent4 4 3 5 2 2" xfId="26348" xr:uid="{00000000-0005-0000-0000-0000F21A0000}"/>
    <cellStyle name="20% - Accent4 4 3 5 3" xfId="19097" xr:uid="{00000000-0005-0000-0000-0000F31A0000}"/>
    <cellStyle name="20% - Accent4 4 3 6" xfId="1775" xr:uid="{00000000-0005-0000-0000-0000F41A0000}"/>
    <cellStyle name="20% - Accent4 4 3 6 2" xfId="13707" xr:uid="{00000000-0005-0000-0000-0000F51A0000}"/>
    <cellStyle name="20% - Accent4 4 3 6 2 2" xfId="27256" xr:uid="{00000000-0005-0000-0000-0000F61A0000}"/>
    <cellStyle name="20% - Accent4 4 3 6 3" xfId="19098" xr:uid="{00000000-0005-0000-0000-0000F71A0000}"/>
    <cellStyle name="20% - Accent4 4 3 7" xfId="1776" xr:uid="{00000000-0005-0000-0000-0000F81A0000}"/>
    <cellStyle name="20% - Accent4 4 3 7 2" xfId="14288" xr:uid="{00000000-0005-0000-0000-0000F91A0000}"/>
    <cellStyle name="20% - Accent4 4 3 7 2 2" xfId="27837" xr:uid="{00000000-0005-0000-0000-0000FA1A0000}"/>
    <cellStyle name="20% - Accent4 4 3 7 3" xfId="19099" xr:uid="{00000000-0005-0000-0000-0000FB1A0000}"/>
    <cellStyle name="20% - Accent4 4 3 8" xfId="1777" xr:uid="{00000000-0005-0000-0000-0000FC1A0000}"/>
    <cellStyle name="20% - Accent4 4 3 8 2" xfId="14913" xr:uid="{00000000-0005-0000-0000-0000FD1A0000}"/>
    <cellStyle name="20% - Accent4 4 3 8 2 2" xfId="28462" xr:uid="{00000000-0005-0000-0000-0000FE1A0000}"/>
    <cellStyle name="20% - Accent4 4 3 8 3" xfId="19100" xr:uid="{00000000-0005-0000-0000-0000FF1A0000}"/>
    <cellStyle name="20% - Accent4 4 3 9" xfId="1778" xr:uid="{00000000-0005-0000-0000-0000001B0000}"/>
    <cellStyle name="20% - Accent4 4 3 9 2" xfId="16174" xr:uid="{00000000-0005-0000-0000-0000011B0000}"/>
    <cellStyle name="20% - Accent4 4 3 9 2 2" xfId="29581" xr:uid="{00000000-0005-0000-0000-0000021B0000}"/>
    <cellStyle name="20% - Accent4 4 3 9 3" xfId="19101" xr:uid="{00000000-0005-0000-0000-0000031B0000}"/>
    <cellStyle name="20% - Accent4 4 4" xfId="1779" xr:uid="{00000000-0005-0000-0000-0000041B0000}"/>
    <cellStyle name="20% - Accent4 4 4 2" xfId="1780" xr:uid="{00000000-0005-0000-0000-0000051B0000}"/>
    <cellStyle name="20% - Accent4 4 4 2 2" xfId="10801" xr:uid="{00000000-0005-0000-0000-0000061B0000}"/>
    <cellStyle name="20% - Accent4 4 4 2 2 2" xfId="24743" xr:uid="{00000000-0005-0000-0000-0000071B0000}"/>
    <cellStyle name="20% - Accent4 4 4 2 3" xfId="19103" xr:uid="{00000000-0005-0000-0000-0000081B0000}"/>
    <cellStyle name="20% - Accent4 4 4 3" xfId="1781" xr:uid="{00000000-0005-0000-0000-0000091B0000}"/>
    <cellStyle name="20% - Accent4 4 4 3 2" xfId="12425" xr:uid="{00000000-0005-0000-0000-00000A1B0000}"/>
    <cellStyle name="20% - Accent4 4 4 3 2 2" xfId="26137" xr:uid="{00000000-0005-0000-0000-00000B1B0000}"/>
    <cellStyle name="20% - Accent4 4 4 3 3" xfId="19104" xr:uid="{00000000-0005-0000-0000-00000C1B0000}"/>
    <cellStyle name="20% - Accent4 4 4 4" xfId="1782" xr:uid="{00000000-0005-0000-0000-00000D1B0000}"/>
    <cellStyle name="20% - Accent4 4 4 4 2" xfId="14916" xr:uid="{00000000-0005-0000-0000-00000E1B0000}"/>
    <cellStyle name="20% - Accent4 4 4 4 2 2" xfId="28465" xr:uid="{00000000-0005-0000-0000-00000F1B0000}"/>
    <cellStyle name="20% - Accent4 4 4 4 3" xfId="19105" xr:uid="{00000000-0005-0000-0000-0000101B0000}"/>
    <cellStyle name="20% - Accent4 4 4 5" xfId="1783" xr:uid="{00000000-0005-0000-0000-0000111B0000}"/>
    <cellStyle name="20% - Accent4 4 4 5 2" xfId="16463" xr:uid="{00000000-0005-0000-0000-0000121B0000}"/>
    <cellStyle name="20% - Accent4 4 4 5 2 2" xfId="29870" xr:uid="{00000000-0005-0000-0000-0000131B0000}"/>
    <cellStyle name="20% - Accent4 4 4 5 3" xfId="19106" xr:uid="{00000000-0005-0000-0000-0000141B0000}"/>
    <cellStyle name="20% - Accent4 4 4 6" xfId="9076" xr:uid="{00000000-0005-0000-0000-0000151B0000}"/>
    <cellStyle name="20% - Accent4 4 4 6 2" xfId="23551" xr:uid="{00000000-0005-0000-0000-0000161B0000}"/>
    <cellStyle name="20% - Accent4 4 4 7" xfId="19102" xr:uid="{00000000-0005-0000-0000-0000171B0000}"/>
    <cellStyle name="20% - Accent4 4 5" xfId="1784" xr:uid="{00000000-0005-0000-0000-0000181B0000}"/>
    <cellStyle name="20% - Accent4 4 5 2" xfId="1785" xr:uid="{00000000-0005-0000-0000-0000191B0000}"/>
    <cellStyle name="20% - Accent4 4 5 2 2" xfId="14917" xr:uid="{00000000-0005-0000-0000-00001A1B0000}"/>
    <cellStyle name="20% - Accent4 4 5 2 2 2" xfId="28466" xr:uid="{00000000-0005-0000-0000-00001B1B0000}"/>
    <cellStyle name="20% - Accent4 4 5 2 3" xfId="19108" xr:uid="{00000000-0005-0000-0000-00001C1B0000}"/>
    <cellStyle name="20% - Accent4 4 5 3" xfId="10794" xr:uid="{00000000-0005-0000-0000-00001D1B0000}"/>
    <cellStyle name="20% - Accent4 4 5 3 2" xfId="24736" xr:uid="{00000000-0005-0000-0000-00001E1B0000}"/>
    <cellStyle name="20% - Accent4 4 5 4" xfId="19107" xr:uid="{00000000-0005-0000-0000-00001F1B0000}"/>
    <cellStyle name="20% - Accent4 4 6" xfId="1786" xr:uid="{00000000-0005-0000-0000-0000201B0000}"/>
    <cellStyle name="20% - Accent4 4 6 2" xfId="11814" xr:uid="{00000000-0005-0000-0000-0000211B0000}"/>
    <cellStyle name="20% - Accent4 4 6 2 2" xfId="25529" xr:uid="{00000000-0005-0000-0000-0000221B0000}"/>
    <cellStyle name="20% - Accent4 4 6 3" xfId="19109" xr:uid="{00000000-0005-0000-0000-0000231B0000}"/>
    <cellStyle name="20% - Accent4 4 7" xfId="1787" xr:uid="{00000000-0005-0000-0000-0000241B0000}"/>
    <cellStyle name="20% - Accent4 4 7 2" xfId="11858" xr:uid="{00000000-0005-0000-0000-0000251B0000}"/>
    <cellStyle name="20% - Accent4 4 7 2 2" xfId="25573" xr:uid="{00000000-0005-0000-0000-0000261B0000}"/>
    <cellStyle name="20% - Accent4 4 7 3" xfId="19110" xr:uid="{00000000-0005-0000-0000-0000271B0000}"/>
    <cellStyle name="20% - Accent4 4 8" xfId="1788" xr:uid="{00000000-0005-0000-0000-0000281B0000}"/>
    <cellStyle name="20% - Accent4 4 8 2" xfId="13415" xr:uid="{00000000-0005-0000-0000-0000291B0000}"/>
    <cellStyle name="20% - Accent4 4 8 2 2" xfId="26964" xr:uid="{00000000-0005-0000-0000-00002A1B0000}"/>
    <cellStyle name="20% - Accent4 4 8 3" xfId="19111" xr:uid="{00000000-0005-0000-0000-00002B1B0000}"/>
    <cellStyle name="20% - Accent4 4 9" xfId="1789" xr:uid="{00000000-0005-0000-0000-00002C1B0000}"/>
    <cellStyle name="20% - Accent4 4 9 2" xfId="13996" xr:uid="{00000000-0005-0000-0000-00002D1B0000}"/>
    <cellStyle name="20% - Accent4 4 9 2 2" xfId="27545" xr:uid="{00000000-0005-0000-0000-00002E1B0000}"/>
    <cellStyle name="20% - Accent4 4 9 3" xfId="19112" xr:uid="{00000000-0005-0000-0000-00002F1B0000}"/>
    <cellStyle name="20% - Accent4 5" xfId="1790" xr:uid="{00000000-0005-0000-0000-0000301B0000}"/>
    <cellStyle name="20% - Accent4 5 10" xfId="1791" xr:uid="{00000000-0005-0000-0000-0000311B0000}"/>
    <cellStyle name="20% - Accent4 5 10 2" xfId="14918" xr:uid="{00000000-0005-0000-0000-0000321B0000}"/>
    <cellStyle name="20% - Accent4 5 10 2 2" xfId="28467" xr:uid="{00000000-0005-0000-0000-0000331B0000}"/>
    <cellStyle name="20% - Accent4 5 10 3" xfId="19114" xr:uid="{00000000-0005-0000-0000-0000341B0000}"/>
    <cellStyle name="20% - Accent4 5 11" xfId="1792" xr:uid="{00000000-0005-0000-0000-0000351B0000}"/>
    <cellStyle name="20% - Accent4 5 11 2" xfId="15865" xr:uid="{00000000-0005-0000-0000-0000361B0000}"/>
    <cellStyle name="20% - Accent4 5 11 2 2" xfId="29272" xr:uid="{00000000-0005-0000-0000-0000371B0000}"/>
    <cellStyle name="20% - Accent4 5 11 3" xfId="19115" xr:uid="{00000000-0005-0000-0000-0000381B0000}"/>
    <cellStyle name="20% - Accent4 5 12" xfId="9077" xr:uid="{00000000-0005-0000-0000-0000391B0000}"/>
    <cellStyle name="20% - Accent4 5 12 2" xfId="23552" xr:uid="{00000000-0005-0000-0000-00003A1B0000}"/>
    <cellStyle name="20% - Accent4 5 13" xfId="19113" xr:uid="{00000000-0005-0000-0000-00003B1B0000}"/>
    <cellStyle name="20% - Accent4 5 2" xfId="1793" xr:uid="{00000000-0005-0000-0000-00003C1B0000}"/>
    <cellStyle name="20% - Accent4 5 2 10" xfId="1794" xr:uid="{00000000-0005-0000-0000-00003D1B0000}"/>
    <cellStyle name="20% - Accent4 5 2 10 2" xfId="16008" xr:uid="{00000000-0005-0000-0000-00003E1B0000}"/>
    <cellStyle name="20% - Accent4 5 2 10 2 2" xfId="29415" xr:uid="{00000000-0005-0000-0000-00003F1B0000}"/>
    <cellStyle name="20% - Accent4 5 2 10 3" xfId="19117" xr:uid="{00000000-0005-0000-0000-0000401B0000}"/>
    <cellStyle name="20% - Accent4 5 2 11" xfId="9078" xr:uid="{00000000-0005-0000-0000-0000411B0000}"/>
    <cellStyle name="20% - Accent4 5 2 11 2" xfId="23553" xr:uid="{00000000-0005-0000-0000-0000421B0000}"/>
    <cellStyle name="20% - Accent4 5 2 12" xfId="19116" xr:uid="{00000000-0005-0000-0000-0000431B0000}"/>
    <cellStyle name="20% - Accent4 5 2 2" xfId="1795" xr:uid="{00000000-0005-0000-0000-0000441B0000}"/>
    <cellStyle name="20% - Accent4 5 2 2 10" xfId="9079" xr:uid="{00000000-0005-0000-0000-0000451B0000}"/>
    <cellStyle name="20% - Accent4 5 2 2 10 2" xfId="23554" xr:uid="{00000000-0005-0000-0000-0000461B0000}"/>
    <cellStyle name="20% - Accent4 5 2 2 11" xfId="19118" xr:uid="{00000000-0005-0000-0000-0000471B0000}"/>
    <cellStyle name="20% - Accent4 5 2 2 2" xfId="1796" xr:uid="{00000000-0005-0000-0000-0000481B0000}"/>
    <cellStyle name="20% - Accent4 5 2 2 2 2" xfId="1797" xr:uid="{00000000-0005-0000-0000-0000491B0000}"/>
    <cellStyle name="20% - Accent4 5 2 2 2 2 2" xfId="10805" xr:uid="{00000000-0005-0000-0000-00004A1B0000}"/>
    <cellStyle name="20% - Accent4 5 2 2 2 2 2 2" xfId="24747" xr:uid="{00000000-0005-0000-0000-00004B1B0000}"/>
    <cellStyle name="20% - Accent4 5 2 2 2 2 3" xfId="19120" xr:uid="{00000000-0005-0000-0000-00004C1B0000}"/>
    <cellStyle name="20% - Accent4 5 2 2 2 3" xfId="1798" xr:uid="{00000000-0005-0000-0000-00004D1B0000}"/>
    <cellStyle name="20% - Accent4 5 2 2 2 3 2" xfId="12738" xr:uid="{00000000-0005-0000-0000-00004E1B0000}"/>
    <cellStyle name="20% - Accent4 5 2 2 2 3 2 2" xfId="26450" xr:uid="{00000000-0005-0000-0000-00004F1B0000}"/>
    <cellStyle name="20% - Accent4 5 2 2 2 3 3" xfId="19121" xr:uid="{00000000-0005-0000-0000-0000501B0000}"/>
    <cellStyle name="20% - Accent4 5 2 2 2 4" xfId="1799" xr:uid="{00000000-0005-0000-0000-0000511B0000}"/>
    <cellStyle name="20% - Accent4 5 2 2 2 4 2" xfId="14921" xr:uid="{00000000-0005-0000-0000-0000521B0000}"/>
    <cellStyle name="20% - Accent4 5 2 2 2 4 2 2" xfId="28470" xr:uid="{00000000-0005-0000-0000-0000531B0000}"/>
    <cellStyle name="20% - Accent4 5 2 2 2 4 3" xfId="19122" xr:uid="{00000000-0005-0000-0000-0000541B0000}"/>
    <cellStyle name="20% - Accent4 5 2 2 2 5" xfId="1800" xr:uid="{00000000-0005-0000-0000-0000551B0000}"/>
    <cellStyle name="20% - Accent4 5 2 2 2 5 2" xfId="16878" xr:uid="{00000000-0005-0000-0000-0000561B0000}"/>
    <cellStyle name="20% - Accent4 5 2 2 2 5 2 2" xfId="30285" xr:uid="{00000000-0005-0000-0000-0000571B0000}"/>
    <cellStyle name="20% - Accent4 5 2 2 2 5 3" xfId="19123" xr:uid="{00000000-0005-0000-0000-0000581B0000}"/>
    <cellStyle name="20% - Accent4 5 2 2 2 6" xfId="9080" xr:uid="{00000000-0005-0000-0000-0000591B0000}"/>
    <cellStyle name="20% - Accent4 5 2 2 2 6 2" xfId="23555" xr:uid="{00000000-0005-0000-0000-00005A1B0000}"/>
    <cellStyle name="20% - Accent4 5 2 2 2 7" xfId="19119" xr:uid="{00000000-0005-0000-0000-00005B1B0000}"/>
    <cellStyle name="20% - Accent4 5 2 2 3" xfId="1801" xr:uid="{00000000-0005-0000-0000-00005C1B0000}"/>
    <cellStyle name="20% - Accent4 5 2 2 3 2" xfId="1802" xr:uid="{00000000-0005-0000-0000-00005D1B0000}"/>
    <cellStyle name="20% - Accent4 5 2 2 3 2 2" xfId="14922" xr:uid="{00000000-0005-0000-0000-00005E1B0000}"/>
    <cellStyle name="20% - Accent4 5 2 2 3 2 2 2" xfId="28471" xr:uid="{00000000-0005-0000-0000-00005F1B0000}"/>
    <cellStyle name="20% - Accent4 5 2 2 3 2 3" xfId="19125" xr:uid="{00000000-0005-0000-0000-0000601B0000}"/>
    <cellStyle name="20% - Accent4 5 2 2 3 3" xfId="10804" xr:uid="{00000000-0005-0000-0000-0000611B0000}"/>
    <cellStyle name="20% - Accent4 5 2 2 3 3 2" xfId="24746" xr:uid="{00000000-0005-0000-0000-0000621B0000}"/>
    <cellStyle name="20% - Accent4 5 2 2 3 4" xfId="19124" xr:uid="{00000000-0005-0000-0000-0000631B0000}"/>
    <cellStyle name="20% - Accent4 5 2 2 4" xfId="1803" xr:uid="{00000000-0005-0000-0000-0000641B0000}"/>
    <cellStyle name="20% - Accent4 5 2 2 4 2" xfId="12266" xr:uid="{00000000-0005-0000-0000-0000651B0000}"/>
    <cellStyle name="20% - Accent4 5 2 2 4 2 2" xfId="25978" xr:uid="{00000000-0005-0000-0000-0000661B0000}"/>
    <cellStyle name="20% - Accent4 5 2 2 4 3" xfId="19126" xr:uid="{00000000-0005-0000-0000-0000671B0000}"/>
    <cellStyle name="20% - Accent4 5 2 2 5" xfId="1804" xr:uid="{00000000-0005-0000-0000-0000681B0000}"/>
    <cellStyle name="20% - Accent4 5 2 2 5 2" xfId="12770" xr:uid="{00000000-0005-0000-0000-0000691B0000}"/>
    <cellStyle name="20% - Accent4 5 2 2 5 2 2" xfId="26482" xr:uid="{00000000-0005-0000-0000-00006A1B0000}"/>
    <cellStyle name="20% - Accent4 5 2 2 5 3" xfId="19127" xr:uid="{00000000-0005-0000-0000-00006B1B0000}"/>
    <cellStyle name="20% - Accent4 5 2 2 6" xfId="1805" xr:uid="{00000000-0005-0000-0000-00006C1B0000}"/>
    <cellStyle name="20% - Accent4 5 2 2 6 2" xfId="13830" xr:uid="{00000000-0005-0000-0000-00006D1B0000}"/>
    <cellStyle name="20% - Accent4 5 2 2 6 2 2" xfId="27379" xr:uid="{00000000-0005-0000-0000-00006E1B0000}"/>
    <cellStyle name="20% - Accent4 5 2 2 6 3" xfId="19128" xr:uid="{00000000-0005-0000-0000-00006F1B0000}"/>
    <cellStyle name="20% - Accent4 5 2 2 7" xfId="1806" xr:uid="{00000000-0005-0000-0000-0000701B0000}"/>
    <cellStyle name="20% - Accent4 5 2 2 7 2" xfId="14411" xr:uid="{00000000-0005-0000-0000-0000711B0000}"/>
    <cellStyle name="20% - Accent4 5 2 2 7 2 2" xfId="27960" xr:uid="{00000000-0005-0000-0000-0000721B0000}"/>
    <cellStyle name="20% - Accent4 5 2 2 7 3" xfId="19129" xr:uid="{00000000-0005-0000-0000-0000731B0000}"/>
    <cellStyle name="20% - Accent4 5 2 2 8" xfId="1807" xr:uid="{00000000-0005-0000-0000-0000741B0000}"/>
    <cellStyle name="20% - Accent4 5 2 2 8 2" xfId="14920" xr:uid="{00000000-0005-0000-0000-0000751B0000}"/>
    <cellStyle name="20% - Accent4 5 2 2 8 2 2" xfId="28469" xr:uid="{00000000-0005-0000-0000-0000761B0000}"/>
    <cellStyle name="20% - Accent4 5 2 2 8 3" xfId="19130" xr:uid="{00000000-0005-0000-0000-0000771B0000}"/>
    <cellStyle name="20% - Accent4 5 2 2 9" xfId="1808" xr:uid="{00000000-0005-0000-0000-0000781B0000}"/>
    <cellStyle name="20% - Accent4 5 2 2 9 2" xfId="16297" xr:uid="{00000000-0005-0000-0000-0000791B0000}"/>
    <cellStyle name="20% - Accent4 5 2 2 9 2 2" xfId="29704" xr:uid="{00000000-0005-0000-0000-00007A1B0000}"/>
    <cellStyle name="20% - Accent4 5 2 2 9 3" xfId="19131" xr:uid="{00000000-0005-0000-0000-00007B1B0000}"/>
    <cellStyle name="20% - Accent4 5 2 3" xfId="1809" xr:uid="{00000000-0005-0000-0000-00007C1B0000}"/>
    <cellStyle name="20% - Accent4 5 2 3 2" xfId="1810" xr:uid="{00000000-0005-0000-0000-00007D1B0000}"/>
    <cellStyle name="20% - Accent4 5 2 3 2 2" xfId="10806" xr:uid="{00000000-0005-0000-0000-00007E1B0000}"/>
    <cellStyle name="20% - Accent4 5 2 3 2 2 2" xfId="24748" xr:uid="{00000000-0005-0000-0000-00007F1B0000}"/>
    <cellStyle name="20% - Accent4 5 2 3 2 3" xfId="19133" xr:uid="{00000000-0005-0000-0000-0000801B0000}"/>
    <cellStyle name="20% - Accent4 5 2 3 3" xfId="1811" xr:uid="{00000000-0005-0000-0000-0000811B0000}"/>
    <cellStyle name="20% - Accent4 5 2 3 3 2" xfId="12529" xr:uid="{00000000-0005-0000-0000-0000821B0000}"/>
    <cellStyle name="20% - Accent4 5 2 3 3 2 2" xfId="26241" xr:uid="{00000000-0005-0000-0000-0000831B0000}"/>
    <cellStyle name="20% - Accent4 5 2 3 3 3" xfId="19134" xr:uid="{00000000-0005-0000-0000-0000841B0000}"/>
    <cellStyle name="20% - Accent4 5 2 3 4" xfId="1812" xr:uid="{00000000-0005-0000-0000-0000851B0000}"/>
    <cellStyle name="20% - Accent4 5 2 3 4 2" xfId="14923" xr:uid="{00000000-0005-0000-0000-0000861B0000}"/>
    <cellStyle name="20% - Accent4 5 2 3 4 2 2" xfId="28472" xr:uid="{00000000-0005-0000-0000-0000871B0000}"/>
    <cellStyle name="20% - Accent4 5 2 3 4 3" xfId="19135" xr:uid="{00000000-0005-0000-0000-0000881B0000}"/>
    <cellStyle name="20% - Accent4 5 2 3 5" xfId="1813" xr:uid="{00000000-0005-0000-0000-0000891B0000}"/>
    <cellStyle name="20% - Accent4 5 2 3 5 2" xfId="16589" xr:uid="{00000000-0005-0000-0000-00008A1B0000}"/>
    <cellStyle name="20% - Accent4 5 2 3 5 2 2" xfId="29996" xr:uid="{00000000-0005-0000-0000-00008B1B0000}"/>
    <cellStyle name="20% - Accent4 5 2 3 5 3" xfId="19136" xr:uid="{00000000-0005-0000-0000-00008C1B0000}"/>
    <cellStyle name="20% - Accent4 5 2 3 6" xfId="9081" xr:uid="{00000000-0005-0000-0000-00008D1B0000}"/>
    <cellStyle name="20% - Accent4 5 2 3 6 2" xfId="23556" xr:uid="{00000000-0005-0000-0000-00008E1B0000}"/>
    <cellStyle name="20% - Accent4 5 2 3 7" xfId="19132" xr:uid="{00000000-0005-0000-0000-00008F1B0000}"/>
    <cellStyle name="20% - Accent4 5 2 4" xfId="1814" xr:uid="{00000000-0005-0000-0000-0000901B0000}"/>
    <cellStyle name="20% - Accent4 5 2 4 2" xfId="1815" xr:uid="{00000000-0005-0000-0000-0000911B0000}"/>
    <cellStyle name="20% - Accent4 5 2 4 2 2" xfId="14924" xr:uid="{00000000-0005-0000-0000-0000921B0000}"/>
    <cellStyle name="20% - Accent4 5 2 4 2 2 2" xfId="28473" xr:uid="{00000000-0005-0000-0000-0000931B0000}"/>
    <cellStyle name="20% - Accent4 5 2 4 2 3" xfId="19138" xr:uid="{00000000-0005-0000-0000-0000941B0000}"/>
    <cellStyle name="20% - Accent4 5 2 4 3" xfId="10803" xr:uid="{00000000-0005-0000-0000-0000951B0000}"/>
    <cellStyle name="20% - Accent4 5 2 4 3 2" xfId="24745" xr:uid="{00000000-0005-0000-0000-0000961B0000}"/>
    <cellStyle name="20% - Accent4 5 2 4 4" xfId="19137" xr:uid="{00000000-0005-0000-0000-0000971B0000}"/>
    <cellStyle name="20% - Accent4 5 2 5" xfId="1816" xr:uid="{00000000-0005-0000-0000-0000981B0000}"/>
    <cellStyle name="20% - Accent4 5 2 5 2" xfId="11966" xr:uid="{00000000-0005-0000-0000-0000991B0000}"/>
    <cellStyle name="20% - Accent4 5 2 5 2 2" xfId="25681" xr:uid="{00000000-0005-0000-0000-00009A1B0000}"/>
    <cellStyle name="20% - Accent4 5 2 5 3" xfId="19139" xr:uid="{00000000-0005-0000-0000-00009B1B0000}"/>
    <cellStyle name="20% - Accent4 5 2 6" xfId="1817" xr:uid="{00000000-0005-0000-0000-00009C1B0000}"/>
    <cellStyle name="20% - Accent4 5 2 6 2" xfId="12715" xr:uid="{00000000-0005-0000-0000-00009D1B0000}"/>
    <cellStyle name="20% - Accent4 5 2 6 2 2" xfId="26427" xr:uid="{00000000-0005-0000-0000-00009E1B0000}"/>
    <cellStyle name="20% - Accent4 5 2 6 3" xfId="19140" xr:uid="{00000000-0005-0000-0000-00009F1B0000}"/>
    <cellStyle name="20% - Accent4 5 2 7" xfId="1818" xr:uid="{00000000-0005-0000-0000-0000A01B0000}"/>
    <cellStyle name="20% - Accent4 5 2 7 2" xfId="13541" xr:uid="{00000000-0005-0000-0000-0000A11B0000}"/>
    <cellStyle name="20% - Accent4 5 2 7 2 2" xfId="27090" xr:uid="{00000000-0005-0000-0000-0000A21B0000}"/>
    <cellStyle name="20% - Accent4 5 2 7 3" xfId="19141" xr:uid="{00000000-0005-0000-0000-0000A31B0000}"/>
    <cellStyle name="20% - Accent4 5 2 8" xfId="1819" xr:uid="{00000000-0005-0000-0000-0000A41B0000}"/>
    <cellStyle name="20% - Accent4 5 2 8 2" xfId="14122" xr:uid="{00000000-0005-0000-0000-0000A51B0000}"/>
    <cellStyle name="20% - Accent4 5 2 8 2 2" xfId="27671" xr:uid="{00000000-0005-0000-0000-0000A61B0000}"/>
    <cellStyle name="20% - Accent4 5 2 8 3" xfId="19142" xr:uid="{00000000-0005-0000-0000-0000A71B0000}"/>
    <cellStyle name="20% - Accent4 5 2 9" xfId="1820" xr:uid="{00000000-0005-0000-0000-0000A81B0000}"/>
    <cellStyle name="20% - Accent4 5 2 9 2" xfId="14919" xr:uid="{00000000-0005-0000-0000-0000A91B0000}"/>
    <cellStyle name="20% - Accent4 5 2 9 2 2" xfId="28468" xr:uid="{00000000-0005-0000-0000-0000AA1B0000}"/>
    <cellStyle name="20% - Accent4 5 2 9 3" xfId="19143" xr:uid="{00000000-0005-0000-0000-0000AB1B0000}"/>
    <cellStyle name="20% - Accent4 5 3" xfId="1821" xr:uid="{00000000-0005-0000-0000-0000AC1B0000}"/>
    <cellStyle name="20% - Accent4 5 3 10" xfId="9082" xr:uid="{00000000-0005-0000-0000-0000AD1B0000}"/>
    <cellStyle name="20% - Accent4 5 3 10 2" xfId="23557" xr:uid="{00000000-0005-0000-0000-0000AE1B0000}"/>
    <cellStyle name="20% - Accent4 5 3 11" xfId="19144" xr:uid="{00000000-0005-0000-0000-0000AF1B0000}"/>
    <cellStyle name="20% - Accent4 5 3 2" xfId="1822" xr:uid="{00000000-0005-0000-0000-0000B01B0000}"/>
    <cellStyle name="20% - Accent4 5 3 2 2" xfId="1823" xr:uid="{00000000-0005-0000-0000-0000B11B0000}"/>
    <cellStyle name="20% - Accent4 5 3 2 2 2" xfId="10808" xr:uid="{00000000-0005-0000-0000-0000B21B0000}"/>
    <cellStyle name="20% - Accent4 5 3 2 2 2 2" xfId="24750" xr:uid="{00000000-0005-0000-0000-0000B31B0000}"/>
    <cellStyle name="20% - Accent4 5 3 2 2 3" xfId="19146" xr:uid="{00000000-0005-0000-0000-0000B41B0000}"/>
    <cellStyle name="20% - Accent4 5 3 2 3" xfId="1824" xr:uid="{00000000-0005-0000-0000-0000B51B0000}"/>
    <cellStyle name="20% - Accent4 5 3 2 3 2" xfId="12536" xr:uid="{00000000-0005-0000-0000-0000B61B0000}"/>
    <cellStyle name="20% - Accent4 5 3 2 3 2 2" xfId="26248" xr:uid="{00000000-0005-0000-0000-0000B71B0000}"/>
    <cellStyle name="20% - Accent4 5 3 2 3 3" xfId="19147" xr:uid="{00000000-0005-0000-0000-0000B81B0000}"/>
    <cellStyle name="20% - Accent4 5 3 2 4" xfId="1825" xr:uid="{00000000-0005-0000-0000-0000B91B0000}"/>
    <cellStyle name="20% - Accent4 5 3 2 4 2" xfId="14926" xr:uid="{00000000-0005-0000-0000-0000BA1B0000}"/>
    <cellStyle name="20% - Accent4 5 3 2 4 2 2" xfId="28475" xr:uid="{00000000-0005-0000-0000-0000BB1B0000}"/>
    <cellStyle name="20% - Accent4 5 3 2 4 3" xfId="19148" xr:uid="{00000000-0005-0000-0000-0000BC1B0000}"/>
    <cellStyle name="20% - Accent4 5 3 2 5" xfId="1826" xr:uid="{00000000-0005-0000-0000-0000BD1B0000}"/>
    <cellStyle name="20% - Accent4 5 3 2 5 2" xfId="16738" xr:uid="{00000000-0005-0000-0000-0000BE1B0000}"/>
    <cellStyle name="20% - Accent4 5 3 2 5 2 2" xfId="30145" xr:uid="{00000000-0005-0000-0000-0000BF1B0000}"/>
    <cellStyle name="20% - Accent4 5 3 2 5 3" xfId="19149" xr:uid="{00000000-0005-0000-0000-0000C01B0000}"/>
    <cellStyle name="20% - Accent4 5 3 2 6" xfId="9083" xr:uid="{00000000-0005-0000-0000-0000C11B0000}"/>
    <cellStyle name="20% - Accent4 5 3 2 6 2" xfId="23558" xr:uid="{00000000-0005-0000-0000-0000C21B0000}"/>
    <cellStyle name="20% - Accent4 5 3 2 7" xfId="19145" xr:uid="{00000000-0005-0000-0000-0000C31B0000}"/>
    <cellStyle name="20% - Accent4 5 3 3" xfId="1827" xr:uid="{00000000-0005-0000-0000-0000C41B0000}"/>
    <cellStyle name="20% - Accent4 5 3 3 2" xfId="1828" xr:uid="{00000000-0005-0000-0000-0000C51B0000}"/>
    <cellStyle name="20% - Accent4 5 3 3 2 2" xfId="14927" xr:uid="{00000000-0005-0000-0000-0000C61B0000}"/>
    <cellStyle name="20% - Accent4 5 3 3 2 2 2" xfId="28476" xr:uid="{00000000-0005-0000-0000-0000C71B0000}"/>
    <cellStyle name="20% - Accent4 5 3 3 2 3" xfId="19151" xr:uid="{00000000-0005-0000-0000-0000C81B0000}"/>
    <cellStyle name="20% - Accent4 5 3 3 3" xfId="10807" xr:uid="{00000000-0005-0000-0000-0000C91B0000}"/>
    <cellStyle name="20% - Accent4 5 3 3 3 2" xfId="24749" xr:uid="{00000000-0005-0000-0000-0000CA1B0000}"/>
    <cellStyle name="20% - Accent4 5 3 3 4" xfId="19150" xr:uid="{00000000-0005-0000-0000-0000CB1B0000}"/>
    <cellStyle name="20% - Accent4 5 3 4" xfId="1829" xr:uid="{00000000-0005-0000-0000-0000CC1B0000}"/>
    <cellStyle name="20% - Accent4 5 3 4 2" xfId="12126" xr:uid="{00000000-0005-0000-0000-0000CD1B0000}"/>
    <cellStyle name="20% - Accent4 5 3 4 2 2" xfId="25838" xr:uid="{00000000-0005-0000-0000-0000CE1B0000}"/>
    <cellStyle name="20% - Accent4 5 3 4 3" xfId="19152" xr:uid="{00000000-0005-0000-0000-0000CF1B0000}"/>
    <cellStyle name="20% - Accent4 5 3 5" xfId="1830" xr:uid="{00000000-0005-0000-0000-0000D01B0000}"/>
    <cellStyle name="20% - Accent4 5 3 5 2" xfId="12563" xr:uid="{00000000-0005-0000-0000-0000D11B0000}"/>
    <cellStyle name="20% - Accent4 5 3 5 2 2" xfId="26275" xr:uid="{00000000-0005-0000-0000-0000D21B0000}"/>
    <cellStyle name="20% - Accent4 5 3 5 3" xfId="19153" xr:uid="{00000000-0005-0000-0000-0000D31B0000}"/>
    <cellStyle name="20% - Accent4 5 3 6" xfId="1831" xr:uid="{00000000-0005-0000-0000-0000D41B0000}"/>
    <cellStyle name="20% - Accent4 5 3 6 2" xfId="13690" xr:uid="{00000000-0005-0000-0000-0000D51B0000}"/>
    <cellStyle name="20% - Accent4 5 3 6 2 2" xfId="27239" xr:uid="{00000000-0005-0000-0000-0000D61B0000}"/>
    <cellStyle name="20% - Accent4 5 3 6 3" xfId="19154" xr:uid="{00000000-0005-0000-0000-0000D71B0000}"/>
    <cellStyle name="20% - Accent4 5 3 7" xfId="1832" xr:uid="{00000000-0005-0000-0000-0000D81B0000}"/>
    <cellStyle name="20% - Accent4 5 3 7 2" xfId="14271" xr:uid="{00000000-0005-0000-0000-0000D91B0000}"/>
    <cellStyle name="20% - Accent4 5 3 7 2 2" xfId="27820" xr:uid="{00000000-0005-0000-0000-0000DA1B0000}"/>
    <cellStyle name="20% - Accent4 5 3 7 3" xfId="19155" xr:uid="{00000000-0005-0000-0000-0000DB1B0000}"/>
    <cellStyle name="20% - Accent4 5 3 8" xfId="1833" xr:uid="{00000000-0005-0000-0000-0000DC1B0000}"/>
    <cellStyle name="20% - Accent4 5 3 8 2" xfId="14925" xr:uid="{00000000-0005-0000-0000-0000DD1B0000}"/>
    <cellStyle name="20% - Accent4 5 3 8 2 2" xfId="28474" xr:uid="{00000000-0005-0000-0000-0000DE1B0000}"/>
    <cellStyle name="20% - Accent4 5 3 8 3" xfId="19156" xr:uid="{00000000-0005-0000-0000-0000DF1B0000}"/>
    <cellStyle name="20% - Accent4 5 3 9" xfId="1834" xr:uid="{00000000-0005-0000-0000-0000E01B0000}"/>
    <cellStyle name="20% - Accent4 5 3 9 2" xfId="16157" xr:uid="{00000000-0005-0000-0000-0000E11B0000}"/>
    <cellStyle name="20% - Accent4 5 3 9 2 2" xfId="29564" xr:uid="{00000000-0005-0000-0000-0000E21B0000}"/>
    <cellStyle name="20% - Accent4 5 3 9 3" xfId="19157" xr:uid="{00000000-0005-0000-0000-0000E31B0000}"/>
    <cellStyle name="20% - Accent4 5 4" xfId="1835" xr:uid="{00000000-0005-0000-0000-0000E41B0000}"/>
    <cellStyle name="20% - Accent4 5 4 2" xfId="1836" xr:uid="{00000000-0005-0000-0000-0000E51B0000}"/>
    <cellStyle name="20% - Accent4 5 4 2 2" xfId="10809" xr:uid="{00000000-0005-0000-0000-0000E61B0000}"/>
    <cellStyle name="20% - Accent4 5 4 2 2 2" xfId="24751" xr:uid="{00000000-0005-0000-0000-0000E71B0000}"/>
    <cellStyle name="20% - Accent4 5 4 2 3" xfId="19159" xr:uid="{00000000-0005-0000-0000-0000E81B0000}"/>
    <cellStyle name="20% - Accent4 5 4 3" xfId="1837" xr:uid="{00000000-0005-0000-0000-0000E91B0000}"/>
    <cellStyle name="20% - Accent4 5 4 3 2" xfId="12804" xr:uid="{00000000-0005-0000-0000-0000EA1B0000}"/>
    <cellStyle name="20% - Accent4 5 4 3 2 2" xfId="26516" xr:uid="{00000000-0005-0000-0000-0000EB1B0000}"/>
    <cellStyle name="20% - Accent4 5 4 3 3" xfId="19160" xr:uid="{00000000-0005-0000-0000-0000EC1B0000}"/>
    <cellStyle name="20% - Accent4 5 4 4" xfId="1838" xr:uid="{00000000-0005-0000-0000-0000ED1B0000}"/>
    <cellStyle name="20% - Accent4 5 4 4 2" xfId="14928" xr:uid="{00000000-0005-0000-0000-0000EE1B0000}"/>
    <cellStyle name="20% - Accent4 5 4 4 2 2" xfId="28477" xr:uid="{00000000-0005-0000-0000-0000EF1B0000}"/>
    <cellStyle name="20% - Accent4 5 4 4 3" xfId="19161" xr:uid="{00000000-0005-0000-0000-0000F01B0000}"/>
    <cellStyle name="20% - Accent4 5 4 5" xfId="1839" xr:uid="{00000000-0005-0000-0000-0000F11B0000}"/>
    <cellStyle name="20% - Accent4 5 4 5 2" xfId="16446" xr:uid="{00000000-0005-0000-0000-0000F21B0000}"/>
    <cellStyle name="20% - Accent4 5 4 5 2 2" xfId="29853" xr:uid="{00000000-0005-0000-0000-0000F31B0000}"/>
    <cellStyle name="20% - Accent4 5 4 5 3" xfId="19162" xr:uid="{00000000-0005-0000-0000-0000F41B0000}"/>
    <cellStyle name="20% - Accent4 5 4 6" xfId="9084" xr:uid="{00000000-0005-0000-0000-0000F51B0000}"/>
    <cellStyle name="20% - Accent4 5 4 6 2" xfId="23559" xr:uid="{00000000-0005-0000-0000-0000F61B0000}"/>
    <cellStyle name="20% - Accent4 5 4 7" xfId="19158" xr:uid="{00000000-0005-0000-0000-0000F71B0000}"/>
    <cellStyle name="20% - Accent4 5 5" xfId="1840" xr:uid="{00000000-0005-0000-0000-0000F81B0000}"/>
    <cellStyle name="20% - Accent4 5 5 2" xfId="1841" xr:uid="{00000000-0005-0000-0000-0000F91B0000}"/>
    <cellStyle name="20% - Accent4 5 5 2 2" xfId="14929" xr:uid="{00000000-0005-0000-0000-0000FA1B0000}"/>
    <cellStyle name="20% - Accent4 5 5 2 2 2" xfId="28478" xr:uid="{00000000-0005-0000-0000-0000FB1B0000}"/>
    <cellStyle name="20% - Accent4 5 5 2 3" xfId="19164" xr:uid="{00000000-0005-0000-0000-0000FC1B0000}"/>
    <cellStyle name="20% - Accent4 5 5 3" xfId="10802" xr:uid="{00000000-0005-0000-0000-0000FD1B0000}"/>
    <cellStyle name="20% - Accent4 5 5 3 2" xfId="24744" xr:uid="{00000000-0005-0000-0000-0000FE1B0000}"/>
    <cellStyle name="20% - Accent4 5 5 4" xfId="19163" xr:uid="{00000000-0005-0000-0000-0000FF1B0000}"/>
    <cellStyle name="20% - Accent4 5 6" xfId="1842" xr:uid="{00000000-0005-0000-0000-0000001C0000}"/>
    <cellStyle name="20% - Accent4 5 6 2" xfId="11797" xr:uid="{00000000-0005-0000-0000-0000011C0000}"/>
    <cellStyle name="20% - Accent4 5 6 2 2" xfId="25512" xr:uid="{00000000-0005-0000-0000-0000021C0000}"/>
    <cellStyle name="20% - Accent4 5 6 3" xfId="19165" xr:uid="{00000000-0005-0000-0000-0000031C0000}"/>
    <cellStyle name="20% - Accent4 5 7" xfId="1843" xr:uid="{00000000-0005-0000-0000-0000041C0000}"/>
    <cellStyle name="20% - Accent4 5 7 2" xfId="12717" xr:uid="{00000000-0005-0000-0000-0000051C0000}"/>
    <cellStyle name="20% - Accent4 5 7 2 2" xfId="26429" xr:uid="{00000000-0005-0000-0000-0000061C0000}"/>
    <cellStyle name="20% - Accent4 5 7 3" xfId="19166" xr:uid="{00000000-0005-0000-0000-0000071C0000}"/>
    <cellStyle name="20% - Accent4 5 8" xfId="1844" xr:uid="{00000000-0005-0000-0000-0000081C0000}"/>
    <cellStyle name="20% - Accent4 5 8 2" xfId="13398" xr:uid="{00000000-0005-0000-0000-0000091C0000}"/>
    <cellStyle name="20% - Accent4 5 8 2 2" xfId="26947" xr:uid="{00000000-0005-0000-0000-00000A1C0000}"/>
    <cellStyle name="20% - Accent4 5 8 3" xfId="19167" xr:uid="{00000000-0005-0000-0000-00000B1C0000}"/>
    <cellStyle name="20% - Accent4 5 9" xfId="1845" xr:uid="{00000000-0005-0000-0000-00000C1C0000}"/>
    <cellStyle name="20% - Accent4 5 9 2" xfId="13979" xr:uid="{00000000-0005-0000-0000-00000D1C0000}"/>
    <cellStyle name="20% - Accent4 5 9 2 2" xfId="27528" xr:uid="{00000000-0005-0000-0000-00000E1C0000}"/>
    <cellStyle name="20% - Accent4 5 9 3" xfId="19168" xr:uid="{00000000-0005-0000-0000-00000F1C0000}"/>
    <cellStyle name="20% - Accent4 6" xfId="1846" xr:uid="{00000000-0005-0000-0000-0000101C0000}"/>
    <cellStyle name="20% - Accent4 6 10" xfId="1847" xr:uid="{00000000-0005-0000-0000-0000111C0000}"/>
    <cellStyle name="20% - Accent4 6 10 2" xfId="14930" xr:uid="{00000000-0005-0000-0000-0000121C0000}"/>
    <cellStyle name="20% - Accent4 6 10 2 2" xfId="28479" xr:uid="{00000000-0005-0000-0000-0000131C0000}"/>
    <cellStyle name="20% - Accent4 6 10 3" xfId="19170" xr:uid="{00000000-0005-0000-0000-0000141C0000}"/>
    <cellStyle name="20% - Accent4 6 11" xfId="1848" xr:uid="{00000000-0005-0000-0000-0000151C0000}"/>
    <cellStyle name="20% - Accent4 6 11 2" xfId="15971" xr:uid="{00000000-0005-0000-0000-0000161C0000}"/>
    <cellStyle name="20% - Accent4 6 11 2 2" xfId="29378" xr:uid="{00000000-0005-0000-0000-0000171C0000}"/>
    <cellStyle name="20% - Accent4 6 11 3" xfId="19171" xr:uid="{00000000-0005-0000-0000-0000181C0000}"/>
    <cellStyle name="20% - Accent4 6 12" xfId="9085" xr:uid="{00000000-0005-0000-0000-0000191C0000}"/>
    <cellStyle name="20% - Accent4 6 12 2" xfId="23560" xr:uid="{00000000-0005-0000-0000-00001A1C0000}"/>
    <cellStyle name="20% - Accent4 6 13" xfId="19169" xr:uid="{00000000-0005-0000-0000-00001B1C0000}"/>
    <cellStyle name="20% - Accent4 6 2" xfId="1849" xr:uid="{00000000-0005-0000-0000-00001C1C0000}"/>
    <cellStyle name="20% - Accent4 6 2 10" xfId="1850" xr:uid="{00000000-0005-0000-0000-00001D1C0000}"/>
    <cellStyle name="20% - Accent4 6 2 10 2" xfId="16114" xr:uid="{00000000-0005-0000-0000-00001E1C0000}"/>
    <cellStyle name="20% - Accent4 6 2 10 2 2" xfId="29521" xr:uid="{00000000-0005-0000-0000-00001F1C0000}"/>
    <cellStyle name="20% - Accent4 6 2 10 3" xfId="19173" xr:uid="{00000000-0005-0000-0000-0000201C0000}"/>
    <cellStyle name="20% - Accent4 6 2 11" xfId="9086" xr:uid="{00000000-0005-0000-0000-0000211C0000}"/>
    <cellStyle name="20% - Accent4 6 2 11 2" xfId="23561" xr:uid="{00000000-0005-0000-0000-0000221C0000}"/>
    <cellStyle name="20% - Accent4 6 2 12" xfId="19172" xr:uid="{00000000-0005-0000-0000-0000231C0000}"/>
    <cellStyle name="20% - Accent4 6 2 2" xfId="1851" xr:uid="{00000000-0005-0000-0000-0000241C0000}"/>
    <cellStyle name="20% - Accent4 6 2 2 10" xfId="9087" xr:uid="{00000000-0005-0000-0000-0000251C0000}"/>
    <cellStyle name="20% - Accent4 6 2 2 10 2" xfId="23562" xr:uid="{00000000-0005-0000-0000-0000261C0000}"/>
    <cellStyle name="20% - Accent4 6 2 2 11" xfId="19174" xr:uid="{00000000-0005-0000-0000-0000271C0000}"/>
    <cellStyle name="20% - Accent4 6 2 2 2" xfId="1852" xr:uid="{00000000-0005-0000-0000-0000281C0000}"/>
    <cellStyle name="20% - Accent4 6 2 2 2 2" xfId="1853" xr:uid="{00000000-0005-0000-0000-0000291C0000}"/>
    <cellStyle name="20% - Accent4 6 2 2 2 2 2" xfId="10813" xr:uid="{00000000-0005-0000-0000-00002A1C0000}"/>
    <cellStyle name="20% - Accent4 6 2 2 2 2 2 2" xfId="24755" xr:uid="{00000000-0005-0000-0000-00002B1C0000}"/>
    <cellStyle name="20% - Accent4 6 2 2 2 2 3" xfId="19176" xr:uid="{00000000-0005-0000-0000-00002C1C0000}"/>
    <cellStyle name="20% - Accent4 6 2 2 2 3" xfId="1854" xr:uid="{00000000-0005-0000-0000-00002D1C0000}"/>
    <cellStyle name="20% - Accent4 6 2 2 2 3 2" xfId="12763" xr:uid="{00000000-0005-0000-0000-00002E1C0000}"/>
    <cellStyle name="20% - Accent4 6 2 2 2 3 2 2" xfId="26475" xr:uid="{00000000-0005-0000-0000-00002F1C0000}"/>
    <cellStyle name="20% - Accent4 6 2 2 2 3 3" xfId="19177" xr:uid="{00000000-0005-0000-0000-0000301C0000}"/>
    <cellStyle name="20% - Accent4 6 2 2 2 4" xfId="1855" xr:uid="{00000000-0005-0000-0000-0000311C0000}"/>
    <cellStyle name="20% - Accent4 6 2 2 2 4 2" xfId="14933" xr:uid="{00000000-0005-0000-0000-0000321C0000}"/>
    <cellStyle name="20% - Accent4 6 2 2 2 4 2 2" xfId="28482" xr:uid="{00000000-0005-0000-0000-0000331C0000}"/>
    <cellStyle name="20% - Accent4 6 2 2 2 4 3" xfId="19178" xr:uid="{00000000-0005-0000-0000-0000341C0000}"/>
    <cellStyle name="20% - Accent4 6 2 2 2 5" xfId="1856" xr:uid="{00000000-0005-0000-0000-0000351C0000}"/>
    <cellStyle name="20% - Accent4 6 2 2 2 5 2" xfId="16984" xr:uid="{00000000-0005-0000-0000-0000361C0000}"/>
    <cellStyle name="20% - Accent4 6 2 2 2 5 2 2" xfId="30391" xr:uid="{00000000-0005-0000-0000-0000371C0000}"/>
    <cellStyle name="20% - Accent4 6 2 2 2 5 3" xfId="19179" xr:uid="{00000000-0005-0000-0000-0000381C0000}"/>
    <cellStyle name="20% - Accent4 6 2 2 2 6" xfId="9088" xr:uid="{00000000-0005-0000-0000-0000391C0000}"/>
    <cellStyle name="20% - Accent4 6 2 2 2 6 2" xfId="23563" xr:uid="{00000000-0005-0000-0000-00003A1C0000}"/>
    <cellStyle name="20% - Accent4 6 2 2 2 7" xfId="19175" xr:uid="{00000000-0005-0000-0000-00003B1C0000}"/>
    <cellStyle name="20% - Accent4 6 2 2 3" xfId="1857" xr:uid="{00000000-0005-0000-0000-00003C1C0000}"/>
    <cellStyle name="20% - Accent4 6 2 2 3 2" xfId="1858" xr:uid="{00000000-0005-0000-0000-00003D1C0000}"/>
    <cellStyle name="20% - Accent4 6 2 2 3 2 2" xfId="14934" xr:uid="{00000000-0005-0000-0000-00003E1C0000}"/>
    <cellStyle name="20% - Accent4 6 2 2 3 2 2 2" xfId="28483" xr:uid="{00000000-0005-0000-0000-00003F1C0000}"/>
    <cellStyle name="20% - Accent4 6 2 2 3 2 3" xfId="19181" xr:uid="{00000000-0005-0000-0000-0000401C0000}"/>
    <cellStyle name="20% - Accent4 6 2 2 3 3" xfId="10812" xr:uid="{00000000-0005-0000-0000-0000411C0000}"/>
    <cellStyle name="20% - Accent4 6 2 2 3 3 2" xfId="24754" xr:uid="{00000000-0005-0000-0000-0000421C0000}"/>
    <cellStyle name="20% - Accent4 6 2 2 3 4" xfId="19180" xr:uid="{00000000-0005-0000-0000-0000431C0000}"/>
    <cellStyle name="20% - Accent4 6 2 2 4" xfId="1859" xr:uid="{00000000-0005-0000-0000-0000441C0000}"/>
    <cellStyle name="20% - Accent4 6 2 2 4 2" xfId="12372" xr:uid="{00000000-0005-0000-0000-0000451C0000}"/>
    <cellStyle name="20% - Accent4 6 2 2 4 2 2" xfId="26084" xr:uid="{00000000-0005-0000-0000-0000461C0000}"/>
    <cellStyle name="20% - Accent4 6 2 2 4 3" xfId="19182" xr:uid="{00000000-0005-0000-0000-0000471C0000}"/>
    <cellStyle name="20% - Accent4 6 2 2 5" xfId="1860" xr:uid="{00000000-0005-0000-0000-0000481C0000}"/>
    <cellStyle name="20% - Accent4 6 2 2 5 2" xfId="12414" xr:uid="{00000000-0005-0000-0000-0000491C0000}"/>
    <cellStyle name="20% - Accent4 6 2 2 5 2 2" xfId="26126" xr:uid="{00000000-0005-0000-0000-00004A1C0000}"/>
    <cellStyle name="20% - Accent4 6 2 2 5 3" xfId="19183" xr:uid="{00000000-0005-0000-0000-00004B1C0000}"/>
    <cellStyle name="20% - Accent4 6 2 2 6" xfId="1861" xr:uid="{00000000-0005-0000-0000-00004C1C0000}"/>
    <cellStyle name="20% - Accent4 6 2 2 6 2" xfId="13936" xr:uid="{00000000-0005-0000-0000-00004D1C0000}"/>
    <cellStyle name="20% - Accent4 6 2 2 6 2 2" xfId="27485" xr:uid="{00000000-0005-0000-0000-00004E1C0000}"/>
    <cellStyle name="20% - Accent4 6 2 2 6 3" xfId="19184" xr:uid="{00000000-0005-0000-0000-00004F1C0000}"/>
    <cellStyle name="20% - Accent4 6 2 2 7" xfId="1862" xr:uid="{00000000-0005-0000-0000-0000501C0000}"/>
    <cellStyle name="20% - Accent4 6 2 2 7 2" xfId="14517" xr:uid="{00000000-0005-0000-0000-0000511C0000}"/>
    <cellStyle name="20% - Accent4 6 2 2 7 2 2" xfId="28066" xr:uid="{00000000-0005-0000-0000-0000521C0000}"/>
    <cellStyle name="20% - Accent4 6 2 2 7 3" xfId="19185" xr:uid="{00000000-0005-0000-0000-0000531C0000}"/>
    <cellStyle name="20% - Accent4 6 2 2 8" xfId="1863" xr:uid="{00000000-0005-0000-0000-0000541C0000}"/>
    <cellStyle name="20% - Accent4 6 2 2 8 2" xfId="14932" xr:uid="{00000000-0005-0000-0000-0000551C0000}"/>
    <cellStyle name="20% - Accent4 6 2 2 8 2 2" xfId="28481" xr:uid="{00000000-0005-0000-0000-0000561C0000}"/>
    <cellStyle name="20% - Accent4 6 2 2 8 3" xfId="19186" xr:uid="{00000000-0005-0000-0000-0000571C0000}"/>
    <cellStyle name="20% - Accent4 6 2 2 9" xfId="1864" xr:uid="{00000000-0005-0000-0000-0000581C0000}"/>
    <cellStyle name="20% - Accent4 6 2 2 9 2" xfId="16403" xr:uid="{00000000-0005-0000-0000-0000591C0000}"/>
    <cellStyle name="20% - Accent4 6 2 2 9 2 2" xfId="29810" xr:uid="{00000000-0005-0000-0000-00005A1C0000}"/>
    <cellStyle name="20% - Accent4 6 2 2 9 3" xfId="19187" xr:uid="{00000000-0005-0000-0000-00005B1C0000}"/>
    <cellStyle name="20% - Accent4 6 2 3" xfId="1865" xr:uid="{00000000-0005-0000-0000-00005C1C0000}"/>
    <cellStyle name="20% - Accent4 6 2 3 2" xfId="1866" xr:uid="{00000000-0005-0000-0000-00005D1C0000}"/>
    <cellStyle name="20% - Accent4 6 2 3 2 2" xfId="10814" xr:uid="{00000000-0005-0000-0000-00005E1C0000}"/>
    <cellStyle name="20% - Accent4 6 2 3 2 2 2" xfId="24756" xr:uid="{00000000-0005-0000-0000-00005F1C0000}"/>
    <cellStyle name="20% - Accent4 6 2 3 2 3" xfId="19189" xr:uid="{00000000-0005-0000-0000-0000601C0000}"/>
    <cellStyle name="20% - Accent4 6 2 3 3" xfId="1867" xr:uid="{00000000-0005-0000-0000-0000611C0000}"/>
    <cellStyle name="20% - Accent4 6 2 3 3 2" xfId="12632" xr:uid="{00000000-0005-0000-0000-0000621C0000}"/>
    <cellStyle name="20% - Accent4 6 2 3 3 2 2" xfId="26344" xr:uid="{00000000-0005-0000-0000-0000631C0000}"/>
    <cellStyle name="20% - Accent4 6 2 3 3 3" xfId="19190" xr:uid="{00000000-0005-0000-0000-0000641C0000}"/>
    <cellStyle name="20% - Accent4 6 2 3 4" xfId="1868" xr:uid="{00000000-0005-0000-0000-0000651C0000}"/>
    <cellStyle name="20% - Accent4 6 2 3 4 2" xfId="14935" xr:uid="{00000000-0005-0000-0000-0000661C0000}"/>
    <cellStyle name="20% - Accent4 6 2 3 4 2 2" xfId="28484" xr:uid="{00000000-0005-0000-0000-0000671C0000}"/>
    <cellStyle name="20% - Accent4 6 2 3 4 3" xfId="19191" xr:uid="{00000000-0005-0000-0000-0000681C0000}"/>
    <cellStyle name="20% - Accent4 6 2 3 5" xfId="1869" xr:uid="{00000000-0005-0000-0000-0000691C0000}"/>
    <cellStyle name="20% - Accent4 6 2 3 5 2" xfId="16695" xr:uid="{00000000-0005-0000-0000-00006A1C0000}"/>
    <cellStyle name="20% - Accent4 6 2 3 5 2 2" xfId="30102" xr:uid="{00000000-0005-0000-0000-00006B1C0000}"/>
    <cellStyle name="20% - Accent4 6 2 3 5 3" xfId="19192" xr:uid="{00000000-0005-0000-0000-00006C1C0000}"/>
    <cellStyle name="20% - Accent4 6 2 3 6" xfId="9089" xr:uid="{00000000-0005-0000-0000-00006D1C0000}"/>
    <cellStyle name="20% - Accent4 6 2 3 6 2" xfId="23564" xr:uid="{00000000-0005-0000-0000-00006E1C0000}"/>
    <cellStyle name="20% - Accent4 6 2 3 7" xfId="19188" xr:uid="{00000000-0005-0000-0000-00006F1C0000}"/>
    <cellStyle name="20% - Accent4 6 2 4" xfId="1870" xr:uid="{00000000-0005-0000-0000-0000701C0000}"/>
    <cellStyle name="20% - Accent4 6 2 4 2" xfId="1871" xr:uid="{00000000-0005-0000-0000-0000711C0000}"/>
    <cellStyle name="20% - Accent4 6 2 4 2 2" xfId="14936" xr:uid="{00000000-0005-0000-0000-0000721C0000}"/>
    <cellStyle name="20% - Accent4 6 2 4 2 2 2" xfId="28485" xr:uid="{00000000-0005-0000-0000-0000731C0000}"/>
    <cellStyle name="20% - Accent4 6 2 4 2 3" xfId="19194" xr:uid="{00000000-0005-0000-0000-0000741C0000}"/>
    <cellStyle name="20% - Accent4 6 2 4 3" xfId="10811" xr:uid="{00000000-0005-0000-0000-0000751C0000}"/>
    <cellStyle name="20% - Accent4 6 2 4 3 2" xfId="24753" xr:uid="{00000000-0005-0000-0000-0000761C0000}"/>
    <cellStyle name="20% - Accent4 6 2 4 4" xfId="19193" xr:uid="{00000000-0005-0000-0000-0000771C0000}"/>
    <cellStyle name="20% - Accent4 6 2 5" xfId="1872" xr:uid="{00000000-0005-0000-0000-0000781C0000}"/>
    <cellStyle name="20% - Accent4 6 2 5 2" xfId="12072" xr:uid="{00000000-0005-0000-0000-0000791C0000}"/>
    <cellStyle name="20% - Accent4 6 2 5 2 2" xfId="25787" xr:uid="{00000000-0005-0000-0000-00007A1C0000}"/>
    <cellStyle name="20% - Accent4 6 2 5 3" xfId="19195" xr:uid="{00000000-0005-0000-0000-00007B1C0000}"/>
    <cellStyle name="20% - Accent4 6 2 6" xfId="1873" xr:uid="{00000000-0005-0000-0000-00007C1C0000}"/>
    <cellStyle name="20% - Accent4 6 2 6 2" xfId="12702" xr:uid="{00000000-0005-0000-0000-00007D1C0000}"/>
    <cellStyle name="20% - Accent4 6 2 6 2 2" xfId="26414" xr:uid="{00000000-0005-0000-0000-00007E1C0000}"/>
    <cellStyle name="20% - Accent4 6 2 6 3" xfId="19196" xr:uid="{00000000-0005-0000-0000-00007F1C0000}"/>
    <cellStyle name="20% - Accent4 6 2 7" xfId="1874" xr:uid="{00000000-0005-0000-0000-0000801C0000}"/>
    <cellStyle name="20% - Accent4 6 2 7 2" xfId="13647" xr:uid="{00000000-0005-0000-0000-0000811C0000}"/>
    <cellStyle name="20% - Accent4 6 2 7 2 2" xfId="27196" xr:uid="{00000000-0005-0000-0000-0000821C0000}"/>
    <cellStyle name="20% - Accent4 6 2 7 3" xfId="19197" xr:uid="{00000000-0005-0000-0000-0000831C0000}"/>
    <cellStyle name="20% - Accent4 6 2 8" xfId="1875" xr:uid="{00000000-0005-0000-0000-0000841C0000}"/>
    <cellStyle name="20% - Accent4 6 2 8 2" xfId="14228" xr:uid="{00000000-0005-0000-0000-0000851C0000}"/>
    <cellStyle name="20% - Accent4 6 2 8 2 2" xfId="27777" xr:uid="{00000000-0005-0000-0000-0000861C0000}"/>
    <cellStyle name="20% - Accent4 6 2 8 3" xfId="19198" xr:uid="{00000000-0005-0000-0000-0000871C0000}"/>
    <cellStyle name="20% - Accent4 6 2 9" xfId="1876" xr:uid="{00000000-0005-0000-0000-0000881C0000}"/>
    <cellStyle name="20% - Accent4 6 2 9 2" xfId="14931" xr:uid="{00000000-0005-0000-0000-0000891C0000}"/>
    <cellStyle name="20% - Accent4 6 2 9 2 2" xfId="28480" xr:uid="{00000000-0005-0000-0000-00008A1C0000}"/>
    <cellStyle name="20% - Accent4 6 2 9 3" xfId="19199" xr:uid="{00000000-0005-0000-0000-00008B1C0000}"/>
    <cellStyle name="20% - Accent4 6 3" xfId="1877" xr:uid="{00000000-0005-0000-0000-00008C1C0000}"/>
    <cellStyle name="20% - Accent4 6 3 10" xfId="9090" xr:uid="{00000000-0005-0000-0000-00008D1C0000}"/>
    <cellStyle name="20% - Accent4 6 3 10 2" xfId="23565" xr:uid="{00000000-0005-0000-0000-00008E1C0000}"/>
    <cellStyle name="20% - Accent4 6 3 11" xfId="19200" xr:uid="{00000000-0005-0000-0000-00008F1C0000}"/>
    <cellStyle name="20% - Accent4 6 3 2" xfId="1878" xr:uid="{00000000-0005-0000-0000-0000901C0000}"/>
    <cellStyle name="20% - Accent4 6 3 2 2" xfId="1879" xr:uid="{00000000-0005-0000-0000-0000911C0000}"/>
    <cellStyle name="20% - Accent4 6 3 2 2 2" xfId="10816" xr:uid="{00000000-0005-0000-0000-0000921C0000}"/>
    <cellStyle name="20% - Accent4 6 3 2 2 2 2" xfId="24758" xr:uid="{00000000-0005-0000-0000-0000931C0000}"/>
    <cellStyle name="20% - Accent4 6 3 2 2 3" xfId="19202" xr:uid="{00000000-0005-0000-0000-0000941C0000}"/>
    <cellStyle name="20% - Accent4 6 3 2 3" xfId="1880" xr:uid="{00000000-0005-0000-0000-0000951C0000}"/>
    <cellStyle name="20% - Accent4 6 3 2 3 2" xfId="12401" xr:uid="{00000000-0005-0000-0000-0000961C0000}"/>
    <cellStyle name="20% - Accent4 6 3 2 3 2 2" xfId="26113" xr:uid="{00000000-0005-0000-0000-0000971C0000}"/>
    <cellStyle name="20% - Accent4 6 3 2 3 3" xfId="19203" xr:uid="{00000000-0005-0000-0000-0000981C0000}"/>
    <cellStyle name="20% - Accent4 6 3 2 4" xfId="1881" xr:uid="{00000000-0005-0000-0000-0000991C0000}"/>
    <cellStyle name="20% - Accent4 6 3 2 4 2" xfId="14938" xr:uid="{00000000-0005-0000-0000-00009A1C0000}"/>
    <cellStyle name="20% - Accent4 6 3 2 4 2 2" xfId="28487" xr:uid="{00000000-0005-0000-0000-00009B1C0000}"/>
    <cellStyle name="20% - Accent4 6 3 2 4 3" xfId="19204" xr:uid="{00000000-0005-0000-0000-00009C1C0000}"/>
    <cellStyle name="20% - Accent4 6 3 2 5" xfId="1882" xr:uid="{00000000-0005-0000-0000-00009D1C0000}"/>
    <cellStyle name="20% - Accent4 6 3 2 5 2" xfId="16841" xr:uid="{00000000-0005-0000-0000-00009E1C0000}"/>
    <cellStyle name="20% - Accent4 6 3 2 5 2 2" xfId="30248" xr:uid="{00000000-0005-0000-0000-00009F1C0000}"/>
    <cellStyle name="20% - Accent4 6 3 2 5 3" xfId="19205" xr:uid="{00000000-0005-0000-0000-0000A01C0000}"/>
    <cellStyle name="20% - Accent4 6 3 2 6" xfId="9091" xr:uid="{00000000-0005-0000-0000-0000A11C0000}"/>
    <cellStyle name="20% - Accent4 6 3 2 6 2" xfId="23566" xr:uid="{00000000-0005-0000-0000-0000A21C0000}"/>
    <cellStyle name="20% - Accent4 6 3 2 7" xfId="19201" xr:uid="{00000000-0005-0000-0000-0000A31C0000}"/>
    <cellStyle name="20% - Accent4 6 3 3" xfId="1883" xr:uid="{00000000-0005-0000-0000-0000A41C0000}"/>
    <cellStyle name="20% - Accent4 6 3 3 2" xfId="1884" xr:uid="{00000000-0005-0000-0000-0000A51C0000}"/>
    <cellStyle name="20% - Accent4 6 3 3 2 2" xfId="14939" xr:uid="{00000000-0005-0000-0000-0000A61C0000}"/>
    <cellStyle name="20% - Accent4 6 3 3 2 2 2" xfId="28488" xr:uid="{00000000-0005-0000-0000-0000A71C0000}"/>
    <cellStyle name="20% - Accent4 6 3 3 2 3" xfId="19207" xr:uid="{00000000-0005-0000-0000-0000A81C0000}"/>
    <cellStyle name="20% - Accent4 6 3 3 3" xfId="10815" xr:uid="{00000000-0005-0000-0000-0000A91C0000}"/>
    <cellStyle name="20% - Accent4 6 3 3 3 2" xfId="24757" xr:uid="{00000000-0005-0000-0000-0000AA1C0000}"/>
    <cellStyle name="20% - Accent4 6 3 3 4" xfId="19206" xr:uid="{00000000-0005-0000-0000-0000AB1C0000}"/>
    <cellStyle name="20% - Accent4 6 3 4" xfId="1885" xr:uid="{00000000-0005-0000-0000-0000AC1C0000}"/>
    <cellStyle name="20% - Accent4 6 3 4 2" xfId="12229" xr:uid="{00000000-0005-0000-0000-0000AD1C0000}"/>
    <cellStyle name="20% - Accent4 6 3 4 2 2" xfId="25941" xr:uid="{00000000-0005-0000-0000-0000AE1C0000}"/>
    <cellStyle name="20% - Accent4 6 3 4 3" xfId="19208" xr:uid="{00000000-0005-0000-0000-0000AF1C0000}"/>
    <cellStyle name="20% - Accent4 6 3 5" xfId="1886" xr:uid="{00000000-0005-0000-0000-0000B01C0000}"/>
    <cellStyle name="20% - Accent4 6 3 5 2" xfId="11788" xr:uid="{00000000-0005-0000-0000-0000B11C0000}"/>
    <cellStyle name="20% - Accent4 6 3 5 2 2" xfId="25503" xr:uid="{00000000-0005-0000-0000-0000B21C0000}"/>
    <cellStyle name="20% - Accent4 6 3 5 3" xfId="19209" xr:uid="{00000000-0005-0000-0000-0000B31C0000}"/>
    <cellStyle name="20% - Accent4 6 3 6" xfId="1887" xr:uid="{00000000-0005-0000-0000-0000B41C0000}"/>
    <cellStyle name="20% - Accent4 6 3 6 2" xfId="13793" xr:uid="{00000000-0005-0000-0000-0000B51C0000}"/>
    <cellStyle name="20% - Accent4 6 3 6 2 2" xfId="27342" xr:uid="{00000000-0005-0000-0000-0000B61C0000}"/>
    <cellStyle name="20% - Accent4 6 3 6 3" xfId="19210" xr:uid="{00000000-0005-0000-0000-0000B71C0000}"/>
    <cellStyle name="20% - Accent4 6 3 7" xfId="1888" xr:uid="{00000000-0005-0000-0000-0000B81C0000}"/>
    <cellStyle name="20% - Accent4 6 3 7 2" xfId="14374" xr:uid="{00000000-0005-0000-0000-0000B91C0000}"/>
    <cellStyle name="20% - Accent4 6 3 7 2 2" xfId="27923" xr:uid="{00000000-0005-0000-0000-0000BA1C0000}"/>
    <cellStyle name="20% - Accent4 6 3 7 3" xfId="19211" xr:uid="{00000000-0005-0000-0000-0000BB1C0000}"/>
    <cellStyle name="20% - Accent4 6 3 8" xfId="1889" xr:uid="{00000000-0005-0000-0000-0000BC1C0000}"/>
    <cellStyle name="20% - Accent4 6 3 8 2" xfId="14937" xr:uid="{00000000-0005-0000-0000-0000BD1C0000}"/>
    <cellStyle name="20% - Accent4 6 3 8 2 2" xfId="28486" xr:uid="{00000000-0005-0000-0000-0000BE1C0000}"/>
    <cellStyle name="20% - Accent4 6 3 8 3" xfId="19212" xr:uid="{00000000-0005-0000-0000-0000BF1C0000}"/>
    <cellStyle name="20% - Accent4 6 3 9" xfId="1890" xr:uid="{00000000-0005-0000-0000-0000C01C0000}"/>
    <cellStyle name="20% - Accent4 6 3 9 2" xfId="16260" xr:uid="{00000000-0005-0000-0000-0000C11C0000}"/>
    <cellStyle name="20% - Accent4 6 3 9 2 2" xfId="29667" xr:uid="{00000000-0005-0000-0000-0000C21C0000}"/>
    <cellStyle name="20% - Accent4 6 3 9 3" xfId="19213" xr:uid="{00000000-0005-0000-0000-0000C31C0000}"/>
    <cellStyle name="20% - Accent4 6 4" xfId="1891" xr:uid="{00000000-0005-0000-0000-0000C41C0000}"/>
    <cellStyle name="20% - Accent4 6 4 2" xfId="1892" xr:uid="{00000000-0005-0000-0000-0000C51C0000}"/>
    <cellStyle name="20% - Accent4 6 4 2 2" xfId="10817" xr:uid="{00000000-0005-0000-0000-0000C61C0000}"/>
    <cellStyle name="20% - Accent4 6 4 2 2 2" xfId="24759" xr:uid="{00000000-0005-0000-0000-0000C71C0000}"/>
    <cellStyle name="20% - Accent4 6 4 2 3" xfId="19215" xr:uid="{00000000-0005-0000-0000-0000C81C0000}"/>
    <cellStyle name="20% - Accent4 6 4 3" xfId="1893" xr:uid="{00000000-0005-0000-0000-0000C91C0000}"/>
    <cellStyle name="20% - Accent4 6 4 3 2" xfId="12106" xr:uid="{00000000-0005-0000-0000-0000CA1C0000}"/>
    <cellStyle name="20% - Accent4 6 4 3 2 2" xfId="25818" xr:uid="{00000000-0005-0000-0000-0000CB1C0000}"/>
    <cellStyle name="20% - Accent4 6 4 3 3" xfId="19216" xr:uid="{00000000-0005-0000-0000-0000CC1C0000}"/>
    <cellStyle name="20% - Accent4 6 4 4" xfId="1894" xr:uid="{00000000-0005-0000-0000-0000CD1C0000}"/>
    <cellStyle name="20% - Accent4 6 4 4 2" xfId="14940" xr:uid="{00000000-0005-0000-0000-0000CE1C0000}"/>
    <cellStyle name="20% - Accent4 6 4 4 2 2" xfId="28489" xr:uid="{00000000-0005-0000-0000-0000CF1C0000}"/>
    <cellStyle name="20% - Accent4 6 4 4 3" xfId="19217" xr:uid="{00000000-0005-0000-0000-0000D01C0000}"/>
    <cellStyle name="20% - Accent4 6 4 5" xfId="1895" xr:uid="{00000000-0005-0000-0000-0000D11C0000}"/>
    <cellStyle name="20% - Accent4 6 4 5 2" xfId="16552" xr:uid="{00000000-0005-0000-0000-0000D21C0000}"/>
    <cellStyle name="20% - Accent4 6 4 5 2 2" xfId="29959" xr:uid="{00000000-0005-0000-0000-0000D31C0000}"/>
    <cellStyle name="20% - Accent4 6 4 5 3" xfId="19218" xr:uid="{00000000-0005-0000-0000-0000D41C0000}"/>
    <cellStyle name="20% - Accent4 6 4 6" xfId="9092" xr:uid="{00000000-0005-0000-0000-0000D51C0000}"/>
    <cellStyle name="20% - Accent4 6 4 6 2" xfId="23567" xr:uid="{00000000-0005-0000-0000-0000D61C0000}"/>
    <cellStyle name="20% - Accent4 6 4 7" xfId="19214" xr:uid="{00000000-0005-0000-0000-0000D71C0000}"/>
    <cellStyle name="20% - Accent4 6 5" xfId="1896" xr:uid="{00000000-0005-0000-0000-0000D81C0000}"/>
    <cellStyle name="20% - Accent4 6 5 2" xfId="1897" xr:uid="{00000000-0005-0000-0000-0000D91C0000}"/>
    <cellStyle name="20% - Accent4 6 5 2 2" xfId="14941" xr:uid="{00000000-0005-0000-0000-0000DA1C0000}"/>
    <cellStyle name="20% - Accent4 6 5 2 2 2" xfId="28490" xr:uid="{00000000-0005-0000-0000-0000DB1C0000}"/>
    <cellStyle name="20% - Accent4 6 5 2 3" xfId="19220" xr:uid="{00000000-0005-0000-0000-0000DC1C0000}"/>
    <cellStyle name="20% - Accent4 6 5 3" xfId="10810" xr:uid="{00000000-0005-0000-0000-0000DD1C0000}"/>
    <cellStyle name="20% - Accent4 6 5 3 2" xfId="24752" xr:uid="{00000000-0005-0000-0000-0000DE1C0000}"/>
    <cellStyle name="20% - Accent4 6 5 4" xfId="19219" xr:uid="{00000000-0005-0000-0000-0000DF1C0000}"/>
    <cellStyle name="20% - Accent4 6 6" xfId="1898" xr:uid="{00000000-0005-0000-0000-0000E01C0000}"/>
    <cellStyle name="20% - Accent4 6 6 2" xfId="11927" xr:uid="{00000000-0005-0000-0000-0000E11C0000}"/>
    <cellStyle name="20% - Accent4 6 6 2 2" xfId="25642" xr:uid="{00000000-0005-0000-0000-0000E21C0000}"/>
    <cellStyle name="20% - Accent4 6 6 3" xfId="19221" xr:uid="{00000000-0005-0000-0000-0000E31C0000}"/>
    <cellStyle name="20% - Accent4 6 7" xfId="1899" xr:uid="{00000000-0005-0000-0000-0000E41C0000}"/>
    <cellStyle name="20% - Accent4 6 7 2" xfId="12407" xr:uid="{00000000-0005-0000-0000-0000E51C0000}"/>
    <cellStyle name="20% - Accent4 6 7 2 2" xfId="26119" xr:uid="{00000000-0005-0000-0000-0000E61C0000}"/>
    <cellStyle name="20% - Accent4 6 7 3" xfId="19222" xr:uid="{00000000-0005-0000-0000-0000E71C0000}"/>
    <cellStyle name="20% - Accent4 6 8" xfId="1900" xr:uid="{00000000-0005-0000-0000-0000E81C0000}"/>
    <cellStyle name="20% - Accent4 6 8 2" xfId="13504" xr:uid="{00000000-0005-0000-0000-0000E91C0000}"/>
    <cellStyle name="20% - Accent4 6 8 2 2" xfId="27053" xr:uid="{00000000-0005-0000-0000-0000EA1C0000}"/>
    <cellStyle name="20% - Accent4 6 8 3" xfId="19223" xr:uid="{00000000-0005-0000-0000-0000EB1C0000}"/>
    <cellStyle name="20% - Accent4 6 9" xfId="1901" xr:uid="{00000000-0005-0000-0000-0000EC1C0000}"/>
    <cellStyle name="20% - Accent4 6 9 2" xfId="14085" xr:uid="{00000000-0005-0000-0000-0000ED1C0000}"/>
    <cellStyle name="20% - Accent4 6 9 2 2" xfId="27634" xr:uid="{00000000-0005-0000-0000-0000EE1C0000}"/>
    <cellStyle name="20% - Accent4 6 9 3" xfId="19224" xr:uid="{00000000-0005-0000-0000-0000EF1C0000}"/>
    <cellStyle name="20% - Accent4 7" xfId="1902" xr:uid="{00000000-0005-0000-0000-0000F01C0000}"/>
    <cellStyle name="20% - Accent4 7 10" xfId="1903" xr:uid="{00000000-0005-0000-0000-0000F11C0000}"/>
    <cellStyle name="20% - Accent4 7 10 2" xfId="15994" xr:uid="{00000000-0005-0000-0000-0000F21C0000}"/>
    <cellStyle name="20% - Accent4 7 10 2 2" xfId="29401" xr:uid="{00000000-0005-0000-0000-0000F31C0000}"/>
    <cellStyle name="20% - Accent4 7 10 3" xfId="19226" xr:uid="{00000000-0005-0000-0000-0000F41C0000}"/>
    <cellStyle name="20% - Accent4 7 11" xfId="9093" xr:uid="{00000000-0005-0000-0000-0000F51C0000}"/>
    <cellStyle name="20% - Accent4 7 11 2" xfId="23568" xr:uid="{00000000-0005-0000-0000-0000F61C0000}"/>
    <cellStyle name="20% - Accent4 7 12" xfId="19225" xr:uid="{00000000-0005-0000-0000-0000F71C0000}"/>
    <cellStyle name="20% - Accent4 7 2" xfId="1904" xr:uid="{00000000-0005-0000-0000-0000F81C0000}"/>
    <cellStyle name="20% - Accent4 7 2 10" xfId="9094" xr:uid="{00000000-0005-0000-0000-0000F91C0000}"/>
    <cellStyle name="20% - Accent4 7 2 10 2" xfId="23569" xr:uid="{00000000-0005-0000-0000-0000FA1C0000}"/>
    <cellStyle name="20% - Accent4 7 2 11" xfId="19227" xr:uid="{00000000-0005-0000-0000-0000FB1C0000}"/>
    <cellStyle name="20% - Accent4 7 2 2" xfId="1905" xr:uid="{00000000-0005-0000-0000-0000FC1C0000}"/>
    <cellStyle name="20% - Accent4 7 2 2 2" xfId="1906" xr:uid="{00000000-0005-0000-0000-0000FD1C0000}"/>
    <cellStyle name="20% - Accent4 7 2 2 2 2" xfId="10820" xr:uid="{00000000-0005-0000-0000-0000FE1C0000}"/>
    <cellStyle name="20% - Accent4 7 2 2 2 2 2" xfId="24762" xr:uid="{00000000-0005-0000-0000-0000FF1C0000}"/>
    <cellStyle name="20% - Accent4 7 2 2 2 3" xfId="19229" xr:uid="{00000000-0005-0000-0000-0000001D0000}"/>
    <cellStyle name="20% - Accent4 7 2 2 3" xfId="1907" xr:uid="{00000000-0005-0000-0000-0000011D0000}"/>
    <cellStyle name="20% - Accent4 7 2 2 3 2" xfId="12411" xr:uid="{00000000-0005-0000-0000-0000021D0000}"/>
    <cellStyle name="20% - Accent4 7 2 2 3 2 2" xfId="26123" xr:uid="{00000000-0005-0000-0000-0000031D0000}"/>
    <cellStyle name="20% - Accent4 7 2 2 3 3" xfId="19230" xr:uid="{00000000-0005-0000-0000-0000041D0000}"/>
    <cellStyle name="20% - Accent4 7 2 2 4" xfId="1908" xr:uid="{00000000-0005-0000-0000-0000051D0000}"/>
    <cellStyle name="20% - Accent4 7 2 2 4 2" xfId="14944" xr:uid="{00000000-0005-0000-0000-0000061D0000}"/>
    <cellStyle name="20% - Accent4 7 2 2 4 2 2" xfId="28493" xr:uid="{00000000-0005-0000-0000-0000071D0000}"/>
    <cellStyle name="20% - Accent4 7 2 2 4 3" xfId="19231" xr:uid="{00000000-0005-0000-0000-0000081D0000}"/>
    <cellStyle name="20% - Accent4 7 2 2 5" xfId="1909" xr:uid="{00000000-0005-0000-0000-0000091D0000}"/>
    <cellStyle name="20% - Accent4 7 2 2 5 2" xfId="16864" xr:uid="{00000000-0005-0000-0000-00000A1D0000}"/>
    <cellStyle name="20% - Accent4 7 2 2 5 2 2" xfId="30271" xr:uid="{00000000-0005-0000-0000-00000B1D0000}"/>
    <cellStyle name="20% - Accent4 7 2 2 5 3" xfId="19232" xr:uid="{00000000-0005-0000-0000-00000C1D0000}"/>
    <cellStyle name="20% - Accent4 7 2 2 6" xfId="9095" xr:uid="{00000000-0005-0000-0000-00000D1D0000}"/>
    <cellStyle name="20% - Accent4 7 2 2 6 2" xfId="23570" xr:uid="{00000000-0005-0000-0000-00000E1D0000}"/>
    <cellStyle name="20% - Accent4 7 2 2 7" xfId="19228" xr:uid="{00000000-0005-0000-0000-00000F1D0000}"/>
    <cellStyle name="20% - Accent4 7 2 3" xfId="1910" xr:uid="{00000000-0005-0000-0000-0000101D0000}"/>
    <cellStyle name="20% - Accent4 7 2 3 2" xfId="1911" xr:uid="{00000000-0005-0000-0000-0000111D0000}"/>
    <cellStyle name="20% - Accent4 7 2 3 2 2" xfId="14945" xr:uid="{00000000-0005-0000-0000-0000121D0000}"/>
    <cellStyle name="20% - Accent4 7 2 3 2 2 2" xfId="28494" xr:uid="{00000000-0005-0000-0000-0000131D0000}"/>
    <cellStyle name="20% - Accent4 7 2 3 2 3" xfId="19234" xr:uid="{00000000-0005-0000-0000-0000141D0000}"/>
    <cellStyle name="20% - Accent4 7 2 3 3" xfId="10819" xr:uid="{00000000-0005-0000-0000-0000151D0000}"/>
    <cellStyle name="20% - Accent4 7 2 3 3 2" xfId="24761" xr:uid="{00000000-0005-0000-0000-0000161D0000}"/>
    <cellStyle name="20% - Accent4 7 2 3 4" xfId="19233" xr:uid="{00000000-0005-0000-0000-0000171D0000}"/>
    <cellStyle name="20% - Accent4 7 2 4" xfId="1912" xr:uid="{00000000-0005-0000-0000-0000181D0000}"/>
    <cellStyle name="20% - Accent4 7 2 4 2" xfId="12252" xr:uid="{00000000-0005-0000-0000-0000191D0000}"/>
    <cellStyle name="20% - Accent4 7 2 4 2 2" xfId="25964" xr:uid="{00000000-0005-0000-0000-00001A1D0000}"/>
    <cellStyle name="20% - Accent4 7 2 4 3" xfId="19235" xr:uid="{00000000-0005-0000-0000-00001B1D0000}"/>
    <cellStyle name="20% - Accent4 7 2 5" xfId="1913" xr:uid="{00000000-0005-0000-0000-00001C1D0000}"/>
    <cellStyle name="20% - Accent4 7 2 5 2" xfId="12733" xr:uid="{00000000-0005-0000-0000-00001D1D0000}"/>
    <cellStyle name="20% - Accent4 7 2 5 2 2" xfId="26445" xr:uid="{00000000-0005-0000-0000-00001E1D0000}"/>
    <cellStyle name="20% - Accent4 7 2 5 3" xfId="19236" xr:uid="{00000000-0005-0000-0000-00001F1D0000}"/>
    <cellStyle name="20% - Accent4 7 2 6" xfId="1914" xr:uid="{00000000-0005-0000-0000-0000201D0000}"/>
    <cellStyle name="20% - Accent4 7 2 6 2" xfId="13816" xr:uid="{00000000-0005-0000-0000-0000211D0000}"/>
    <cellStyle name="20% - Accent4 7 2 6 2 2" xfId="27365" xr:uid="{00000000-0005-0000-0000-0000221D0000}"/>
    <cellStyle name="20% - Accent4 7 2 6 3" xfId="19237" xr:uid="{00000000-0005-0000-0000-0000231D0000}"/>
    <cellStyle name="20% - Accent4 7 2 7" xfId="1915" xr:uid="{00000000-0005-0000-0000-0000241D0000}"/>
    <cellStyle name="20% - Accent4 7 2 7 2" xfId="14397" xr:uid="{00000000-0005-0000-0000-0000251D0000}"/>
    <cellStyle name="20% - Accent4 7 2 7 2 2" xfId="27946" xr:uid="{00000000-0005-0000-0000-0000261D0000}"/>
    <cellStyle name="20% - Accent4 7 2 7 3" xfId="19238" xr:uid="{00000000-0005-0000-0000-0000271D0000}"/>
    <cellStyle name="20% - Accent4 7 2 8" xfId="1916" xr:uid="{00000000-0005-0000-0000-0000281D0000}"/>
    <cellStyle name="20% - Accent4 7 2 8 2" xfId="14943" xr:uid="{00000000-0005-0000-0000-0000291D0000}"/>
    <cellStyle name="20% - Accent4 7 2 8 2 2" xfId="28492" xr:uid="{00000000-0005-0000-0000-00002A1D0000}"/>
    <cellStyle name="20% - Accent4 7 2 8 3" xfId="19239" xr:uid="{00000000-0005-0000-0000-00002B1D0000}"/>
    <cellStyle name="20% - Accent4 7 2 9" xfId="1917" xr:uid="{00000000-0005-0000-0000-00002C1D0000}"/>
    <cellStyle name="20% - Accent4 7 2 9 2" xfId="16283" xr:uid="{00000000-0005-0000-0000-00002D1D0000}"/>
    <cellStyle name="20% - Accent4 7 2 9 2 2" xfId="29690" xr:uid="{00000000-0005-0000-0000-00002E1D0000}"/>
    <cellStyle name="20% - Accent4 7 2 9 3" xfId="19240" xr:uid="{00000000-0005-0000-0000-00002F1D0000}"/>
    <cellStyle name="20% - Accent4 7 3" xfId="1918" xr:uid="{00000000-0005-0000-0000-0000301D0000}"/>
    <cellStyle name="20% - Accent4 7 3 2" xfId="1919" xr:uid="{00000000-0005-0000-0000-0000311D0000}"/>
    <cellStyle name="20% - Accent4 7 3 2 2" xfId="10821" xr:uid="{00000000-0005-0000-0000-0000321D0000}"/>
    <cellStyle name="20% - Accent4 7 3 2 2 2" xfId="24763" xr:uid="{00000000-0005-0000-0000-0000331D0000}"/>
    <cellStyle name="20% - Accent4 7 3 2 3" xfId="19242" xr:uid="{00000000-0005-0000-0000-0000341D0000}"/>
    <cellStyle name="20% - Accent4 7 3 3" xfId="1920" xr:uid="{00000000-0005-0000-0000-0000351D0000}"/>
    <cellStyle name="20% - Accent4 7 3 3 2" xfId="12600" xr:uid="{00000000-0005-0000-0000-0000361D0000}"/>
    <cellStyle name="20% - Accent4 7 3 3 2 2" xfId="26312" xr:uid="{00000000-0005-0000-0000-0000371D0000}"/>
    <cellStyle name="20% - Accent4 7 3 3 3" xfId="19243" xr:uid="{00000000-0005-0000-0000-0000381D0000}"/>
    <cellStyle name="20% - Accent4 7 3 4" xfId="1921" xr:uid="{00000000-0005-0000-0000-0000391D0000}"/>
    <cellStyle name="20% - Accent4 7 3 4 2" xfId="14946" xr:uid="{00000000-0005-0000-0000-00003A1D0000}"/>
    <cellStyle name="20% - Accent4 7 3 4 2 2" xfId="28495" xr:uid="{00000000-0005-0000-0000-00003B1D0000}"/>
    <cellStyle name="20% - Accent4 7 3 4 3" xfId="19244" xr:uid="{00000000-0005-0000-0000-00003C1D0000}"/>
    <cellStyle name="20% - Accent4 7 3 5" xfId="1922" xr:uid="{00000000-0005-0000-0000-00003D1D0000}"/>
    <cellStyle name="20% - Accent4 7 3 5 2" xfId="16575" xr:uid="{00000000-0005-0000-0000-00003E1D0000}"/>
    <cellStyle name="20% - Accent4 7 3 5 2 2" xfId="29982" xr:uid="{00000000-0005-0000-0000-00003F1D0000}"/>
    <cellStyle name="20% - Accent4 7 3 5 3" xfId="19245" xr:uid="{00000000-0005-0000-0000-0000401D0000}"/>
    <cellStyle name="20% - Accent4 7 3 6" xfId="9096" xr:uid="{00000000-0005-0000-0000-0000411D0000}"/>
    <cellStyle name="20% - Accent4 7 3 6 2" xfId="23571" xr:uid="{00000000-0005-0000-0000-0000421D0000}"/>
    <cellStyle name="20% - Accent4 7 3 7" xfId="19241" xr:uid="{00000000-0005-0000-0000-0000431D0000}"/>
    <cellStyle name="20% - Accent4 7 4" xfId="1923" xr:uid="{00000000-0005-0000-0000-0000441D0000}"/>
    <cellStyle name="20% - Accent4 7 4 2" xfId="1924" xr:uid="{00000000-0005-0000-0000-0000451D0000}"/>
    <cellStyle name="20% - Accent4 7 4 2 2" xfId="14947" xr:uid="{00000000-0005-0000-0000-0000461D0000}"/>
    <cellStyle name="20% - Accent4 7 4 2 2 2" xfId="28496" xr:uid="{00000000-0005-0000-0000-0000471D0000}"/>
    <cellStyle name="20% - Accent4 7 4 2 3" xfId="19247" xr:uid="{00000000-0005-0000-0000-0000481D0000}"/>
    <cellStyle name="20% - Accent4 7 4 3" xfId="10818" xr:uid="{00000000-0005-0000-0000-0000491D0000}"/>
    <cellStyle name="20% - Accent4 7 4 3 2" xfId="24760" xr:uid="{00000000-0005-0000-0000-00004A1D0000}"/>
    <cellStyle name="20% - Accent4 7 4 4" xfId="19246" xr:uid="{00000000-0005-0000-0000-00004B1D0000}"/>
    <cellStyle name="20% - Accent4 7 5" xfId="1925" xr:uid="{00000000-0005-0000-0000-00004C1D0000}"/>
    <cellStyle name="20% - Accent4 7 5 2" xfId="11950" xr:uid="{00000000-0005-0000-0000-00004D1D0000}"/>
    <cellStyle name="20% - Accent4 7 5 2 2" xfId="25665" xr:uid="{00000000-0005-0000-0000-00004E1D0000}"/>
    <cellStyle name="20% - Accent4 7 5 3" xfId="19248" xr:uid="{00000000-0005-0000-0000-00004F1D0000}"/>
    <cellStyle name="20% - Accent4 7 6" xfId="1926" xr:uid="{00000000-0005-0000-0000-0000501D0000}"/>
    <cellStyle name="20% - Accent4 7 6 2" xfId="12761" xr:uid="{00000000-0005-0000-0000-0000511D0000}"/>
    <cellStyle name="20% - Accent4 7 6 2 2" xfId="26473" xr:uid="{00000000-0005-0000-0000-0000521D0000}"/>
    <cellStyle name="20% - Accent4 7 6 3" xfId="19249" xr:uid="{00000000-0005-0000-0000-0000531D0000}"/>
    <cellStyle name="20% - Accent4 7 7" xfId="1927" xr:uid="{00000000-0005-0000-0000-0000541D0000}"/>
    <cellStyle name="20% - Accent4 7 7 2" xfId="13527" xr:uid="{00000000-0005-0000-0000-0000551D0000}"/>
    <cellStyle name="20% - Accent4 7 7 2 2" xfId="27076" xr:uid="{00000000-0005-0000-0000-0000561D0000}"/>
    <cellStyle name="20% - Accent4 7 7 3" xfId="19250" xr:uid="{00000000-0005-0000-0000-0000571D0000}"/>
    <cellStyle name="20% - Accent4 7 8" xfId="1928" xr:uid="{00000000-0005-0000-0000-0000581D0000}"/>
    <cellStyle name="20% - Accent4 7 8 2" xfId="14108" xr:uid="{00000000-0005-0000-0000-0000591D0000}"/>
    <cellStyle name="20% - Accent4 7 8 2 2" xfId="27657" xr:uid="{00000000-0005-0000-0000-00005A1D0000}"/>
    <cellStyle name="20% - Accent4 7 8 3" xfId="19251" xr:uid="{00000000-0005-0000-0000-00005B1D0000}"/>
    <cellStyle name="20% - Accent4 7 9" xfId="1929" xr:uid="{00000000-0005-0000-0000-00005C1D0000}"/>
    <cellStyle name="20% - Accent4 7 9 2" xfId="14942" xr:uid="{00000000-0005-0000-0000-00005D1D0000}"/>
    <cellStyle name="20% - Accent4 7 9 2 2" xfId="28491" xr:uid="{00000000-0005-0000-0000-00005E1D0000}"/>
    <cellStyle name="20% - Accent4 7 9 3" xfId="19252" xr:uid="{00000000-0005-0000-0000-00005F1D0000}"/>
    <cellStyle name="20% - Accent4 8" xfId="1930" xr:uid="{00000000-0005-0000-0000-0000601D0000}"/>
    <cellStyle name="20% - Accent4 8 10" xfId="9097" xr:uid="{00000000-0005-0000-0000-0000611D0000}"/>
    <cellStyle name="20% - Accent4 8 10 2" xfId="23572" xr:uid="{00000000-0005-0000-0000-0000621D0000}"/>
    <cellStyle name="20% - Accent4 8 11" xfId="19253" xr:uid="{00000000-0005-0000-0000-0000631D0000}"/>
    <cellStyle name="20% - Accent4 8 2" xfId="1931" xr:uid="{00000000-0005-0000-0000-0000641D0000}"/>
    <cellStyle name="20% - Accent4 8 2 2" xfId="1932" xr:uid="{00000000-0005-0000-0000-0000651D0000}"/>
    <cellStyle name="20% - Accent4 8 2 2 2" xfId="10823" xr:uid="{00000000-0005-0000-0000-0000661D0000}"/>
    <cellStyle name="20% - Accent4 8 2 2 2 2" xfId="24765" xr:uid="{00000000-0005-0000-0000-0000671D0000}"/>
    <cellStyle name="20% - Accent4 8 2 2 3" xfId="19255" xr:uid="{00000000-0005-0000-0000-0000681D0000}"/>
    <cellStyle name="20% - Accent4 8 2 3" xfId="1933" xr:uid="{00000000-0005-0000-0000-0000691D0000}"/>
    <cellStyle name="20% - Accent4 8 2 3 2" xfId="12724" xr:uid="{00000000-0005-0000-0000-00006A1D0000}"/>
    <cellStyle name="20% - Accent4 8 2 3 2 2" xfId="26436" xr:uid="{00000000-0005-0000-0000-00006B1D0000}"/>
    <cellStyle name="20% - Accent4 8 2 3 3" xfId="19256" xr:uid="{00000000-0005-0000-0000-00006C1D0000}"/>
    <cellStyle name="20% - Accent4 8 2 4" xfId="1934" xr:uid="{00000000-0005-0000-0000-00006D1D0000}"/>
    <cellStyle name="20% - Accent4 8 2 4 2" xfId="14949" xr:uid="{00000000-0005-0000-0000-00006E1D0000}"/>
    <cellStyle name="20% - Accent4 8 2 4 2 2" xfId="28498" xr:uid="{00000000-0005-0000-0000-00006F1D0000}"/>
    <cellStyle name="20% - Accent4 8 2 4 3" xfId="19257" xr:uid="{00000000-0005-0000-0000-0000701D0000}"/>
    <cellStyle name="20% - Accent4 8 2 5" xfId="1935" xr:uid="{00000000-0005-0000-0000-0000711D0000}"/>
    <cellStyle name="20% - Accent4 8 2 5 2" xfId="16715" xr:uid="{00000000-0005-0000-0000-0000721D0000}"/>
    <cellStyle name="20% - Accent4 8 2 5 2 2" xfId="30122" xr:uid="{00000000-0005-0000-0000-0000731D0000}"/>
    <cellStyle name="20% - Accent4 8 2 5 3" xfId="19258" xr:uid="{00000000-0005-0000-0000-0000741D0000}"/>
    <cellStyle name="20% - Accent4 8 2 6" xfId="9098" xr:uid="{00000000-0005-0000-0000-0000751D0000}"/>
    <cellStyle name="20% - Accent4 8 2 6 2" xfId="23573" xr:uid="{00000000-0005-0000-0000-0000761D0000}"/>
    <cellStyle name="20% - Accent4 8 2 7" xfId="19254" xr:uid="{00000000-0005-0000-0000-0000771D0000}"/>
    <cellStyle name="20% - Accent4 8 3" xfId="1936" xr:uid="{00000000-0005-0000-0000-0000781D0000}"/>
    <cellStyle name="20% - Accent4 8 3 2" xfId="1937" xr:uid="{00000000-0005-0000-0000-0000791D0000}"/>
    <cellStyle name="20% - Accent4 8 3 2 2" xfId="14950" xr:uid="{00000000-0005-0000-0000-00007A1D0000}"/>
    <cellStyle name="20% - Accent4 8 3 2 2 2" xfId="28499" xr:uid="{00000000-0005-0000-0000-00007B1D0000}"/>
    <cellStyle name="20% - Accent4 8 3 2 3" xfId="19260" xr:uid="{00000000-0005-0000-0000-00007C1D0000}"/>
    <cellStyle name="20% - Accent4 8 3 3" xfId="10822" xr:uid="{00000000-0005-0000-0000-00007D1D0000}"/>
    <cellStyle name="20% - Accent4 8 3 3 2" xfId="24764" xr:uid="{00000000-0005-0000-0000-00007E1D0000}"/>
    <cellStyle name="20% - Accent4 8 3 4" xfId="19259" xr:uid="{00000000-0005-0000-0000-00007F1D0000}"/>
    <cellStyle name="20% - Accent4 8 4" xfId="1938" xr:uid="{00000000-0005-0000-0000-0000801D0000}"/>
    <cellStyle name="20% - Accent4 8 4 2" xfId="12093" xr:uid="{00000000-0005-0000-0000-0000811D0000}"/>
    <cellStyle name="20% - Accent4 8 4 2 2" xfId="25807" xr:uid="{00000000-0005-0000-0000-0000821D0000}"/>
    <cellStyle name="20% - Accent4 8 4 3" xfId="19261" xr:uid="{00000000-0005-0000-0000-0000831D0000}"/>
    <cellStyle name="20% - Accent4 8 5" xfId="1939" xr:uid="{00000000-0005-0000-0000-0000841D0000}"/>
    <cellStyle name="20% - Accent4 8 5 2" xfId="12500" xr:uid="{00000000-0005-0000-0000-0000851D0000}"/>
    <cellStyle name="20% - Accent4 8 5 2 2" xfId="26212" xr:uid="{00000000-0005-0000-0000-0000861D0000}"/>
    <cellStyle name="20% - Accent4 8 5 3" xfId="19262" xr:uid="{00000000-0005-0000-0000-0000871D0000}"/>
    <cellStyle name="20% - Accent4 8 6" xfId="1940" xr:uid="{00000000-0005-0000-0000-0000881D0000}"/>
    <cellStyle name="20% - Accent4 8 6 2" xfId="13667" xr:uid="{00000000-0005-0000-0000-0000891D0000}"/>
    <cellStyle name="20% - Accent4 8 6 2 2" xfId="27216" xr:uid="{00000000-0005-0000-0000-00008A1D0000}"/>
    <cellStyle name="20% - Accent4 8 6 3" xfId="19263" xr:uid="{00000000-0005-0000-0000-00008B1D0000}"/>
    <cellStyle name="20% - Accent4 8 7" xfId="1941" xr:uid="{00000000-0005-0000-0000-00008C1D0000}"/>
    <cellStyle name="20% - Accent4 8 7 2" xfId="14248" xr:uid="{00000000-0005-0000-0000-00008D1D0000}"/>
    <cellStyle name="20% - Accent4 8 7 2 2" xfId="27797" xr:uid="{00000000-0005-0000-0000-00008E1D0000}"/>
    <cellStyle name="20% - Accent4 8 7 3" xfId="19264" xr:uid="{00000000-0005-0000-0000-00008F1D0000}"/>
    <cellStyle name="20% - Accent4 8 8" xfId="1942" xr:uid="{00000000-0005-0000-0000-0000901D0000}"/>
    <cellStyle name="20% - Accent4 8 8 2" xfId="14948" xr:uid="{00000000-0005-0000-0000-0000911D0000}"/>
    <cellStyle name="20% - Accent4 8 8 2 2" xfId="28497" xr:uid="{00000000-0005-0000-0000-0000921D0000}"/>
    <cellStyle name="20% - Accent4 8 8 3" xfId="19265" xr:uid="{00000000-0005-0000-0000-0000931D0000}"/>
    <cellStyle name="20% - Accent4 8 9" xfId="1943" xr:uid="{00000000-0005-0000-0000-0000941D0000}"/>
    <cellStyle name="20% - Accent4 8 9 2" xfId="16134" xr:uid="{00000000-0005-0000-0000-0000951D0000}"/>
    <cellStyle name="20% - Accent4 8 9 2 2" xfId="29541" xr:uid="{00000000-0005-0000-0000-0000961D0000}"/>
    <cellStyle name="20% - Accent4 8 9 3" xfId="19266" xr:uid="{00000000-0005-0000-0000-0000971D0000}"/>
    <cellStyle name="20% - Accent4 9" xfId="1944" xr:uid="{00000000-0005-0000-0000-0000981D0000}"/>
    <cellStyle name="20% - Accent4 9 2" xfId="1945" xr:uid="{00000000-0005-0000-0000-0000991D0000}"/>
    <cellStyle name="20% - Accent4 9 2 2" xfId="10824" xr:uid="{00000000-0005-0000-0000-00009A1D0000}"/>
    <cellStyle name="20% - Accent4 9 2 2 2" xfId="24766" xr:uid="{00000000-0005-0000-0000-00009B1D0000}"/>
    <cellStyle name="20% - Accent4 9 2 3" xfId="19268" xr:uid="{00000000-0005-0000-0000-00009C1D0000}"/>
    <cellStyle name="20% - Accent4 9 3" xfId="1946" xr:uid="{00000000-0005-0000-0000-00009D1D0000}"/>
    <cellStyle name="20% - Accent4 9 3 2" xfId="12638" xr:uid="{00000000-0005-0000-0000-00009E1D0000}"/>
    <cellStyle name="20% - Accent4 9 3 2 2" xfId="26350" xr:uid="{00000000-0005-0000-0000-00009F1D0000}"/>
    <cellStyle name="20% - Accent4 9 3 3" xfId="19269" xr:uid="{00000000-0005-0000-0000-0000A01D0000}"/>
    <cellStyle name="20% - Accent4 9 4" xfId="1947" xr:uid="{00000000-0005-0000-0000-0000A11D0000}"/>
    <cellStyle name="20% - Accent4 9 4 2" xfId="14951" xr:uid="{00000000-0005-0000-0000-0000A21D0000}"/>
    <cellStyle name="20% - Accent4 9 4 2 2" xfId="28500" xr:uid="{00000000-0005-0000-0000-0000A31D0000}"/>
    <cellStyle name="20% - Accent4 9 4 3" xfId="19270" xr:uid="{00000000-0005-0000-0000-0000A41D0000}"/>
    <cellStyle name="20% - Accent4 9 5" xfId="1948" xr:uid="{00000000-0005-0000-0000-0000A51D0000}"/>
    <cellStyle name="20% - Accent4 9 5 2" xfId="17099" xr:uid="{00000000-0005-0000-0000-0000A61D0000}"/>
    <cellStyle name="20% - Accent4 9 5 2 2" xfId="30458" xr:uid="{00000000-0005-0000-0000-0000A71D0000}"/>
    <cellStyle name="20% - Accent4 9 5 3" xfId="19271" xr:uid="{00000000-0005-0000-0000-0000A81D0000}"/>
    <cellStyle name="20% - Accent4 9 6" xfId="9099" xr:uid="{00000000-0005-0000-0000-0000A91D0000}"/>
    <cellStyle name="20% - Accent4 9 6 2" xfId="23574" xr:uid="{00000000-0005-0000-0000-0000AA1D0000}"/>
    <cellStyle name="20% - Accent4 9 7" xfId="19267" xr:uid="{00000000-0005-0000-0000-0000AB1D0000}"/>
    <cellStyle name="20% - Accent5" xfId="43" builtinId="46" customBuiltin="1"/>
    <cellStyle name="20% - Accent5 10" xfId="1949" xr:uid="{00000000-0005-0000-0000-0000AD1D0000}"/>
    <cellStyle name="20% - Accent5 10 2" xfId="1950" xr:uid="{00000000-0005-0000-0000-0000AE1D0000}"/>
    <cellStyle name="20% - Accent5 10 2 2" xfId="12439" xr:uid="{00000000-0005-0000-0000-0000AF1D0000}"/>
    <cellStyle name="20% - Accent5 10 2 2 2" xfId="26151" xr:uid="{00000000-0005-0000-0000-0000B01D0000}"/>
    <cellStyle name="20% - Accent5 10 2 3" xfId="19274" xr:uid="{00000000-0005-0000-0000-0000B11D0000}"/>
    <cellStyle name="20% - Accent5 10 3" xfId="1951" xr:uid="{00000000-0005-0000-0000-0000B21D0000}"/>
    <cellStyle name="20% - Accent5 10 3 2" xfId="14952" xr:uid="{00000000-0005-0000-0000-0000B31D0000}"/>
    <cellStyle name="20% - Accent5 10 3 2 2" xfId="28501" xr:uid="{00000000-0005-0000-0000-0000B41D0000}"/>
    <cellStyle name="20% - Accent5 10 3 3" xfId="19275" xr:uid="{00000000-0005-0000-0000-0000B51D0000}"/>
    <cellStyle name="20% - Accent5 10 4" xfId="1952" xr:uid="{00000000-0005-0000-0000-0000B61D0000}"/>
    <cellStyle name="20% - Accent5 10 4 2" xfId="17189" xr:uid="{00000000-0005-0000-0000-0000B71D0000}"/>
    <cellStyle name="20% - Accent5 10 4 2 2" xfId="30548" xr:uid="{00000000-0005-0000-0000-0000B81D0000}"/>
    <cellStyle name="20% - Accent5 10 4 3" xfId="19276" xr:uid="{00000000-0005-0000-0000-0000B91D0000}"/>
    <cellStyle name="20% - Accent5 10 5" xfId="10507" xr:uid="{00000000-0005-0000-0000-0000BA1D0000}"/>
    <cellStyle name="20% - Accent5 10 5 2" xfId="24455" xr:uid="{00000000-0005-0000-0000-0000BB1D0000}"/>
    <cellStyle name="20% - Accent5 10 6" xfId="19273" xr:uid="{00000000-0005-0000-0000-0000BC1D0000}"/>
    <cellStyle name="20% - Accent5 11" xfId="1953" xr:uid="{00000000-0005-0000-0000-0000BD1D0000}"/>
    <cellStyle name="20% - Accent5 11 2" xfId="1954" xr:uid="{00000000-0005-0000-0000-0000BE1D0000}"/>
    <cellStyle name="20% - Accent5 11 2 2" xfId="12440" xr:uid="{00000000-0005-0000-0000-0000BF1D0000}"/>
    <cellStyle name="20% - Accent5 11 2 2 2" xfId="26152" xr:uid="{00000000-0005-0000-0000-0000C01D0000}"/>
    <cellStyle name="20% - Accent5 11 2 3" xfId="19278" xr:uid="{00000000-0005-0000-0000-0000C11D0000}"/>
    <cellStyle name="20% - Accent5 11 3" xfId="1955" xr:uid="{00000000-0005-0000-0000-0000C21D0000}"/>
    <cellStyle name="20% - Accent5 11 3 2" xfId="14953" xr:uid="{00000000-0005-0000-0000-0000C31D0000}"/>
    <cellStyle name="20% - Accent5 11 3 2 2" xfId="28502" xr:uid="{00000000-0005-0000-0000-0000C41D0000}"/>
    <cellStyle name="20% - Accent5 11 3 3" xfId="19279" xr:uid="{00000000-0005-0000-0000-0000C51D0000}"/>
    <cellStyle name="20% - Accent5 11 4" xfId="1956" xr:uid="{00000000-0005-0000-0000-0000C61D0000}"/>
    <cellStyle name="20% - Accent5 11 4 2" xfId="17278" xr:uid="{00000000-0005-0000-0000-0000C71D0000}"/>
    <cellStyle name="20% - Accent5 11 4 2 2" xfId="30637" xr:uid="{00000000-0005-0000-0000-0000C81D0000}"/>
    <cellStyle name="20% - Accent5 11 4 3" xfId="19280" xr:uid="{00000000-0005-0000-0000-0000C91D0000}"/>
    <cellStyle name="20% - Accent5 11 5" xfId="10825" xr:uid="{00000000-0005-0000-0000-0000CA1D0000}"/>
    <cellStyle name="20% - Accent5 11 5 2" xfId="24767" xr:uid="{00000000-0005-0000-0000-0000CB1D0000}"/>
    <cellStyle name="20% - Accent5 11 6" xfId="19277" xr:uid="{00000000-0005-0000-0000-0000CC1D0000}"/>
    <cellStyle name="20% - Accent5 12" xfId="1957" xr:uid="{00000000-0005-0000-0000-0000CD1D0000}"/>
    <cellStyle name="20% - Accent5 12 2" xfId="1958" xr:uid="{00000000-0005-0000-0000-0000CE1D0000}"/>
    <cellStyle name="20% - Accent5 12 2 2" xfId="16430" xr:uid="{00000000-0005-0000-0000-0000CF1D0000}"/>
    <cellStyle name="20% - Accent5 12 2 2 2" xfId="29837" xr:uid="{00000000-0005-0000-0000-0000D01D0000}"/>
    <cellStyle name="20% - Accent5 12 2 3" xfId="19282" xr:uid="{00000000-0005-0000-0000-0000D11D0000}"/>
    <cellStyle name="20% - Accent5 12 3" xfId="11743" xr:uid="{00000000-0005-0000-0000-0000D21D0000}"/>
    <cellStyle name="20% - Accent5 12 3 2" xfId="25458" xr:uid="{00000000-0005-0000-0000-0000D31D0000}"/>
    <cellStyle name="20% - Accent5 12 4" xfId="19281" xr:uid="{00000000-0005-0000-0000-0000D41D0000}"/>
    <cellStyle name="20% - Accent5 13" xfId="1959" xr:uid="{00000000-0005-0000-0000-0000D51D0000}"/>
    <cellStyle name="20% - Accent5 13 2" xfId="13382" xr:uid="{00000000-0005-0000-0000-0000D61D0000}"/>
    <cellStyle name="20% - Accent5 13 2 2" xfId="26931" xr:uid="{00000000-0005-0000-0000-0000D71D0000}"/>
    <cellStyle name="20% - Accent5 13 3" xfId="19283" xr:uid="{00000000-0005-0000-0000-0000D81D0000}"/>
    <cellStyle name="20% - Accent5 14" xfId="1960" xr:uid="{00000000-0005-0000-0000-0000D91D0000}"/>
    <cellStyle name="20% - Accent5 14 2" xfId="13963" xr:uid="{00000000-0005-0000-0000-0000DA1D0000}"/>
    <cellStyle name="20% - Accent5 14 2 2" xfId="27512" xr:uid="{00000000-0005-0000-0000-0000DB1D0000}"/>
    <cellStyle name="20% - Accent5 14 3" xfId="19284" xr:uid="{00000000-0005-0000-0000-0000DC1D0000}"/>
    <cellStyle name="20% - Accent5 15" xfId="1961" xr:uid="{00000000-0005-0000-0000-0000DD1D0000}"/>
    <cellStyle name="20% - Accent5 15 2" xfId="15836" xr:uid="{00000000-0005-0000-0000-0000DE1D0000}"/>
    <cellStyle name="20% - Accent5 15 2 2" xfId="29243" xr:uid="{00000000-0005-0000-0000-0000DF1D0000}"/>
    <cellStyle name="20% - Accent5 15 3" xfId="19285" xr:uid="{00000000-0005-0000-0000-0000E01D0000}"/>
    <cellStyle name="20% - Accent5 16" xfId="1962" xr:uid="{00000000-0005-0000-0000-0000E11D0000}"/>
    <cellStyle name="20% - Accent5 16 2" xfId="15849" xr:uid="{00000000-0005-0000-0000-0000E21D0000}"/>
    <cellStyle name="20% - Accent5 16 2 2" xfId="29256" xr:uid="{00000000-0005-0000-0000-0000E31D0000}"/>
    <cellStyle name="20% - Accent5 16 3" xfId="19286" xr:uid="{00000000-0005-0000-0000-0000E41D0000}"/>
    <cellStyle name="20% - Accent5 17" xfId="8818" xr:uid="{00000000-0005-0000-0000-0000E51D0000}"/>
    <cellStyle name="20% - Accent5 17 2" xfId="23294" xr:uid="{00000000-0005-0000-0000-0000E61D0000}"/>
    <cellStyle name="20% - Accent5 18" xfId="19272" xr:uid="{00000000-0005-0000-0000-0000E71D0000}"/>
    <cellStyle name="20% - Accent5 2" xfId="1963" xr:uid="{00000000-0005-0000-0000-0000E81D0000}"/>
    <cellStyle name="20% - Accent5 2 10" xfId="1964" xr:uid="{00000000-0005-0000-0000-0000E91D0000}"/>
    <cellStyle name="20% - Accent5 2 10 2" xfId="15910" xr:uid="{00000000-0005-0000-0000-0000EA1D0000}"/>
    <cellStyle name="20% - Accent5 2 10 2 2" xfId="29317" xr:uid="{00000000-0005-0000-0000-0000EB1D0000}"/>
    <cellStyle name="20% - Accent5 2 10 3" xfId="19288" xr:uid="{00000000-0005-0000-0000-0000EC1D0000}"/>
    <cellStyle name="20% - Accent5 2 11" xfId="9100" xr:uid="{00000000-0005-0000-0000-0000ED1D0000}"/>
    <cellStyle name="20% - Accent5 2 11 2" xfId="23575" xr:uid="{00000000-0005-0000-0000-0000EE1D0000}"/>
    <cellStyle name="20% - Accent5 2 12" xfId="19287" xr:uid="{00000000-0005-0000-0000-0000EF1D0000}"/>
    <cellStyle name="20% - Accent5 2 13" xfId="33078" xr:uid="{00000000-0005-0000-0000-0000F01D0000}"/>
    <cellStyle name="20% - Accent5 2 2" xfId="1965" xr:uid="{00000000-0005-0000-0000-0000F11D0000}"/>
    <cellStyle name="20% - Accent5 2 2 10" xfId="19289" xr:uid="{00000000-0005-0000-0000-0000F21D0000}"/>
    <cellStyle name="20% - Accent5 2 2 2" xfId="1966" xr:uid="{00000000-0005-0000-0000-0000F31D0000}"/>
    <cellStyle name="20% - Accent5 2 2 2 2" xfId="1967" xr:uid="{00000000-0005-0000-0000-0000F41D0000}"/>
    <cellStyle name="20% - Accent5 2 2 2 2 2" xfId="1968" xr:uid="{00000000-0005-0000-0000-0000F51D0000}"/>
    <cellStyle name="20% - Accent5 2 2 2 2 2 2" xfId="1969" xr:uid="{00000000-0005-0000-0000-0000F61D0000}"/>
    <cellStyle name="20% - Accent5 2 2 2 2 2 2 2" xfId="16969" xr:uid="{00000000-0005-0000-0000-0000F71D0000}"/>
    <cellStyle name="20% - Accent5 2 2 2 2 2 2 2 2" xfId="30376" xr:uid="{00000000-0005-0000-0000-0000F81D0000}"/>
    <cellStyle name="20% - Accent5 2 2 2 2 2 2 3" xfId="19293" xr:uid="{00000000-0005-0000-0000-0000F91D0000}"/>
    <cellStyle name="20% - Accent5 2 2 2 2 2 3" xfId="10829" xr:uid="{00000000-0005-0000-0000-0000FA1D0000}"/>
    <cellStyle name="20% - Accent5 2 2 2 2 2 3 2" xfId="24771" xr:uid="{00000000-0005-0000-0000-0000FB1D0000}"/>
    <cellStyle name="20% - Accent5 2 2 2 2 2 4" xfId="19292" xr:uid="{00000000-0005-0000-0000-0000FC1D0000}"/>
    <cellStyle name="20% - Accent5 2 2 2 2 3" xfId="1970" xr:uid="{00000000-0005-0000-0000-0000FD1D0000}"/>
    <cellStyle name="20% - Accent5 2 2 2 2 3 2" xfId="12357" xr:uid="{00000000-0005-0000-0000-0000FE1D0000}"/>
    <cellStyle name="20% - Accent5 2 2 2 2 3 2 2" xfId="26069" xr:uid="{00000000-0005-0000-0000-0000FF1D0000}"/>
    <cellStyle name="20% - Accent5 2 2 2 2 3 3" xfId="19294" xr:uid="{00000000-0005-0000-0000-0000001E0000}"/>
    <cellStyle name="20% - Accent5 2 2 2 2 4" xfId="1971" xr:uid="{00000000-0005-0000-0000-0000011E0000}"/>
    <cellStyle name="20% - Accent5 2 2 2 2 4 2" xfId="13921" xr:uid="{00000000-0005-0000-0000-0000021E0000}"/>
    <cellStyle name="20% - Accent5 2 2 2 2 4 2 2" xfId="27470" xr:uid="{00000000-0005-0000-0000-0000031E0000}"/>
    <cellStyle name="20% - Accent5 2 2 2 2 4 3" xfId="19295" xr:uid="{00000000-0005-0000-0000-0000041E0000}"/>
    <cellStyle name="20% - Accent5 2 2 2 2 5" xfId="1972" xr:uid="{00000000-0005-0000-0000-0000051E0000}"/>
    <cellStyle name="20% - Accent5 2 2 2 2 5 2" xfId="14502" xr:uid="{00000000-0005-0000-0000-0000061E0000}"/>
    <cellStyle name="20% - Accent5 2 2 2 2 5 2 2" xfId="28051" xr:uid="{00000000-0005-0000-0000-0000071E0000}"/>
    <cellStyle name="20% - Accent5 2 2 2 2 5 3" xfId="19296" xr:uid="{00000000-0005-0000-0000-0000081E0000}"/>
    <cellStyle name="20% - Accent5 2 2 2 2 6" xfId="1973" xr:uid="{00000000-0005-0000-0000-0000091E0000}"/>
    <cellStyle name="20% - Accent5 2 2 2 2 6 2" xfId="16388" xr:uid="{00000000-0005-0000-0000-00000A1E0000}"/>
    <cellStyle name="20% - Accent5 2 2 2 2 6 2 2" xfId="29795" xr:uid="{00000000-0005-0000-0000-00000B1E0000}"/>
    <cellStyle name="20% - Accent5 2 2 2 2 6 3" xfId="19297" xr:uid="{00000000-0005-0000-0000-00000C1E0000}"/>
    <cellStyle name="20% - Accent5 2 2 2 2 7" xfId="9103" xr:uid="{00000000-0005-0000-0000-00000D1E0000}"/>
    <cellStyle name="20% - Accent5 2 2 2 2 7 2" xfId="23578" xr:uid="{00000000-0005-0000-0000-00000E1E0000}"/>
    <cellStyle name="20% - Accent5 2 2 2 2 8" xfId="19291" xr:uid="{00000000-0005-0000-0000-00000F1E0000}"/>
    <cellStyle name="20% - Accent5 2 2 2 3" xfId="1974" xr:uid="{00000000-0005-0000-0000-0000101E0000}"/>
    <cellStyle name="20% - Accent5 2 2 2 3 2" xfId="1975" xr:uid="{00000000-0005-0000-0000-0000111E0000}"/>
    <cellStyle name="20% - Accent5 2 2 2 3 2 2" xfId="16680" xr:uid="{00000000-0005-0000-0000-0000121E0000}"/>
    <cellStyle name="20% - Accent5 2 2 2 3 2 2 2" xfId="30087" xr:uid="{00000000-0005-0000-0000-0000131E0000}"/>
    <cellStyle name="20% - Accent5 2 2 2 3 2 3" xfId="19299" xr:uid="{00000000-0005-0000-0000-0000141E0000}"/>
    <cellStyle name="20% - Accent5 2 2 2 3 3" xfId="10828" xr:uid="{00000000-0005-0000-0000-0000151E0000}"/>
    <cellStyle name="20% - Accent5 2 2 2 3 3 2" xfId="24770" xr:uid="{00000000-0005-0000-0000-0000161E0000}"/>
    <cellStyle name="20% - Accent5 2 2 2 3 4" xfId="19298" xr:uid="{00000000-0005-0000-0000-0000171E0000}"/>
    <cellStyle name="20% - Accent5 2 2 2 4" xfId="1976" xr:uid="{00000000-0005-0000-0000-0000181E0000}"/>
    <cellStyle name="20% - Accent5 2 2 2 4 2" xfId="12057" xr:uid="{00000000-0005-0000-0000-0000191E0000}"/>
    <cellStyle name="20% - Accent5 2 2 2 4 2 2" xfId="25772" xr:uid="{00000000-0005-0000-0000-00001A1E0000}"/>
    <cellStyle name="20% - Accent5 2 2 2 4 3" xfId="19300" xr:uid="{00000000-0005-0000-0000-00001B1E0000}"/>
    <cellStyle name="20% - Accent5 2 2 2 5" xfId="1977" xr:uid="{00000000-0005-0000-0000-00001C1E0000}"/>
    <cellStyle name="20% - Accent5 2 2 2 5 2" xfId="13632" xr:uid="{00000000-0005-0000-0000-00001D1E0000}"/>
    <cellStyle name="20% - Accent5 2 2 2 5 2 2" xfId="27181" xr:uid="{00000000-0005-0000-0000-00001E1E0000}"/>
    <cellStyle name="20% - Accent5 2 2 2 5 3" xfId="19301" xr:uid="{00000000-0005-0000-0000-00001F1E0000}"/>
    <cellStyle name="20% - Accent5 2 2 2 6" xfId="1978" xr:uid="{00000000-0005-0000-0000-0000201E0000}"/>
    <cellStyle name="20% - Accent5 2 2 2 6 2" xfId="14213" xr:uid="{00000000-0005-0000-0000-0000211E0000}"/>
    <cellStyle name="20% - Accent5 2 2 2 6 2 2" xfId="27762" xr:uid="{00000000-0005-0000-0000-0000221E0000}"/>
    <cellStyle name="20% - Accent5 2 2 2 6 3" xfId="19302" xr:uid="{00000000-0005-0000-0000-0000231E0000}"/>
    <cellStyle name="20% - Accent5 2 2 2 7" xfId="1979" xr:uid="{00000000-0005-0000-0000-0000241E0000}"/>
    <cellStyle name="20% - Accent5 2 2 2 7 2" xfId="16099" xr:uid="{00000000-0005-0000-0000-0000251E0000}"/>
    <cellStyle name="20% - Accent5 2 2 2 7 2 2" xfId="29506" xr:uid="{00000000-0005-0000-0000-0000261E0000}"/>
    <cellStyle name="20% - Accent5 2 2 2 7 3" xfId="19303" xr:uid="{00000000-0005-0000-0000-0000271E0000}"/>
    <cellStyle name="20% - Accent5 2 2 2 8" xfId="9102" xr:uid="{00000000-0005-0000-0000-0000281E0000}"/>
    <cellStyle name="20% - Accent5 2 2 2 8 2" xfId="23577" xr:uid="{00000000-0005-0000-0000-0000291E0000}"/>
    <cellStyle name="20% - Accent5 2 2 2 9" xfId="19290" xr:uid="{00000000-0005-0000-0000-00002A1E0000}"/>
    <cellStyle name="20% - Accent5 2 2 3" xfId="1980" xr:uid="{00000000-0005-0000-0000-00002B1E0000}"/>
    <cellStyle name="20% - Accent5 2 2 3 2" xfId="1981" xr:uid="{00000000-0005-0000-0000-00002C1E0000}"/>
    <cellStyle name="20% - Accent5 2 2 3 2 2" xfId="1982" xr:uid="{00000000-0005-0000-0000-00002D1E0000}"/>
    <cellStyle name="20% - Accent5 2 2 3 2 2 2" xfId="16826" xr:uid="{00000000-0005-0000-0000-00002E1E0000}"/>
    <cellStyle name="20% - Accent5 2 2 3 2 2 2 2" xfId="30233" xr:uid="{00000000-0005-0000-0000-00002F1E0000}"/>
    <cellStyle name="20% - Accent5 2 2 3 2 2 3" xfId="19306" xr:uid="{00000000-0005-0000-0000-0000301E0000}"/>
    <cellStyle name="20% - Accent5 2 2 3 2 3" xfId="10830" xr:uid="{00000000-0005-0000-0000-0000311E0000}"/>
    <cellStyle name="20% - Accent5 2 2 3 2 3 2" xfId="24772" xr:uid="{00000000-0005-0000-0000-0000321E0000}"/>
    <cellStyle name="20% - Accent5 2 2 3 2 4" xfId="19305" xr:uid="{00000000-0005-0000-0000-0000331E0000}"/>
    <cellStyle name="20% - Accent5 2 2 3 3" xfId="1983" xr:uid="{00000000-0005-0000-0000-0000341E0000}"/>
    <cellStyle name="20% - Accent5 2 2 3 3 2" xfId="12214" xr:uid="{00000000-0005-0000-0000-0000351E0000}"/>
    <cellStyle name="20% - Accent5 2 2 3 3 2 2" xfId="25926" xr:uid="{00000000-0005-0000-0000-0000361E0000}"/>
    <cellStyle name="20% - Accent5 2 2 3 3 3" xfId="19307" xr:uid="{00000000-0005-0000-0000-0000371E0000}"/>
    <cellStyle name="20% - Accent5 2 2 3 4" xfId="1984" xr:uid="{00000000-0005-0000-0000-0000381E0000}"/>
    <cellStyle name="20% - Accent5 2 2 3 4 2" xfId="13778" xr:uid="{00000000-0005-0000-0000-0000391E0000}"/>
    <cellStyle name="20% - Accent5 2 2 3 4 2 2" xfId="27327" xr:uid="{00000000-0005-0000-0000-00003A1E0000}"/>
    <cellStyle name="20% - Accent5 2 2 3 4 3" xfId="19308" xr:uid="{00000000-0005-0000-0000-00003B1E0000}"/>
    <cellStyle name="20% - Accent5 2 2 3 5" xfId="1985" xr:uid="{00000000-0005-0000-0000-00003C1E0000}"/>
    <cellStyle name="20% - Accent5 2 2 3 5 2" xfId="14359" xr:uid="{00000000-0005-0000-0000-00003D1E0000}"/>
    <cellStyle name="20% - Accent5 2 2 3 5 2 2" xfId="27908" xr:uid="{00000000-0005-0000-0000-00003E1E0000}"/>
    <cellStyle name="20% - Accent5 2 2 3 5 3" xfId="19309" xr:uid="{00000000-0005-0000-0000-00003F1E0000}"/>
    <cellStyle name="20% - Accent5 2 2 3 6" xfId="1986" xr:uid="{00000000-0005-0000-0000-0000401E0000}"/>
    <cellStyle name="20% - Accent5 2 2 3 6 2" xfId="16245" xr:uid="{00000000-0005-0000-0000-0000411E0000}"/>
    <cellStyle name="20% - Accent5 2 2 3 6 2 2" xfId="29652" xr:uid="{00000000-0005-0000-0000-0000421E0000}"/>
    <cellStyle name="20% - Accent5 2 2 3 6 3" xfId="19310" xr:uid="{00000000-0005-0000-0000-0000431E0000}"/>
    <cellStyle name="20% - Accent5 2 2 3 7" xfId="9104" xr:uid="{00000000-0005-0000-0000-0000441E0000}"/>
    <cellStyle name="20% - Accent5 2 2 3 7 2" xfId="23579" xr:uid="{00000000-0005-0000-0000-0000451E0000}"/>
    <cellStyle name="20% - Accent5 2 2 3 8" xfId="19304" xr:uid="{00000000-0005-0000-0000-0000461E0000}"/>
    <cellStyle name="20% - Accent5 2 2 4" xfId="1987" xr:uid="{00000000-0005-0000-0000-0000471E0000}"/>
    <cellStyle name="20% - Accent5 2 2 4 2" xfId="1988" xr:uid="{00000000-0005-0000-0000-0000481E0000}"/>
    <cellStyle name="20% - Accent5 2 2 4 2 2" xfId="17173" xr:uid="{00000000-0005-0000-0000-0000491E0000}"/>
    <cellStyle name="20% - Accent5 2 2 4 2 2 2" xfId="30532" xr:uid="{00000000-0005-0000-0000-00004A1E0000}"/>
    <cellStyle name="20% - Accent5 2 2 4 2 3" xfId="19312" xr:uid="{00000000-0005-0000-0000-00004B1E0000}"/>
    <cellStyle name="20% - Accent5 2 2 4 3" xfId="10827" xr:uid="{00000000-0005-0000-0000-00004C1E0000}"/>
    <cellStyle name="20% - Accent5 2 2 4 3 2" xfId="24769" xr:uid="{00000000-0005-0000-0000-00004D1E0000}"/>
    <cellStyle name="20% - Accent5 2 2 4 4" xfId="19311" xr:uid="{00000000-0005-0000-0000-00004E1E0000}"/>
    <cellStyle name="20% - Accent5 2 2 5" xfId="1989" xr:uid="{00000000-0005-0000-0000-00004F1E0000}"/>
    <cellStyle name="20% - Accent5 2 2 5 2" xfId="1990" xr:uid="{00000000-0005-0000-0000-0000501E0000}"/>
    <cellStyle name="20% - Accent5 2 2 5 2 2" xfId="17262" xr:uid="{00000000-0005-0000-0000-0000511E0000}"/>
    <cellStyle name="20% - Accent5 2 2 5 2 2 2" xfId="30621" xr:uid="{00000000-0005-0000-0000-0000521E0000}"/>
    <cellStyle name="20% - Accent5 2 2 5 2 3" xfId="19314" xr:uid="{00000000-0005-0000-0000-0000531E0000}"/>
    <cellStyle name="20% - Accent5 2 2 5 3" xfId="11912" xr:uid="{00000000-0005-0000-0000-0000541E0000}"/>
    <cellStyle name="20% - Accent5 2 2 5 3 2" xfId="25627" xr:uid="{00000000-0005-0000-0000-0000551E0000}"/>
    <cellStyle name="20% - Accent5 2 2 5 4" xfId="19313" xr:uid="{00000000-0005-0000-0000-0000561E0000}"/>
    <cellStyle name="20% - Accent5 2 2 6" xfId="1991" xr:uid="{00000000-0005-0000-0000-0000571E0000}"/>
    <cellStyle name="20% - Accent5 2 2 6 2" xfId="1992" xr:uid="{00000000-0005-0000-0000-0000581E0000}"/>
    <cellStyle name="20% - Accent5 2 2 6 2 2" xfId="16537" xr:uid="{00000000-0005-0000-0000-0000591E0000}"/>
    <cellStyle name="20% - Accent5 2 2 6 2 2 2" xfId="29944" xr:uid="{00000000-0005-0000-0000-00005A1E0000}"/>
    <cellStyle name="20% - Accent5 2 2 6 2 3" xfId="19316" xr:uid="{00000000-0005-0000-0000-00005B1E0000}"/>
    <cellStyle name="20% - Accent5 2 2 6 3" xfId="13489" xr:uid="{00000000-0005-0000-0000-00005C1E0000}"/>
    <cellStyle name="20% - Accent5 2 2 6 3 2" xfId="27038" xr:uid="{00000000-0005-0000-0000-00005D1E0000}"/>
    <cellStyle name="20% - Accent5 2 2 6 4" xfId="19315" xr:uid="{00000000-0005-0000-0000-00005E1E0000}"/>
    <cellStyle name="20% - Accent5 2 2 7" xfId="1993" xr:uid="{00000000-0005-0000-0000-00005F1E0000}"/>
    <cellStyle name="20% - Accent5 2 2 7 2" xfId="14070" xr:uid="{00000000-0005-0000-0000-0000601E0000}"/>
    <cellStyle name="20% - Accent5 2 2 7 2 2" xfId="27619" xr:uid="{00000000-0005-0000-0000-0000611E0000}"/>
    <cellStyle name="20% - Accent5 2 2 7 3" xfId="19317" xr:uid="{00000000-0005-0000-0000-0000621E0000}"/>
    <cellStyle name="20% - Accent5 2 2 8" xfId="1994" xr:uid="{00000000-0005-0000-0000-0000631E0000}"/>
    <cellStyle name="20% - Accent5 2 2 8 2" xfId="15956" xr:uid="{00000000-0005-0000-0000-0000641E0000}"/>
    <cellStyle name="20% - Accent5 2 2 8 2 2" xfId="29363" xr:uid="{00000000-0005-0000-0000-0000651E0000}"/>
    <cellStyle name="20% - Accent5 2 2 8 3" xfId="19318" xr:uid="{00000000-0005-0000-0000-0000661E0000}"/>
    <cellStyle name="20% - Accent5 2 2 9" xfId="9101" xr:uid="{00000000-0005-0000-0000-0000671E0000}"/>
    <cellStyle name="20% - Accent5 2 2 9 2" xfId="23576" xr:uid="{00000000-0005-0000-0000-0000681E0000}"/>
    <cellStyle name="20% - Accent5 2 3" xfId="1995" xr:uid="{00000000-0005-0000-0000-0000691E0000}"/>
    <cellStyle name="20% - Accent5 2 3 2" xfId="1996" xr:uid="{00000000-0005-0000-0000-00006A1E0000}"/>
    <cellStyle name="20% - Accent5 2 3 2 2" xfId="1997" xr:uid="{00000000-0005-0000-0000-00006B1E0000}"/>
    <cellStyle name="20% - Accent5 2 3 2 2 2" xfId="1998" xr:uid="{00000000-0005-0000-0000-00006C1E0000}"/>
    <cellStyle name="20% - Accent5 2 3 2 2 2 2" xfId="16923" xr:uid="{00000000-0005-0000-0000-00006D1E0000}"/>
    <cellStyle name="20% - Accent5 2 3 2 2 2 2 2" xfId="30330" xr:uid="{00000000-0005-0000-0000-00006E1E0000}"/>
    <cellStyle name="20% - Accent5 2 3 2 2 2 3" xfId="19322" xr:uid="{00000000-0005-0000-0000-00006F1E0000}"/>
    <cellStyle name="20% - Accent5 2 3 2 2 3" xfId="10832" xr:uid="{00000000-0005-0000-0000-0000701E0000}"/>
    <cellStyle name="20% - Accent5 2 3 2 2 3 2" xfId="24774" xr:uid="{00000000-0005-0000-0000-0000711E0000}"/>
    <cellStyle name="20% - Accent5 2 3 2 2 4" xfId="19321" xr:uid="{00000000-0005-0000-0000-0000721E0000}"/>
    <cellStyle name="20% - Accent5 2 3 2 3" xfId="1999" xr:uid="{00000000-0005-0000-0000-0000731E0000}"/>
    <cellStyle name="20% - Accent5 2 3 2 3 2" xfId="12311" xr:uid="{00000000-0005-0000-0000-0000741E0000}"/>
    <cellStyle name="20% - Accent5 2 3 2 3 2 2" xfId="26023" xr:uid="{00000000-0005-0000-0000-0000751E0000}"/>
    <cellStyle name="20% - Accent5 2 3 2 3 3" xfId="19323" xr:uid="{00000000-0005-0000-0000-0000761E0000}"/>
    <cellStyle name="20% - Accent5 2 3 2 4" xfId="2000" xr:uid="{00000000-0005-0000-0000-0000771E0000}"/>
    <cellStyle name="20% - Accent5 2 3 2 4 2" xfId="13875" xr:uid="{00000000-0005-0000-0000-0000781E0000}"/>
    <cellStyle name="20% - Accent5 2 3 2 4 2 2" xfId="27424" xr:uid="{00000000-0005-0000-0000-0000791E0000}"/>
    <cellStyle name="20% - Accent5 2 3 2 4 3" xfId="19324" xr:uid="{00000000-0005-0000-0000-00007A1E0000}"/>
    <cellStyle name="20% - Accent5 2 3 2 5" xfId="2001" xr:uid="{00000000-0005-0000-0000-00007B1E0000}"/>
    <cellStyle name="20% - Accent5 2 3 2 5 2" xfId="14456" xr:uid="{00000000-0005-0000-0000-00007C1E0000}"/>
    <cellStyle name="20% - Accent5 2 3 2 5 2 2" xfId="28005" xr:uid="{00000000-0005-0000-0000-00007D1E0000}"/>
    <cellStyle name="20% - Accent5 2 3 2 5 3" xfId="19325" xr:uid="{00000000-0005-0000-0000-00007E1E0000}"/>
    <cellStyle name="20% - Accent5 2 3 2 6" xfId="2002" xr:uid="{00000000-0005-0000-0000-00007F1E0000}"/>
    <cellStyle name="20% - Accent5 2 3 2 6 2" xfId="16342" xr:uid="{00000000-0005-0000-0000-0000801E0000}"/>
    <cellStyle name="20% - Accent5 2 3 2 6 2 2" xfId="29749" xr:uid="{00000000-0005-0000-0000-0000811E0000}"/>
    <cellStyle name="20% - Accent5 2 3 2 6 3" xfId="19326" xr:uid="{00000000-0005-0000-0000-0000821E0000}"/>
    <cellStyle name="20% - Accent5 2 3 2 7" xfId="9106" xr:uid="{00000000-0005-0000-0000-0000831E0000}"/>
    <cellStyle name="20% - Accent5 2 3 2 7 2" xfId="23581" xr:uid="{00000000-0005-0000-0000-0000841E0000}"/>
    <cellStyle name="20% - Accent5 2 3 2 8" xfId="19320" xr:uid="{00000000-0005-0000-0000-0000851E0000}"/>
    <cellStyle name="20% - Accent5 2 3 3" xfId="2003" xr:uid="{00000000-0005-0000-0000-0000861E0000}"/>
    <cellStyle name="20% - Accent5 2 3 3 2" xfId="2004" xr:uid="{00000000-0005-0000-0000-0000871E0000}"/>
    <cellStyle name="20% - Accent5 2 3 3 2 2" xfId="16634" xr:uid="{00000000-0005-0000-0000-0000881E0000}"/>
    <cellStyle name="20% - Accent5 2 3 3 2 2 2" xfId="30041" xr:uid="{00000000-0005-0000-0000-0000891E0000}"/>
    <cellStyle name="20% - Accent5 2 3 3 2 3" xfId="19328" xr:uid="{00000000-0005-0000-0000-00008A1E0000}"/>
    <cellStyle name="20% - Accent5 2 3 3 3" xfId="10831" xr:uid="{00000000-0005-0000-0000-00008B1E0000}"/>
    <cellStyle name="20% - Accent5 2 3 3 3 2" xfId="24773" xr:uid="{00000000-0005-0000-0000-00008C1E0000}"/>
    <cellStyle name="20% - Accent5 2 3 3 4" xfId="19327" xr:uid="{00000000-0005-0000-0000-00008D1E0000}"/>
    <cellStyle name="20% - Accent5 2 3 4" xfId="2005" xr:uid="{00000000-0005-0000-0000-00008E1E0000}"/>
    <cellStyle name="20% - Accent5 2 3 4 2" xfId="12011" xr:uid="{00000000-0005-0000-0000-00008F1E0000}"/>
    <cellStyle name="20% - Accent5 2 3 4 2 2" xfId="25726" xr:uid="{00000000-0005-0000-0000-0000901E0000}"/>
    <cellStyle name="20% - Accent5 2 3 4 3" xfId="19329" xr:uid="{00000000-0005-0000-0000-0000911E0000}"/>
    <cellStyle name="20% - Accent5 2 3 5" xfId="2006" xr:uid="{00000000-0005-0000-0000-0000921E0000}"/>
    <cellStyle name="20% - Accent5 2 3 5 2" xfId="13586" xr:uid="{00000000-0005-0000-0000-0000931E0000}"/>
    <cellStyle name="20% - Accent5 2 3 5 2 2" xfId="27135" xr:uid="{00000000-0005-0000-0000-0000941E0000}"/>
    <cellStyle name="20% - Accent5 2 3 5 3" xfId="19330" xr:uid="{00000000-0005-0000-0000-0000951E0000}"/>
    <cellStyle name="20% - Accent5 2 3 6" xfId="2007" xr:uid="{00000000-0005-0000-0000-0000961E0000}"/>
    <cellStyle name="20% - Accent5 2 3 6 2" xfId="14167" xr:uid="{00000000-0005-0000-0000-0000971E0000}"/>
    <cellStyle name="20% - Accent5 2 3 6 2 2" xfId="27716" xr:uid="{00000000-0005-0000-0000-0000981E0000}"/>
    <cellStyle name="20% - Accent5 2 3 6 3" xfId="19331" xr:uid="{00000000-0005-0000-0000-0000991E0000}"/>
    <cellStyle name="20% - Accent5 2 3 7" xfId="2008" xr:uid="{00000000-0005-0000-0000-00009A1E0000}"/>
    <cellStyle name="20% - Accent5 2 3 7 2" xfId="16053" xr:uid="{00000000-0005-0000-0000-00009B1E0000}"/>
    <cellStyle name="20% - Accent5 2 3 7 2 2" xfId="29460" xr:uid="{00000000-0005-0000-0000-00009C1E0000}"/>
    <cellStyle name="20% - Accent5 2 3 7 3" xfId="19332" xr:uid="{00000000-0005-0000-0000-00009D1E0000}"/>
    <cellStyle name="20% - Accent5 2 3 8" xfId="9105" xr:uid="{00000000-0005-0000-0000-00009E1E0000}"/>
    <cellStyle name="20% - Accent5 2 3 8 2" xfId="23580" xr:uid="{00000000-0005-0000-0000-00009F1E0000}"/>
    <cellStyle name="20% - Accent5 2 3 9" xfId="19319" xr:uid="{00000000-0005-0000-0000-0000A01E0000}"/>
    <cellStyle name="20% - Accent5 2 4" xfId="2009" xr:uid="{00000000-0005-0000-0000-0000A11E0000}"/>
    <cellStyle name="20% - Accent5 2 4 2" xfId="2010" xr:uid="{00000000-0005-0000-0000-0000A21E0000}"/>
    <cellStyle name="20% - Accent5 2 4 2 2" xfId="2011" xr:uid="{00000000-0005-0000-0000-0000A31E0000}"/>
    <cellStyle name="20% - Accent5 2 4 2 2 2" xfId="16780" xr:uid="{00000000-0005-0000-0000-0000A41E0000}"/>
    <cellStyle name="20% - Accent5 2 4 2 2 2 2" xfId="30187" xr:uid="{00000000-0005-0000-0000-0000A51E0000}"/>
    <cellStyle name="20% - Accent5 2 4 2 2 3" xfId="19335" xr:uid="{00000000-0005-0000-0000-0000A61E0000}"/>
    <cellStyle name="20% - Accent5 2 4 2 3" xfId="10833" xr:uid="{00000000-0005-0000-0000-0000A71E0000}"/>
    <cellStyle name="20% - Accent5 2 4 2 3 2" xfId="24775" xr:uid="{00000000-0005-0000-0000-0000A81E0000}"/>
    <cellStyle name="20% - Accent5 2 4 2 4" xfId="19334" xr:uid="{00000000-0005-0000-0000-0000A91E0000}"/>
    <cellStyle name="20% - Accent5 2 4 3" xfId="2012" xr:uid="{00000000-0005-0000-0000-0000AA1E0000}"/>
    <cellStyle name="20% - Accent5 2 4 3 2" xfId="12168" xr:uid="{00000000-0005-0000-0000-0000AB1E0000}"/>
    <cellStyle name="20% - Accent5 2 4 3 2 2" xfId="25880" xr:uid="{00000000-0005-0000-0000-0000AC1E0000}"/>
    <cellStyle name="20% - Accent5 2 4 3 3" xfId="19336" xr:uid="{00000000-0005-0000-0000-0000AD1E0000}"/>
    <cellStyle name="20% - Accent5 2 4 4" xfId="2013" xr:uid="{00000000-0005-0000-0000-0000AE1E0000}"/>
    <cellStyle name="20% - Accent5 2 4 4 2" xfId="13732" xr:uid="{00000000-0005-0000-0000-0000AF1E0000}"/>
    <cellStyle name="20% - Accent5 2 4 4 2 2" xfId="27281" xr:uid="{00000000-0005-0000-0000-0000B01E0000}"/>
    <cellStyle name="20% - Accent5 2 4 4 3" xfId="19337" xr:uid="{00000000-0005-0000-0000-0000B11E0000}"/>
    <cellStyle name="20% - Accent5 2 4 5" xfId="2014" xr:uid="{00000000-0005-0000-0000-0000B21E0000}"/>
    <cellStyle name="20% - Accent5 2 4 5 2" xfId="14313" xr:uid="{00000000-0005-0000-0000-0000B31E0000}"/>
    <cellStyle name="20% - Accent5 2 4 5 2 2" xfId="27862" xr:uid="{00000000-0005-0000-0000-0000B41E0000}"/>
    <cellStyle name="20% - Accent5 2 4 5 3" xfId="19338" xr:uid="{00000000-0005-0000-0000-0000B51E0000}"/>
    <cellStyle name="20% - Accent5 2 4 6" xfId="2015" xr:uid="{00000000-0005-0000-0000-0000B61E0000}"/>
    <cellStyle name="20% - Accent5 2 4 6 2" xfId="16199" xr:uid="{00000000-0005-0000-0000-0000B71E0000}"/>
    <cellStyle name="20% - Accent5 2 4 6 2 2" xfId="29606" xr:uid="{00000000-0005-0000-0000-0000B81E0000}"/>
    <cellStyle name="20% - Accent5 2 4 6 3" xfId="19339" xr:uid="{00000000-0005-0000-0000-0000B91E0000}"/>
    <cellStyle name="20% - Accent5 2 4 7" xfId="9107" xr:uid="{00000000-0005-0000-0000-0000BA1E0000}"/>
    <cellStyle name="20% - Accent5 2 4 7 2" xfId="23582" xr:uid="{00000000-0005-0000-0000-0000BB1E0000}"/>
    <cellStyle name="20% - Accent5 2 4 8" xfId="19333" xr:uid="{00000000-0005-0000-0000-0000BC1E0000}"/>
    <cellStyle name="20% - Accent5 2 5" xfId="2016" xr:uid="{00000000-0005-0000-0000-0000BD1E0000}"/>
    <cellStyle name="20% - Accent5 2 5 2" xfId="2017" xr:uid="{00000000-0005-0000-0000-0000BE1E0000}"/>
    <cellStyle name="20% - Accent5 2 5 2 2" xfId="12639" xr:uid="{00000000-0005-0000-0000-0000BF1E0000}"/>
    <cellStyle name="20% - Accent5 2 5 2 2 2" xfId="26351" xr:uid="{00000000-0005-0000-0000-0000C01E0000}"/>
    <cellStyle name="20% - Accent5 2 5 2 3" xfId="19341" xr:uid="{00000000-0005-0000-0000-0000C11E0000}"/>
    <cellStyle name="20% - Accent5 2 5 3" xfId="2018" xr:uid="{00000000-0005-0000-0000-0000C21E0000}"/>
    <cellStyle name="20% - Accent5 2 5 3 2" xfId="14954" xr:uid="{00000000-0005-0000-0000-0000C31E0000}"/>
    <cellStyle name="20% - Accent5 2 5 3 2 2" xfId="28503" xr:uid="{00000000-0005-0000-0000-0000C41E0000}"/>
    <cellStyle name="20% - Accent5 2 5 3 3" xfId="19342" xr:uid="{00000000-0005-0000-0000-0000C51E0000}"/>
    <cellStyle name="20% - Accent5 2 5 4" xfId="2019" xr:uid="{00000000-0005-0000-0000-0000C61E0000}"/>
    <cellStyle name="20% - Accent5 2 5 4 2" xfId="17011" xr:uid="{00000000-0005-0000-0000-0000C71E0000}"/>
    <cellStyle name="20% - Accent5 2 5 4 2 2" xfId="30418" xr:uid="{00000000-0005-0000-0000-0000C81E0000}"/>
    <cellStyle name="20% - Accent5 2 5 4 3" xfId="19343" xr:uid="{00000000-0005-0000-0000-0000C91E0000}"/>
    <cellStyle name="20% - Accent5 2 5 5" xfId="10532" xr:uid="{00000000-0005-0000-0000-0000CA1E0000}"/>
    <cellStyle name="20% - Accent5 2 5 5 2" xfId="24474" xr:uid="{00000000-0005-0000-0000-0000CB1E0000}"/>
    <cellStyle name="20% - Accent5 2 5 6" xfId="19340" xr:uid="{00000000-0005-0000-0000-0000CC1E0000}"/>
    <cellStyle name="20% - Accent5 2 6" xfId="2020" xr:uid="{00000000-0005-0000-0000-0000CD1E0000}"/>
    <cellStyle name="20% - Accent5 2 6 2" xfId="2021" xr:uid="{00000000-0005-0000-0000-0000CE1E0000}"/>
    <cellStyle name="20% - Accent5 2 6 2 2" xfId="12521" xr:uid="{00000000-0005-0000-0000-0000CF1E0000}"/>
    <cellStyle name="20% - Accent5 2 6 2 2 2" xfId="26233" xr:uid="{00000000-0005-0000-0000-0000D01E0000}"/>
    <cellStyle name="20% - Accent5 2 6 2 3" xfId="19345" xr:uid="{00000000-0005-0000-0000-0000D11E0000}"/>
    <cellStyle name="20% - Accent5 2 6 3" xfId="2022" xr:uid="{00000000-0005-0000-0000-0000D21E0000}"/>
    <cellStyle name="20% - Accent5 2 6 3 2" xfId="14955" xr:uid="{00000000-0005-0000-0000-0000D31E0000}"/>
    <cellStyle name="20% - Accent5 2 6 3 2 2" xfId="28504" xr:uid="{00000000-0005-0000-0000-0000D41E0000}"/>
    <cellStyle name="20% - Accent5 2 6 3 3" xfId="19346" xr:uid="{00000000-0005-0000-0000-0000D51E0000}"/>
    <cellStyle name="20% - Accent5 2 6 4" xfId="2023" xr:uid="{00000000-0005-0000-0000-0000D61E0000}"/>
    <cellStyle name="20% - Accent5 2 6 4 2" xfId="17127" xr:uid="{00000000-0005-0000-0000-0000D71E0000}"/>
    <cellStyle name="20% - Accent5 2 6 4 2 2" xfId="30486" xr:uid="{00000000-0005-0000-0000-0000D81E0000}"/>
    <cellStyle name="20% - Accent5 2 6 4 3" xfId="19347" xr:uid="{00000000-0005-0000-0000-0000D91E0000}"/>
    <cellStyle name="20% - Accent5 2 6 5" xfId="10826" xr:uid="{00000000-0005-0000-0000-0000DA1E0000}"/>
    <cellStyle name="20% - Accent5 2 6 5 2" xfId="24768" xr:uid="{00000000-0005-0000-0000-0000DB1E0000}"/>
    <cellStyle name="20% - Accent5 2 6 6" xfId="19344" xr:uid="{00000000-0005-0000-0000-0000DC1E0000}"/>
    <cellStyle name="20% - Accent5 2 7" xfId="2024" xr:uid="{00000000-0005-0000-0000-0000DD1E0000}"/>
    <cellStyle name="20% - Accent5 2 7 2" xfId="2025" xr:uid="{00000000-0005-0000-0000-0000DE1E0000}"/>
    <cellStyle name="20% - Accent5 2 7 2 2" xfId="17216" xr:uid="{00000000-0005-0000-0000-0000DF1E0000}"/>
    <cellStyle name="20% - Accent5 2 7 2 2 2" xfId="30575" xr:uid="{00000000-0005-0000-0000-0000E01E0000}"/>
    <cellStyle name="20% - Accent5 2 7 2 3" xfId="19349" xr:uid="{00000000-0005-0000-0000-0000E11E0000}"/>
    <cellStyle name="20% - Accent5 2 7 3" xfId="11845" xr:uid="{00000000-0005-0000-0000-0000E21E0000}"/>
    <cellStyle name="20% - Accent5 2 7 3 2" xfId="25560" xr:uid="{00000000-0005-0000-0000-0000E31E0000}"/>
    <cellStyle name="20% - Accent5 2 7 4" xfId="19348" xr:uid="{00000000-0005-0000-0000-0000E41E0000}"/>
    <cellStyle name="20% - Accent5 2 8" xfId="2026" xr:uid="{00000000-0005-0000-0000-0000E51E0000}"/>
    <cellStyle name="20% - Accent5 2 8 2" xfId="2027" xr:uid="{00000000-0005-0000-0000-0000E61E0000}"/>
    <cellStyle name="20% - Accent5 2 8 2 2" xfId="16491" xr:uid="{00000000-0005-0000-0000-0000E71E0000}"/>
    <cellStyle name="20% - Accent5 2 8 2 2 2" xfId="29898" xr:uid="{00000000-0005-0000-0000-0000E81E0000}"/>
    <cellStyle name="20% - Accent5 2 8 2 3" xfId="19351" xr:uid="{00000000-0005-0000-0000-0000E91E0000}"/>
    <cellStyle name="20% - Accent5 2 8 3" xfId="13443" xr:uid="{00000000-0005-0000-0000-0000EA1E0000}"/>
    <cellStyle name="20% - Accent5 2 8 3 2" xfId="26992" xr:uid="{00000000-0005-0000-0000-0000EB1E0000}"/>
    <cellStyle name="20% - Accent5 2 8 4" xfId="19350" xr:uid="{00000000-0005-0000-0000-0000EC1E0000}"/>
    <cellStyle name="20% - Accent5 2 9" xfId="2028" xr:uid="{00000000-0005-0000-0000-0000ED1E0000}"/>
    <cellStyle name="20% - Accent5 2 9 2" xfId="14024" xr:uid="{00000000-0005-0000-0000-0000EE1E0000}"/>
    <cellStyle name="20% - Accent5 2 9 2 2" xfId="27573" xr:uid="{00000000-0005-0000-0000-0000EF1E0000}"/>
    <cellStyle name="20% - Accent5 2 9 3" xfId="19352" xr:uid="{00000000-0005-0000-0000-0000F01E0000}"/>
    <cellStyle name="20% - Accent5 3" xfId="2029" xr:uid="{00000000-0005-0000-0000-0000F11E0000}"/>
    <cellStyle name="20% - Accent5 3 10" xfId="19353" xr:uid="{00000000-0005-0000-0000-0000F21E0000}"/>
    <cellStyle name="20% - Accent5 3 2" xfId="2030" xr:uid="{00000000-0005-0000-0000-0000F31E0000}"/>
    <cellStyle name="20% - Accent5 3 2 2" xfId="2031" xr:uid="{00000000-0005-0000-0000-0000F41E0000}"/>
    <cellStyle name="20% - Accent5 3 2 2 2" xfId="2032" xr:uid="{00000000-0005-0000-0000-0000F51E0000}"/>
    <cellStyle name="20% - Accent5 3 2 2 2 2" xfId="2033" xr:uid="{00000000-0005-0000-0000-0000F61E0000}"/>
    <cellStyle name="20% - Accent5 3 2 2 2 2 2" xfId="16946" xr:uid="{00000000-0005-0000-0000-0000F71E0000}"/>
    <cellStyle name="20% - Accent5 3 2 2 2 2 2 2" xfId="30353" xr:uid="{00000000-0005-0000-0000-0000F81E0000}"/>
    <cellStyle name="20% - Accent5 3 2 2 2 2 3" xfId="19357" xr:uid="{00000000-0005-0000-0000-0000F91E0000}"/>
    <cellStyle name="20% - Accent5 3 2 2 2 3" xfId="10836" xr:uid="{00000000-0005-0000-0000-0000FA1E0000}"/>
    <cellStyle name="20% - Accent5 3 2 2 2 3 2" xfId="24778" xr:uid="{00000000-0005-0000-0000-0000FB1E0000}"/>
    <cellStyle name="20% - Accent5 3 2 2 2 4" xfId="19356" xr:uid="{00000000-0005-0000-0000-0000FC1E0000}"/>
    <cellStyle name="20% - Accent5 3 2 2 3" xfId="2034" xr:uid="{00000000-0005-0000-0000-0000FD1E0000}"/>
    <cellStyle name="20% - Accent5 3 2 2 3 2" xfId="12334" xr:uid="{00000000-0005-0000-0000-0000FE1E0000}"/>
    <cellStyle name="20% - Accent5 3 2 2 3 2 2" xfId="26046" xr:uid="{00000000-0005-0000-0000-0000FF1E0000}"/>
    <cellStyle name="20% - Accent5 3 2 2 3 3" xfId="19358" xr:uid="{00000000-0005-0000-0000-0000001F0000}"/>
    <cellStyle name="20% - Accent5 3 2 2 4" xfId="2035" xr:uid="{00000000-0005-0000-0000-0000011F0000}"/>
    <cellStyle name="20% - Accent5 3 2 2 4 2" xfId="13898" xr:uid="{00000000-0005-0000-0000-0000021F0000}"/>
    <cellStyle name="20% - Accent5 3 2 2 4 2 2" xfId="27447" xr:uid="{00000000-0005-0000-0000-0000031F0000}"/>
    <cellStyle name="20% - Accent5 3 2 2 4 3" xfId="19359" xr:uid="{00000000-0005-0000-0000-0000041F0000}"/>
    <cellStyle name="20% - Accent5 3 2 2 5" xfId="2036" xr:uid="{00000000-0005-0000-0000-0000051F0000}"/>
    <cellStyle name="20% - Accent5 3 2 2 5 2" xfId="14479" xr:uid="{00000000-0005-0000-0000-0000061F0000}"/>
    <cellStyle name="20% - Accent5 3 2 2 5 2 2" xfId="28028" xr:uid="{00000000-0005-0000-0000-0000071F0000}"/>
    <cellStyle name="20% - Accent5 3 2 2 5 3" xfId="19360" xr:uid="{00000000-0005-0000-0000-0000081F0000}"/>
    <cellStyle name="20% - Accent5 3 2 2 6" xfId="2037" xr:uid="{00000000-0005-0000-0000-0000091F0000}"/>
    <cellStyle name="20% - Accent5 3 2 2 6 2" xfId="16365" xr:uid="{00000000-0005-0000-0000-00000A1F0000}"/>
    <cellStyle name="20% - Accent5 3 2 2 6 2 2" xfId="29772" xr:uid="{00000000-0005-0000-0000-00000B1F0000}"/>
    <cellStyle name="20% - Accent5 3 2 2 6 3" xfId="19361" xr:uid="{00000000-0005-0000-0000-00000C1F0000}"/>
    <cellStyle name="20% - Accent5 3 2 2 7" xfId="9110" xr:uid="{00000000-0005-0000-0000-00000D1F0000}"/>
    <cellStyle name="20% - Accent5 3 2 2 7 2" xfId="23585" xr:uid="{00000000-0005-0000-0000-00000E1F0000}"/>
    <cellStyle name="20% - Accent5 3 2 2 8" xfId="19355" xr:uid="{00000000-0005-0000-0000-00000F1F0000}"/>
    <cellStyle name="20% - Accent5 3 2 3" xfId="2038" xr:uid="{00000000-0005-0000-0000-0000101F0000}"/>
    <cellStyle name="20% - Accent5 3 2 3 2" xfId="2039" xr:uid="{00000000-0005-0000-0000-0000111F0000}"/>
    <cellStyle name="20% - Accent5 3 2 3 2 2" xfId="16657" xr:uid="{00000000-0005-0000-0000-0000121F0000}"/>
    <cellStyle name="20% - Accent5 3 2 3 2 2 2" xfId="30064" xr:uid="{00000000-0005-0000-0000-0000131F0000}"/>
    <cellStyle name="20% - Accent5 3 2 3 2 3" xfId="19363" xr:uid="{00000000-0005-0000-0000-0000141F0000}"/>
    <cellStyle name="20% - Accent5 3 2 3 3" xfId="10835" xr:uid="{00000000-0005-0000-0000-0000151F0000}"/>
    <cellStyle name="20% - Accent5 3 2 3 3 2" xfId="24777" xr:uid="{00000000-0005-0000-0000-0000161F0000}"/>
    <cellStyle name="20% - Accent5 3 2 3 4" xfId="19362" xr:uid="{00000000-0005-0000-0000-0000171F0000}"/>
    <cellStyle name="20% - Accent5 3 2 4" xfId="2040" xr:uid="{00000000-0005-0000-0000-0000181F0000}"/>
    <cellStyle name="20% - Accent5 3 2 4 2" xfId="12034" xr:uid="{00000000-0005-0000-0000-0000191F0000}"/>
    <cellStyle name="20% - Accent5 3 2 4 2 2" xfId="25749" xr:uid="{00000000-0005-0000-0000-00001A1F0000}"/>
    <cellStyle name="20% - Accent5 3 2 4 3" xfId="19364" xr:uid="{00000000-0005-0000-0000-00001B1F0000}"/>
    <cellStyle name="20% - Accent5 3 2 5" xfId="2041" xr:uid="{00000000-0005-0000-0000-00001C1F0000}"/>
    <cellStyle name="20% - Accent5 3 2 5 2" xfId="13609" xr:uid="{00000000-0005-0000-0000-00001D1F0000}"/>
    <cellStyle name="20% - Accent5 3 2 5 2 2" xfId="27158" xr:uid="{00000000-0005-0000-0000-00001E1F0000}"/>
    <cellStyle name="20% - Accent5 3 2 5 3" xfId="19365" xr:uid="{00000000-0005-0000-0000-00001F1F0000}"/>
    <cellStyle name="20% - Accent5 3 2 6" xfId="2042" xr:uid="{00000000-0005-0000-0000-0000201F0000}"/>
    <cellStyle name="20% - Accent5 3 2 6 2" xfId="14190" xr:uid="{00000000-0005-0000-0000-0000211F0000}"/>
    <cellStyle name="20% - Accent5 3 2 6 2 2" xfId="27739" xr:uid="{00000000-0005-0000-0000-0000221F0000}"/>
    <cellStyle name="20% - Accent5 3 2 6 3" xfId="19366" xr:uid="{00000000-0005-0000-0000-0000231F0000}"/>
    <cellStyle name="20% - Accent5 3 2 7" xfId="2043" xr:uid="{00000000-0005-0000-0000-0000241F0000}"/>
    <cellStyle name="20% - Accent5 3 2 7 2" xfId="16076" xr:uid="{00000000-0005-0000-0000-0000251F0000}"/>
    <cellStyle name="20% - Accent5 3 2 7 2 2" xfId="29483" xr:uid="{00000000-0005-0000-0000-0000261F0000}"/>
    <cellStyle name="20% - Accent5 3 2 7 3" xfId="19367" xr:uid="{00000000-0005-0000-0000-0000271F0000}"/>
    <cellStyle name="20% - Accent5 3 2 8" xfId="9109" xr:uid="{00000000-0005-0000-0000-0000281F0000}"/>
    <cellStyle name="20% - Accent5 3 2 8 2" xfId="23584" xr:uid="{00000000-0005-0000-0000-0000291F0000}"/>
    <cellStyle name="20% - Accent5 3 2 9" xfId="19354" xr:uid="{00000000-0005-0000-0000-00002A1F0000}"/>
    <cellStyle name="20% - Accent5 3 3" xfId="2044" xr:uid="{00000000-0005-0000-0000-00002B1F0000}"/>
    <cellStyle name="20% - Accent5 3 3 2" xfId="2045" xr:uid="{00000000-0005-0000-0000-00002C1F0000}"/>
    <cellStyle name="20% - Accent5 3 3 2 2" xfId="2046" xr:uid="{00000000-0005-0000-0000-00002D1F0000}"/>
    <cellStyle name="20% - Accent5 3 3 2 2 2" xfId="16803" xr:uid="{00000000-0005-0000-0000-00002E1F0000}"/>
    <cellStyle name="20% - Accent5 3 3 2 2 2 2" xfId="30210" xr:uid="{00000000-0005-0000-0000-00002F1F0000}"/>
    <cellStyle name="20% - Accent5 3 3 2 2 3" xfId="19370" xr:uid="{00000000-0005-0000-0000-0000301F0000}"/>
    <cellStyle name="20% - Accent5 3 3 2 3" xfId="10837" xr:uid="{00000000-0005-0000-0000-0000311F0000}"/>
    <cellStyle name="20% - Accent5 3 3 2 3 2" xfId="24779" xr:uid="{00000000-0005-0000-0000-0000321F0000}"/>
    <cellStyle name="20% - Accent5 3 3 2 4" xfId="19369" xr:uid="{00000000-0005-0000-0000-0000331F0000}"/>
    <cellStyle name="20% - Accent5 3 3 3" xfId="2047" xr:uid="{00000000-0005-0000-0000-0000341F0000}"/>
    <cellStyle name="20% - Accent5 3 3 3 2" xfId="12191" xr:uid="{00000000-0005-0000-0000-0000351F0000}"/>
    <cellStyle name="20% - Accent5 3 3 3 2 2" xfId="25903" xr:uid="{00000000-0005-0000-0000-0000361F0000}"/>
    <cellStyle name="20% - Accent5 3 3 3 3" xfId="19371" xr:uid="{00000000-0005-0000-0000-0000371F0000}"/>
    <cellStyle name="20% - Accent5 3 3 4" xfId="2048" xr:uid="{00000000-0005-0000-0000-0000381F0000}"/>
    <cellStyle name="20% - Accent5 3 3 4 2" xfId="13755" xr:uid="{00000000-0005-0000-0000-0000391F0000}"/>
    <cellStyle name="20% - Accent5 3 3 4 2 2" xfId="27304" xr:uid="{00000000-0005-0000-0000-00003A1F0000}"/>
    <cellStyle name="20% - Accent5 3 3 4 3" xfId="19372" xr:uid="{00000000-0005-0000-0000-00003B1F0000}"/>
    <cellStyle name="20% - Accent5 3 3 5" xfId="2049" xr:uid="{00000000-0005-0000-0000-00003C1F0000}"/>
    <cellStyle name="20% - Accent5 3 3 5 2" xfId="14336" xr:uid="{00000000-0005-0000-0000-00003D1F0000}"/>
    <cellStyle name="20% - Accent5 3 3 5 2 2" xfId="27885" xr:uid="{00000000-0005-0000-0000-00003E1F0000}"/>
    <cellStyle name="20% - Accent5 3 3 5 3" xfId="19373" xr:uid="{00000000-0005-0000-0000-00003F1F0000}"/>
    <cellStyle name="20% - Accent5 3 3 6" xfId="2050" xr:uid="{00000000-0005-0000-0000-0000401F0000}"/>
    <cellStyle name="20% - Accent5 3 3 6 2" xfId="16222" xr:uid="{00000000-0005-0000-0000-0000411F0000}"/>
    <cellStyle name="20% - Accent5 3 3 6 2 2" xfId="29629" xr:uid="{00000000-0005-0000-0000-0000421F0000}"/>
    <cellStyle name="20% - Accent5 3 3 6 3" xfId="19374" xr:uid="{00000000-0005-0000-0000-0000431F0000}"/>
    <cellStyle name="20% - Accent5 3 3 7" xfId="9111" xr:uid="{00000000-0005-0000-0000-0000441F0000}"/>
    <cellStyle name="20% - Accent5 3 3 7 2" xfId="23586" xr:uid="{00000000-0005-0000-0000-0000451F0000}"/>
    <cellStyle name="20% - Accent5 3 3 8" xfId="19368" xr:uid="{00000000-0005-0000-0000-0000461F0000}"/>
    <cellStyle name="20% - Accent5 3 4" xfId="2051" xr:uid="{00000000-0005-0000-0000-0000471F0000}"/>
    <cellStyle name="20% - Accent5 3 4 2" xfId="2052" xr:uid="{00000000-0005-0000-0000-0000481F0000}"/>
    <cellStyle name="20% - Accent5 3 4 2 2" xfId="17150" xr:uid="{00000000-0005-0000-0000-0000491F0000}"/>
    <cellStyle name="20% - Accent5 3 4 2 2 2" xfId="30509" xr:uid="{00000000-0005-0000-0000-00004A1F0000}"/>
    <cellStyle name="20% - Accent5 3 4 2 3" xfId="19376" xr:uid="{00000000-0005-0000-0000-00004B1F0000}"/>
    <cellStyle name="20% - Accent5 3 4 3" xfId="10834" xr:uid="{00000000-0005-0000-0000-00004C1F0000}"/>
    <cellStyle name="20% - Accent5 3 4 3 2" xfId="24776" xr:uid="{00000000-0005-0000-0000-00004D1F0000}"/>
    <cellStyle name="20% - Accent5 3 4 4" xfId="19375" xr:uid="{00000000-0005-0000-0000-00004E1F0000}"/>
    <cellStyle name="20% - Accent5 3 5" xfId="2053" xr:uid="{00000000-0005-0000-0000-00004F1F0000}"/>
    <cellStyle name="20% - Accent5 3 5 2" xfId="2054" xr:uid="{00000000-0005-0000-0000-0000501F0000}"/>
    <cellStyle name="20% - Accent5 3 5 2 2" xfId="17239" xr:uid="{00000000-0005-0000-0000-0000511F0000}"/>
    <cellStyle name="20% - Accent5 3 5 2 2 2" xfId="30598" xr:uid="{00000000-0005-0000-0000-0000521F0000}"/>
    <cellStyle name="20% - Accent5 3 5 2 3" xfId="19378" xr:uid="{00000000-0005-0000-0000-0000531F0000}"/>
    <cellStyle name="20% - Accent5 3 5 3" xfId="11886" xr:uid="{00000000-0005-0000-0000-0000541F0000}"/>
    <cellStyle name="20% - Accent5 3 5 3 2" xfId="25601" xr:uid="{00000000-0005-0000-0000-0000551F0000}"/>
    <cellStyle name="20% - Accent5 3 5 4" xfId="19377" xr:uid="{00000000-0005-0000-0000-0000561F0000}"/>
    <cellStyle name="20% - Accent5 3 6" xfId="2055" xr:uid="{00000000-0005-0000-0000-0000571F0000}"/>
    <cellStyle name="20% - Accent5 3 6 2" xfId="2056" xr:uid="{00000000-0005-0000-0000-0000581F0000}"/>
    <cellStyle name="20% - Accent5 3 6 2 2" xfId="16514" xr:uid="{00000000-0005-0000-0000-0000591F0000}"/>
    <cellStyle name="20% - Accent5 3 6 2 2 2" xfId="29921" xr:uid="{00000000-0005-0000-0000-00005A1F0000}"/>
    <cellStyle name="20% - Accent5 3 6 2 3" xfId="19380" xr:uid="{00000000-0005-0000-0000-00005B1F0000}"/>
    <cellStyle name="20% - Accent5 3 6 3" xfId="13466" xr:uid="{00000000-0005-0000-0000-00005C1F0000}"/>
    <cellStyle name="20% - Accent5 3 6 3 2" xfId="27015" xr:uid="{00000000-0005-0000-0000-00005D1F0000}"/>
    <cellStyle name="20% - Accent5 3 6 4" xfId="19379" xr:uid="{00000000-0005-0000-0000-00005E1F0000}"/>
    <cellStyle name="20% - Accent5 3 7" xfId="2057" xr:uid="{00000000-0005-0000-0000-00005F1F0000}"/>
    <cellStyle name="20% - Accent5 3 7 2" xfId="14047" xr:uid="{00000000-0005-0000-0000-0000601F0000}"/>
    <cellStyle name="20% - Accent5 3 7 2 2" xfId="27596" xr:uid="{00000000-0005-0000-0000-0000611F0000}"/>
    <cellStyle name="20% - Accent5 3 7 3" xfId="19381" xr:uid="{00000000-0005-0000-0000-0000621F0000}"/>
    <cellStyle name="20% - Accent5 3 8" xfId="2058" xr:uid="{00000000-0005-0000-0000-0000631F0000}"/>
    <cellStyle name="20% - Accent5 3 8 2" xfId="15933" xr:uid="{00000000-0005-0000-0000-0000641F0000}"/>
    <cellStyle name="20% - Accent5 3 8 2 2" xfId="29340" xr:uid="{00000000-0005-0000-0000-0000651F0000}"/>
    <cellStyle name="20% - Accent5 3 8 3" xfId="19382" xr:uid="{00000000-0005-0000-0000-0000661F0000}"/>
    <cellStyle name="20% - Accent5 3 9" xfId="9108" xr:uid="{00000000-0005-0000-0000-0000671F0000}"/>
    <cellStyle name="20% - Accent5 3 9 2" xfId="23583" xr:uid="{00000000-0005-0000-0000-0000681F0000}"/>
    <cellStyle name="20% - Accent5 4" xfId="2059" xr:uid="{00000000-0005-0000-0000-0000691F0000}"/>
    <cellStyle name="20% - Accent5 4 10" xfId="19383" xr:uid="{00000000-0005-0000-0000-00006A1F0000}"/>
    <cellStyle name="20% - Accent5 4 2" xfId="2060" xr:uid="{00000000-0005-0000-0000-00006B1F0000}"/>
    <cellStyle name="20% - Accent5 4 2 2" xfId="2061" xr:uid="{00000000-0005-0000-0000-00006C1F0000}"/>
    <cellStyle name="20% - Accent5 4 2 2 2" xfId="2062" xr:uid="{00000000-0005-0000-0000-00006D1F0000}"/>
    <cellStyle name="20% - Accent5 4 2 2 2 2" xfId="2063" xr:uid="{00000000-0005-0000-0000-00006E1F0000}"/>
    <cellStyle name="20% - Accent5 4 2 2 2 2 2" xfId="16896" xr:uid="{00000000-0005-0000-0000-00006F1F0000}"/>
    <cellStyle name="20% - Accent5 4 2 2 2 2 2 2" xfId="30303" xr:uid="{00000000-0005-0000-0000-0000701F0000}"/>
    <cellStyle name="20% - Accent5 4 2 2 2 2 3" xfId="19387" xr:uid="{00000000-0005-0000-0000-0000711F0000}"/>
    <cellStyle name="20% - Accent5 4 2 2 2 3" xfId="10840" xr:uid="{00000000-0005-0000-0000-0000721F0000}"/>
    <cellStyle name="20% - Accent5 4 2 2 2 3 2" xfId="24782" xr:uid="{00000000-0005-0000-0000-0000731F0000}"/>
    <cellStyle name="20% - Accent5 4 2 2 2 4" xfId="19386" xr:uid="{00000000-0005-0000-0000-0000741F0000}"/>
    <cellStyle name="20% - Accent5 4 2 2 3" xfId="2064" xr:uid="{00000000-0005-0000-0000-0000751F0000}"/>
    <cellStyle name="20% - Accent5 4 2 2 3 2" xfId="12284" xr:uid="{00000000-0005-0000-0000-0000761F0000}"/>
    <cellStyle name="20% - Accent5 4 2 2 3 2 2" xfId="25996" xr:uid="{00000000-0005-0000-0000-0000771F0000}"/>
    <cellStyle name="20% - Accent5 4 2 2 3 3" xfId="19388" xr:uid="{00000000-0005-0000-0000-0000781F0000}"/>
    <cellStyle name="20% - Accent5 4 2 2 4" xfId="2065" xr:uid="{00000000-0005-0000-0000-0000791F0000}"/>
    <cellStyle name="20% - Accent5 4 2 2 4 2" xfId="13848" xr:uid="{00000000-0005-0000-0000-00007A1F0000}"/>
    <cellStyle name="20% - Accent5 4 2 2 4 2 2" xfId="27397" xr:uid="{00000000-0005-0000-0000-00007B1F0000}"/>
    <cellStyle name="20% - Accent5 4 2 2 4 3" xfId="19389" xr:uid="{00000000-0005-0000-0000-00007C1F0000}"/>
    <cellStyle name="20% - Accent5 4 2 2 5" xfId="2066" xr:uid="{00000000-0005-0000-0000-00007D1F0000}"/>
    <cellStyle name="20% - Accent5 4 2 2 5 2" xfId="14429" xr:uid="{00000000-0005-0000-0000-00007E1F0000}"/>
    <cellStyle name="20% - Accent5 4 2 2 5 2 2" xfId="27978" xr:uid="{00000000-0005-0000-0000-00007F1F0000}"/>
    <cellStyle name="20% - Accent5 4 2 2 5 3" xfId="19390" xr:uid="{00000000-0005-0000-0000-0000801F0000}"/>
    <cellStyle name="20% - Accent5 4 2 2 6" xfId="2067" xr:uid="{00000000-0005-0000-0000-0000811F0000}"/>
    <cellStyle name="20% - Accent5 4 2 2 6 2" xfId="16315" xr:uid="{00000000-0005-0000-0000-0000821F0000}"/>
    <cellStyle name="20% - Accent5 4 2 2 6 2 2" xfId="29722" xr:uid="{00000000-0005-0000-0000-0000831F0000}"/>
    <cellStyle name="20% - Accent5 4 2 2 6 3" xfId="19391" xr:uid="{00000000-0005-0000-0000-0000841F0000}"/>
    <cellStyle name="20% - Accent5 4 2 2 7" xfId="9114" xr:uid="{00000000-0005-0000-0000-0000851F0000}"/>
    <cellStyle name="20% - Accent5 4 2 2 7 2" xfId="23589" xr:uid="{00000000-0005-0000-0000-0000861F0000}"/>
    <cellStyle name="20% - Accent5 4 2 2 8" xfId="19385" xr:uid="{00000000-0005-0000-0000-0000871F0000}"/>
    <cellStyle name="20% - Accent5 4 2 3" xfId="2068" xr:uid="{00000000-0005-0000-0000-0000881F0000}"/>
    <cellStyle name="20% - Accent5 4 2 3 2" xfId="2069" xr:uid="{00000000-0005-0000-0000-0000891F0000}"/>
    <cellStyle name="20% - Accent5 4 2 3 2 2" xfId="16607" xr:uid="{00000000-0005-0000-0000-00008A1F0000}"/>
    <cellStyle name="20% - Accent5 4 2 3 2 2 2" xfId="30014" xr:uid="{00000000-0005-0000-0000-00008B1F0000}"/>
    <cellStyle name="20% - Accent5 4 2 3 2 3" xfId="19393" xr:uid="{00000000-0005-0000-0000-00008C1F0000}"/>
    <cellStyle name="20% - Accent5 4 2 3 3" xfId="10839" xr:uid="{00000000-0005-0000-0000-00008D1F0000}"/>
    <cellStyle name="20% - Accent5 4 2 3 3 2" xfId="24781" xr:uid="{00000000-0005-0000-0000-00008E1F0000}"/>
    <cellStyle name="20% - Accent5 4 2 3 4" xfId="19392" xr:uid="{00000000-0005-0000-0000-00008F1F0000}"/>
    <cellStyle name="20% - Accent5 4 2 4" xfId="2070" xr:uid="{00000000-0005-0000-0000-0000901F0000}"/>
    <cellStyle name="20% - Accent5 4 2 4 2" xfId="11984" xr:uid="{00000000-0005-0000-0000-0000911F0000}"/>
    <cellStyle name="20% - Accent5 4 2 4 2 2" xfId="25699" xr:uid="{00000000-0005-0000-0000-0000921F0000}"/>
    <cellStyle name="20% - Accent5 4 2 4 3" xfId="19394" xr:uid="{00000000-0005-0000-0000-0000931F0000}"/>
    <cellStyle name="20% - Accent5 4 2 5" xfId="2071" xr:uid="{00000000-0005-0000-0000-0000941F0000}"/>
    <cellStyle name="20% - Accent5 4 2 5 2" xfId="13559" xr:uid="{00000000-0005-0000-0000-0000951F0000}"/>
    <cellStyle name="20% - Accent5 4 2 5 2 2" xfId="27108" xr:uid="{00000000-0005-0000-0000-0000961F0000}"/>
    <cellStyle name="20% - Accent5 4 2 5 3" xfId="19395" xr:uid="{00000000-0005-0000-0000-0000971F0000}"/>
    <cellStyle name="20% - Accent5 4 2 6" xfId="2072" xr:uid="{00000000-0005-0000-0000-0000981F0000}"/>
    <cellStyle name="20% - Accent5 4 2 6 2" xfId="14140" xr:uid="{00000000-0005-0000-0000-0000991F0000}"/>
    <cellStyle name="20% - Accent5 4 2 6 2 2" xfId="27689" xr:uid="{00000000-0005-0000-0000-00009A1F0000}"/>
    <cellStyle name="20% - Accent5 4 2 6 3" xfId="19396" xr:uid="{00000000-0005-0000-0000-00009B1F0000}"/>
    <cellStyle name="20% - Accent5 4 2 7" xfId="2073" xr:uid="{00000000-0005-0000-0000-00009C1F0000}"/>
    <cellStyle name="20% - Accent5 4 2 7 2" xfId="16026" xr:uid="{00000000-0005-0000-0000-00009D1F0000}"/>
    <cellStyle name="20% - Accent5 4 2 7 2 2" xfId="29433" xr:uid="{00000000-0005-0000-0000-00009E1F0000}"/>
    <cellStyle name="20% - Accent5 4 2 7 3" xfId="19397" xr:uid="{00000000-0005-0000-0000-00009F1F0000}"/>
    <cellStyle name="20% - Accent5 4 2 8" xfId="9113" xr:uid="{00000000-0005-0000-0000-0000A01F0000}"/>
    <cellStyle name="20% - Accent5 4 2 8 2" xfId="23588" xr:uid="{00000000-0005-0000-0000-0000A11F0000}"/>
    <cellStyle name="20% - Accent5 4 2 9" xfId="19384" xr:uid="{00000000-0005-0000-0000-0000A21F0000}"/>
    <cellStyle name="20% - Accent5 4 3" xfId="2074" xr:uid="{00000000-0005-0000-0000-0000A31F0000}"/>
    <cellStyle name="20% - Accent5 4 3 2" xfId="2075" xr:uid="{00000000-0005-0000-0000-0000A41F0000}"/>
    <cellStyle name="20% - Accent5 4 3 2 2" xfId="2076" xr:uid="{00000000-0005-0000-0000-0000A51F0000}"/>
    <cellStyle name="20% - Accent5 4 3 2 2 2" xfId="16756" xr:uid="{00000000-0005-0000-0000-0000A61F0000}"/>
    <cellStyle name="20% - Accent5 4 3 2 2 2 2" xfId="30163" xr:uid="{00000000-0005-0000-0000-0000A71F0000}"/>
    <cellStyle name="20% - Accent5 4 3 2 2 3" xfId="19400" xr:uid="{00000000-0005-0000-0000-0000A81F0000}"/>
    <cellStyle name="20% - Accent5 4 3 2 3" xfId="10841" xr:uid="{00000000-0005-0000-0000-0000A91F0000}"/>
    <cellStyle name="20% - Accent5 4 3 2 3 2" xfId="24783" xr:uid="{00000000-0005-0000-0000-0000AA1F0000}"/>
    <cellStyle name="20% - Accent5 4 3 2 4" xfId="19399" xr:uid="{00000000-0005-0000-0000-0000AB1F0000}"/>
    <cellStyle name="20% - Accent5 4 3 3" xfId="2077" xr:uid="{00000000-0005-0000-0000-0000AC1F0000}"/>
    <cellStyle name="20% - Accent5 4 3 3 2" xfId="12144" xr:uid="{00000000-0005-0000-0000-0000AD1F0000}"/>
    <cellStyle name="20% - Accent5 4 3 3 2 2" xfId="25856" xr:uid="{00000000-0005-0000-0000-0000AE1F0000}"/>
    <cellStyle name="20% - Accent5 4 3 3 3" xfId="19401" xr:uid="{00000000-0005-0000-0000-0000AF1F0000}"/>
    <cellStyle name="20% - Accent5 4 3 4" xfId="2078" xr:uid="{00000000-0005-0000-0000-0000B01F0000}"/>
    <cellStyle name="20% - Accent5 4 3 4 2" xfId="13708" xr:uid="{00000000-0005-0000-0000-0000B11F0000}"/>
    <cellStyle name="20% - Accent5 4 3 4 2 2" xfId="27257" xr:uid="{00000000-0005-0000-0000-0000B21F0000}"/>
    <cellStyle name="20% - Accent5 4 3 4 3" xfId="19402" xr:uid="{00000000-0005-0000-0000-0000B31F0000}"/>
    <cellStyle name="20% - Accent5 4 3 5" xfId="2079" xr:uid="{00000000-0005-0000-0000-0000B41F0000}"/>
    <cellStyle name="20% - Accent5 4 3 5 2" xfId="14289" xr:uid="{00000000-0005-0000-0000-0000B51F0000}"/>
    <cellStyle name="20% - Accent5 4 3 5 2 2" xfId="27838" xr:uid="{00000000-0005-0000-0000-0000B61F0000}"/>
    <cellStyle name="20% - Accent5 4 3 5 3" xfId="19403" xr:uid="{00000000-0005-0000-0000-0000B71F0000}"/>
    <cellStyle name="20% - Accent5 4 3 6" xfId="2080" xr:uid="{00000000-0005-0000-0000-0000B81F0000}"/>
    <cellStyle name="20% - Accent5 4 3 6 2" xfId="16175" xr:uid="{00000000-0005-0000-0000-0000B91F0000}"/>
    <cellStyle name="20% - Accent5 4 3 6 2 2" xfId="29582" xr:uid="{00000000-0005-0000-0000-0000BA1F0000}"/>
    <cellStyle name="20% - Accent5 4 3 6 3" xfId="19404" xr:uid="{00000000-0005-0000-0000-0000BB1F0000}"/>
    <cellStyle name="20% - Accent5 4 3 7" xfId="9115" xr:uid="{00000000-0005-0000-0000-0000BC1F0000}"/>
    <cellStyle name="20% - Accent5 4 3 7 2" xfId="23590" xr:uid="{00000000-0005-0000-0000-0000BD1F0000}"/>
    <cellStyle name="20% - Accent5 4 3 8" xfId="19398" xr:uid="{00000000-0005-0000-0000-0000BE1F0000}"/>
    <cellStyle name="20% - Accent5 4 4" xfId="2081" xr:uid="{00000000-0005-0000-0000-0000BF1F0000}"/>
    <cellStyle name="20% - Accent5 4 4 2" xfId="2082" xr:uid="{00000000-0005-0000-0000-0000C01F0000}"/>
    <cellStyle name="20% - Accent5 4 4 2 2" xfId="16464" xr:uid="{00000000-0005-0000-0000-0000C11F0000}"/>
    <cellStyle name="20% - Accent5 4 4 2 2 2" xfId="29871" xr:uid="{00000000-0005-0000-0000-0000C21F0000}"/>
    <cellStyle name="20% - Accent5 4 4 2 3" xfId="19406" xr:uid="{00000000-0005-0000-0000-0000C31F0000}"/>
    <cellStyle name="20% - Accent5 4 4 3" xfId="10838" xr:uid="{00000000-0005-0000-0000-0000C41F0000}"/>
    <cellStyle name="20% - Accent5 4 4 3 2" xfId="24780" xr:uid="{00000000-0005-0000-0000-0000C51F0000}"/>
    <cellStyle name="20% - Accent5 4 4 4" xfId="19405" xr:uid="{00000000-0005-0000-0000-0000C61F0000}"/>
    <cellStyle name="20% - Accent5 4 5" xfId="2083" xr:uid="{00000000-0005-0000-0000-0000C71F0000}"/>
    <cellStyle name="20% - Accent5 4 5 2" xfId="11815" xr:uid="{00000000-0005-0000-0000-0000C81F0000}"/>
    <cellStyle name="20% - Accent5 4 5 2 2" xfId="25530" xr:uid="{00000000-0005-0000-0000-0000C91F0000}"/>
    <cellStyle name="20% - Accent5 4 5 3" xfId="19407" xr:uid="{00000000-0005-0000-0000-0000CA1F0000}"/>
    <cellStyle name="20% - Accent5 4 6" xfId="2084" xr:uid="{00000000-0005-0000-0000-0000CB1F0000}"/>
    <cellStyle name="20% - Accent5 4 6 2" xfId="13416" xr:uid="{00000000-0005-0000-0000-0000CC1F0000}"/>
    <cellStyle name="20% - Accent5 4 6 2 2" xfId="26965" xr:uid="{00000000-0005-0000-0000-0000CD1F0000}"/>
    <cellStyle name="20% - Accent5 4 6 3" xfId="19408" xr:uid="{00000000-0005-0000-0000-0000CE1F0000}"/>
    <cellStyle name="20% - Accent5 4 7" xfId="2085" xr:uid="{00000000-0005-0000-0000-0000CF1F0000}"/>
    <cellStyle name="20% - Accent5 4 7 2" xfId="13997" xr:uid="{00000000-0005-0000-0000-0000D01F0000}"/>
    <cellStyle name="20% - Accent5 4 7 2 2" xfId="27546" xr:uid="{00000000-0005-0000-0000-0000D11F0000}"/>
    <cellStyle name="20% - Accent5 4 7 3" xfId="19409" xr:uid="{00000000-0005-0000-0000-0000D21F0000}"/>
    <cellStyle name="20% - Accent5 4 8" xfId="2086" xr:uid="{00000000-0005-0000-0000-0000D31F0000}"/>
    <cellStyle name="20% - Accent5 4 8 2" xfId="15883" xr:uid="{00000000-0005-0000-0000-0000D41F0000}"/>
    <cellStyle name="20% - Accent5 4 8 2 2" xfId="29290" xr:uid="{00000000-0005-0000-0000-0000D51F0000}"/>
    <cellStyle name="20% - Accent5 4 8 3" xfId="19410" xr:uid="{00000000-0005-0000-0000-0000D61F0000}"/>
    <cellStyle name="20% - Accent5 4 9" xfId="9112" xr:uid="{00000000-0005-0000-0000-0000D71F0000}"/>
    <cellStyle name="20% - Accent5 4 9 2" xfId="23587" xr:uid="{00000000-0005-0000-0000-0000D81F0000}"/>
    <cellStyle name="20% - Accent5 5" xfId="2087" xr:uid="{00000000-0005-0000-0000-0000D91F0000}"/>
    <cellStyle name="20% - Accent5 5 10" xfId="19411" xr:uid="{00000000-0005-0000-0000-0000DA1F0000}"/>
    <cellStyle name="20% - Accent5 5 2" xfId="2088" xr:uid="{00000000-0005-0000-0000-0000DB1F0000}"/>
    <cellStyle name="20% - Accent5 5 2 2" xfId="2089" xr:uid="{00000000-0005-0000-0000-0000DC1F0000}"/>
    <cellStyle name="20% - Accent5 5 2 2 2" xfId="2090" xr:uid="{00000000-0005-0000-0000-0000DD1F0000}"/>
    <cellStyle name="20% - Accent5 5 2 2 2 2" xfId="2091" xr:uid="{00000000-0005-0000-0000-0000DE1F0000}"/>
    <cellStyle name="20% - Accent5 5 2 2 2 2 2" xfId="16879" xr:uid="{00000000-0005-0000-0000-0000DF1F0000}"/>
    <cellStyle name="20% - Accent5 5 2 2 2 2 2 2" xfId="30286" xr:uid="{00000000-0005-0000-0000-0000E01F0000}"/>
    <cellStyle name="20% - Accent5 5 2 2 2 2 3" xfId="19415" xr:uid="{00000000-0005-0000-0000-0000E11F0000}"/>
    <cellStyle name="20% - Accent5 5 2 2 2 3" xfId="10844" xr:uid="{00000000-0005-0000-0000-0000E21F0000}"/>
    <cellStyle name="20% - Accent5 5 2 2 2 3 2" xfId="24786" xr:uid="{00000000-0005-0000-0000-0000E31F0000}"/>
    <cellStyle name="20% - Accent5 5 2 2 2 4" xfId="19414" xr:uid="{00000000-0005-0000-0000-0000E41F0000}"/>
    <cellStyle name="20% - Accent5 5 2 2 3" xfId="2092" xr:uid="{00000000-0005-0000-0000-0000E51F0000}"/>
    <cellStyle name="20% - Accent5 5 2 2 3 2" xfId="12267" xr:uid="{00000000-0005-0000-0000-0000E61F0000}"/>
    <cellStyle name="20% - Accent5 5 2 2 3 2 2" xfId="25979" xr:uid="{00000000-0005-0000-0000-0000E71F0000}"/>
    <cellStyle name="20% - Accent5 5 2 2 3 3" xfId="19416" xr:uid="{00000000-0005-0000-0000-0000E81F0000}"/>
    <cellStyle name="20% - Accent5 5 2 2 4" xfId="2093" xr:uid="{00000000-0005-0000-0000-0000E91F0000}"/>
    <cellStyle name="20% - Accent5 5 2 2 4 2" xfId="13831" xr:uid="{00000000-0005-0000-0000-0000EA1F0000}"/>
    <cellStyle name="20% - Accent5 5 2 2 4 2 2" xfId="27380" xr:uid="{00000000-0005-0000-0000-0000EB1F0000}"/>
    <cellStyle name="20% - Accent5 5 2 2 4 3" xfId="19417" xr:uid="{00000000-0005-0000-0000-0000EC1F0000}"/>
    <cellStyle name="20% - Accent5 5 2 2 5" xfId="2094" xr:uid="{00000000-0005-0000-0000-0000ED1F0000}"/>
    <cellStyle name="20% - Accent5 5 2 2 5 2" xfId="14412" xr:uid="{00000000-0005-0000-0000-0000EE1F0000}"/>
    <cellStyle name="20% - Accent5 5 2 2 5 2 2" xfId="27961" xr:uid="{00000000-0005-0000-0000-0000EF1F0000}"/>
    <cellStyle name="20% - Accent5 5 2 2 5 3" xfId="19418" xr:uid="{00000000-0005-0000-0000-0000F01F0000}"/>
    <cellStyle name="20% - Accent5 5 2 2 6" xfId="2095" xr:uid="{00000000-0005-0000-0000-0000F11F0000}"/>
    <cellStyle name="20% - Accent5 5 2 2 6 2" xfId="16298" xr:uid="{00000000-0005-0000-0000-0000F21F0000}"/>
    <cellStyle name="20% - Accent5 5 2 2 6 2 2" xfId="29705" xr:uid="{00000000-0005-0000-0000-0000F31F0000}"/>
    <cellStyle name="20% - Accent5 5 2 2 6 3" xfId="19419" xr:uid="{00000000-0005-0000-0000-0000F41F0000}"/>
    <cellStyle name="20% - Accent5 5 2 2 7" xfId="9118" xr:uid="{00000000-0005-0000-0000-0000F51F0000}"/>
    <cellStyle name="20% - Accent5 5 2 2 7 2" xfId="23593" xr:uid="{00000000-0005-0000-0000-0000F61F0000}"/>
    <cellStyle name="20% - Accent5 5 2 2 8" xfId="19413" xr:uid="{00000000-0005-0000-0000-0000F71F0000}"/>
    <cellStyle name="20% - Accent5 5 2 3" xfId="2096" xr:uid="{00000000-0005-0000-0000-0000F81F0000}"/>
    <cellStyle name="20% - Accent5 5 2 3 2" xfId="2097" xr:uid="{00000000-0005-0000-0000-0000F91F0000}"/>
    <cellStyle name="20% - Accent5 5 2 3 2 2" xfId="16590" xr:uid="{00000000-0005-0000-0000-0000FA1F0000}"/>
    <cellStyle name="20% - Accent5 5 2 3 2 2 2" xfId="29997" xr:uid="{00000000-0005-0000-0000-0000FB1F0000}"/>
    <cellStyle name="20% - Accent5 5 2 3 2 3" xfId="19421" xr:uid="{00000000-0005-0000-0000-0000FC1F0000}"/>
    <cellStyle name="20% - Accent5 5 2 3 3" xfId="10843" xr:uid="{00000000-0005-0000-0000-0000FD1F0000}"/>
    <cellStyle name="20% - Accent5 5 2 3 3 2" xfId="24785" xr:uid="{00000000-0005-0000-0000-0000FE1F0000}"/>
    <cellStyle name="20% - Accent5 5 2 3 4" xfId="19420" xr:uid="{00000000-0005-0000-0000-0000FF1F0000}"/>
    <cellStyle name="20% - Accent5 5 2 4" xfId="2098" xr:uid="{00000000-0005-0000-0000-000000200000}"/>
    <cellStyle name="20% - Accent5 5 2 4 2" xfId="11967" xr:uid="{00000000-0005-0000-0000-000001200000}"/>
    <cellStyle name="20% - Accent5 5 2 4 2 2" xfId="25682" xr:uid="{00000000-0005-0000-0000-000002200000}"/>
    <cellStyle name="20% - Accent5 5 2 4 3" xfId="19422" xr:uid="{00000000-0005-0000-0000-000003200000}"/>
    <cellStyle name="20% - Accent5 5 2 5" xfId="2099" xr:uid="{00000000-0005-0000-0000-000004200000}"/>
    <cellStyle name="20% - Accent5 5 2 5 2" xfId="13542" xr:uid="{00000000-0005-0000-0000-000005200000}"/>
    <cellStyle name="20% - Accent5 5 2 5 2 2" xfId="27091" xr:uid="{00000000-0005-0000-0000-000006200000}"/>
    <cellStyle name="20% - Accent5 5 2 5 3" xfId="19423" xr:uid="{00000000-0005-0000-0000-000007200000}"/>
    <cellStyle name="20% - Accent5 5 2 6" xfId="2100" xr:uid="{00000000-0005-0000-0000-000008200000}"/>
    <cellStyle name="20% - Accent5 5 2 6 2" xfId="14123" xr:uid="{00000000-0005-0000-0000-000009200000}"/>
    <cellStyle name="20% - Accent5 5 2 6 2 2" xfId="27672" xr:uid="{00000000-0005-0000-0000-00000A200000}"/>
    <cellStyle name="20% - Accent5 5 2 6 3" xfId="19424" xr:uid="{00000000-0005-0000-0000-00000B200000}"/>
    <cellStyle name="20% - Accent5 5 2 7" xfId="2101" xr:uid="{00000000-0005-0000-0000-00000C200000}"/>
    <cellStyle name="20% - Accent5 5 2 7 2" xfId="16009" xr:uid="{00000000-0005-0000-0000-00000D200000}"/>
    <cellStyle name="20% - Accent5 5 2 7 2 2" xfId="29416" xr:uid="{00000000-0005-0000-0000-00000E200000}"/>
    <cellStyle name="20% - Accent5 5 2 7 3" xfId="19425" xr:uid="{00000000-0005-0000-0000-00000F200000}"/>
    <cellStyle name="20% - Accent5 5 2 8" xfId="9117" xr:uid="{00000000-0005-0000-0000-000010200000}"/>
    <cellStyle name="20% - Accent5 5 2 8 2" xfId="23592" xr:uid="{00000000-0005-0000-0000-000011200000}"/>
    <cellStyle name="20% - Accent5 5 2 9" xfId="19412" xr:uid="{00000000-0005-0000-0000-000012200000}"/>
    <cellStyle name="20% - Accent5 5 3" xfId="2102" xr:uid="{00000000-0005-0000-0000-000013200000}"/>
    <cellStyle name="20% - Accent5 5 3 2" xfId="2103" xr:uid="{00000000-0005-0000-0000-000014200000}"/>
    <cellStyle name="20% - Accent5 5 3 2 2" xfId="2104" xr:uid="{00000000-0005-0000-0000-000015200000}"/>
    <cellStyle name="20% - Accent5 5 3 2 2 2" xfId="16739" xr:uid="{00000000-0005-0000-0000-000016200000}"/>
    <cellStyle name="20% - Accent5 5 3 2 2 2 2" xfId="30146" xr:uid="{00000000-0005-0000-0000-000017200000}"/>
    <cellStyle name="20% - Accent5 5 3 2 2 3" xfId="19428" xr:uid="{00000000-0005-0000-0000-000018200000}"/>
    <cellStyle name="20% - Accent5 5 3 2 3" xfId="10845" xr:uid="{00000000-0005-0000-0000-000019200000}"/>
    <cellStyle name="20% - Accent5 5 3 2 3 2" xfId="24787" xr:uid="{00000000-0005-0000-0000-00001A200000}"/>
    <cellStyle name="20% - Accent5 5 3 2 4" xfId="19427" xr:uid="{00000000-0005-0000-0000-00001B200000}"/>
    <cellStyle name="20% - Accent5 5 3 3" xfId="2105" xr:uid="{00000000-0005-0000-0000-00001C200000}"/>
    <cellStyle name="20% - Accent5 5 3 3 2" xfId="12127" xr:uid="{00000000-0005-0000-0000-00001D200000}"/>
    <cellStyle name="20% - Accent5 5 3 3 2 2" xfId="25839" xr:uid="{00000000-0005-0000-0000-00001E200000}"/>
    <cellStyle name="20% - Accent5 5 3 3 3" xfId="19429" xr:uid="{00000000-0005-0000-0000-00001F200000}"/>
    <cellStyle name="20% - Accent5 5 3 4" xfId="2106" xr:uid="{00000000-0005-0000-0000-000020200000}"/>
    <cellStyle name="20% - Accent5 5 3 4 2" xfId="13691" xr:uid="{00000000-0005-0000-0000-000021200000}"/>
    <cellStyle name="20% - Accent5 5 3 4 2 2" xfId="27240" xr:uid="{00000000-0005-0000-0000-000022200000}"/>
    <cellStyle name="20% - Accent5 5 3 4 3" xfId="19430" xr:uid="{00000000-0005-0000-0000-000023200000}"/>
    <cellStyle name="20% - Accent5 5 3 5" xfId="2107" xr:uid="{00000000-0005-0000-0000-000024200000}"/>
    <cellStyle name="20% - Accent5 5 3 5 2" xfId="14272" xr:uid="{00000000-0005-0000-0000-000025200000}"/>
    <cellStyle name="20% - Accent5 5 3 5 2 2" xfId="27821" xr:uid="{00000000-0005-0000-0000-000026200000}"/>
    <cellStyle name="20% - Accent5 5 3 5 3" xfId="19431" xr:uid="{00000000-0005-0000-0000-000027200000}"/>
    <cellStyle name="20% - Accent5 5 3 6" xfId="2108" xr:uid="{00000000-0005-0000-0000-000028200000}"/>
    <cellStyle name="20% - Accent5 5 3 6 2" xfId="16158" xr:uid="{00000000-0005-0000-0000-000029200000}"/>
    <cellStyle name="20% - Accent5 5 3 6 2 2" xfId="29565" xr:uid="{00000000-0005-0000-0000-00002A200000}"/>
    <cellStyle name="20% - Accent5 5 3 6 3" xfId="19432" xr:uid="{00000000-0005-0000-0000-00002B200000}"/>
    <cellStyle name="20% - Accent5 5 3 7" xfId="9119" xr:uid="{00000000-0005-0000-0000-00002C200000}"/>
    <cellStyle name="20% - Accent5 5 3 7 2" xfId="23594" xr:uid="{00000000-0005-0000-0000-00002D200000}"/>
    <cellStyle name="20% - Accent5 5 3 8" xfId="19426" xr:uid="{00000000-0005-0000-0000-00002E200000}"/>
    <cellStyle name="20% - Accent5 5 4" xfId="2109" xr:uid="{00000000-0005-0000-0000-00002F200000}"/>
    <cellStyle name="20% - Accent5 5 4 2" xfId="2110" xr:uid="{00000000-0005-0000-0000-000030200000}"/>
    <cellStyle name="20% - Accent5 5 4 2 2" xfId="16447" xr:uid="{00000000-0005-0000-0000-000031200000}"/>
    <cellStyle name="20% - Accent5 5 4 2 2 2" xfId="29854" xr:uid="{00000000-0005-0000-0000-000032200000}"/>
    <cellStyle name="20% - Accent5 5 4 2 3" xfId="19434" xr:uid="{00000000-0005-0000-0000-000033200000}"/>
    <cellStyle name="20% - Accent5 5 4 3" xfId="10842" xr:uid="{00000000-0005-0000-0000-000034200000}"/>
    <cellStyle name="20% - Accent5 5 4 3 2" xfId="24784" xr:uid="{00000000-0005-0000-0000-000035200000}"/>
    <cellStyle name="20% - Accent5 5 4 4" xfId="19433" xr:uid="{00000000-0005-0000-0000-000036200000}"/>
    <cellStyle name="20% - Accent5 5 5" xfId="2111" xr:uid="{00000000-0005-0000-0000-000037200000}"/>
    <cellStyle name="20% - Accent5 5 5 2" xfId="11798" xr:uid="{00000000-0005-0000-0000-000038200000}"/>
    <cellStyle name="20% - Accent5 5 5 2 2" xfId="25513" xr:uid="{00000000-0005-0000-0000-000039200000}"/>
    <cellStyle name="20% - Accent5 5 5 3" xfId="19435" xr:uid="{00000000-0005-0000-0000-00003A200000}"/>
    <cellStyle name="20% - Accent5 5 6" xfId="2112" xr:uid="{00000000-0005-0000-0000-00003B200000}"/>
    <cellStyle name="20% - Accent5 5 6 2" xfId="13399" xr:uid="{00000000-0005-0000-0000-00003C200000}"/>
    <cellStyle name="20% - Accent5 5 6 2 2" xfId="26948" xr:uid="{00000000-0005-0000-0000-00003D200000}"/>
    <cellStyle name="20% - Accent5 5 6 3" xfId="19436" xr:uid="{00000000-0005-0000-0000-00003E200000}"/>
    <cellStyle name="20% - Accent5 5 7" xfId="2113" xr:uid="{00000000-0005-0000-0000-00003F200000}"/>
    <cellStyle name="20% - Accent5 5 7 2" xfId="13980" xr:uid="{00000000-0005-0000-0000-000040200000}"/>
    <cellStyle name="20% - Accent5 5 7 2 2" xfId="27529" xr:uid="{00000000-0005-0000-0000-000041200000}"/>
    <cellStyle name="20% - Accent5 5 7 3" xfId="19437" xr:uid="{00000000-0005-0000-0000-000042200000}"/>
    <cellStyle name="20% - Accent5 5 8" xfId="2114" xr:uid="{00000000-0005-0000-0000-000043200000}"/>
    <cellStyle name="20% - Accent5 5 8 2" xfId="15866" xr:uid="{00000000-0005-0000-0000-000044200000}"/>
    <cellStyle name="20% - Accent5 5 8 2 2" xfId="29273" xr:uid="{00000000-0005-0000-0000-000045200000}"/>
    <cellStyle name="20% - Accent5 5 8 3" xfId="19438" xr:uid="{00000000-0005-0000-0000-000046200000}"/>
    <cellStyle name="20% - Accent5 5 9" xfId="9116" xr:uid="{00000000-0005-0000-0000-000047200000}"/>
    <cellStyle name="20% - Accent5 5 9 2" xfId="23591" xr:uid="{00000000-0005-0000-0000-000048200000}"/>
    <cellStyle name="20% - Accent5 6" xfId="2115" xr:uid="{00000000-0005-0000-0000-000049200000}"/>
    <cellStyle name="20% - Accent5 6 10" xfId="19439" xr:uid="{00000000-0005-0000-0000-00004A200000}"/>
    <cellStyle name="20% - Accent5 6 2" xfId="2116" xr:uid="{00000000-0005-0000-0000-00004B200000}"/>
    <cellStyle name="20% - Accent5 6 2 2" xfId="2117" xr:uid="{00000000-0005-0000-0000-00004C200000}"/>
    <cellStyle name="20% - Accent5 6 2 2 2" xfId="2118" xr:uid="{00000000-0005-0000-0000-00004D200000}"/>
    <cellStyle name="20% - Accent5 6 2 2 2 2" xfId="2119" xr:uid="{00000000-0005-0000-0000-00004E200000}"/>
    <cellStyle name="20% - Accent5 6 2 2 2 2 2" xfId="16985" xr:uid="{00000000-0005-0000-0000-00004F200000}"/>
    <cellStyle name="20% - Accent5 6 2 2 2 2 2 2" xfId="30392" xr:uid="{00000000-0005-0000-0000-000050200000}"/>
    <cellStyle name="20% - Accent5 6 2 2 2 2 3" xfId="19443" xr:uid="{00000000-0005-0000-0000-000051200000}"/>
    <cellStyle name="20% - Accent5 6 2 2 2 3" xfId="10848" xr:uid="{00000000-0005-0000-0000-000052200000}"/>
    <cellStyle name="20% - Accent5 6 2 2 2 3 2" xfId="24790" xr:uid="{00000000-0005-0000-0000-000053200000}"/>
    <cellStyle name="20% - Accent5 6 2 2 2 4" xfId="19442" xr:uid="{00000000-0005-0000-0000-000054200000}"/>
    <cellStyle name="20% - Accent5 6 2 2 3" xfId="2120" xr:uid="{00000000-0005-0000-0000-000055200000}"/>
    <cellStyle name="20% - Accent5 6 2 2 3 2" xfId="12373" xr:uid="{00000000-0005-0000-0000-000056200000}"/>
    <cellStyle name="20% - Accent5 6 2 2 3 2 2" xfId="26085" xr:uid="{00000000-0005-0000-0000-000057200000}"/>
    <cellStyle name="20% - Accent5 6 2 2 3 3" xfId="19444" xr:uid="{00000000-0005-0000-0000-000058200000}"/>
    <cellStyle name="20% - Accent5 6 2 2 4" xfId="2121" xr:uid="{00000000-0005-0000-0000-000059200000}"/>
    <cellStyle name="20% - Accent5 6 2 2 4 2" xfId="13937" xr:uid="{00000000-0005-0000-0000-00005A200000}"/>
    <cellStyle name="20% - Accent5 6 2 2 4 2 2" xfId="27486" xr:uid="{00000000-0005-0000-0000-00005B200000}"/>
    <cellStyle name="20% - Accent5 6 2 2 4 3" xfId="19445" xr:uid="{00000000-0005-0000-0000-00005C200000}"/>
    <cellStyle name="20% - Accent5 6 2 2 5" xfId="2122" xr:uid="{00000000-0005-0000-0000-00005D200000}"/>
    <cellStyle name="20% - Accent5 6 2 2 5 2" xfId="14518" xr:uid="{00000000-0005-0000-0000-00005E200000}"/>
    <cellStyle name="20% - Accent5 6 2 2 5 2 2" xfId="28067" xr:uid="{00000000-0005-0000-0000-00005F200000}"/>
    <cellStyle name="20% - Accent5 6 2 2 5 3" xfId="19446" xr:uid="{00000000-0005-0000-0000-000060200000}"/>
    <cellStyle name="20% - Accent5 6 2 2 6" xfId="2123" xr:uid="{00000000-0005-0000-0000-000061200000}"/>
    <cellStyle name="20% - Accent5 6 2 2 6 2" xfId="16404" xr:uid="{00000000-0005-0000-0000-000062200000}"/>
    <cellStyle name="20% - Accent5 6 2 2 6 2 2" xfId="29811" xr:uid="{00000000-0005-0000-0000-000063200000}"/>
    <cellStyle name="20% - Accent5 6 2 2 6 3" xfId="19447" xr:uid="{00000000-0005-0000-0000-000064200000}"/>
    <cellStyle name="20% - Accent5 6 2 2 7" xfId="9122" xr:uid="{00000000-0005-0000-0000-000065200000}"/>
    <cellStyle name="20% - Accent5 6 2 2 7 2" xfId="23597" xr:uid="{00000000-0005-0000-0000-000066200000}"/>
    <cellStyle name="20% - Accent5 6 2 2 8" xfId="19441" xr:uid="{00000000-0005-0000-0000-000067200000}"/>
    <cellStyle name="20% - Accent5 6 2 3" xfId="2124" xr:uid="{00000000-0005-0000-0000-000068200000}"/>
    <cellStyle name="20% - Accent5 6 2 3 2" xfId="2125" xr:uid="{00000000-0005-0000-0000-000069200000}"/>
    <cellStyle name="20% - Accent5 6 2 3 2 2" xfId="16696" xr:uid="{00000000-0005-0000-0000-00006A200000}"/>
    <cellStyle name="20% - Accent5 6 2 3 2 2 2" xfId="30103" xr:uid="{00000000-0005-0000-0000-00006B200000}"/>
    <cellStyle name="20% - Accent5 6 2 3 2 3" xfId="19449" xr:uid="{00000000-0005-0000-0000-00006C200000}"/>
    <cellStyle name="20% - Accent5 6 2 3 3" xfId="10847" xr:uid="{00000000-0005-0000-0000-00006D200000}"/>
    <cellStyle name="20% - Accent5 6 2 3 3 2" xfId="24789" xr:uid="{00000000-0005-0000-0000-00006E200000}"/>
    <cellStyle name="20% - Accent5 6 2 3 4" xfId="19448" xr:uid="{00000000-0005-0000-0000-00006F200000}"/>
    <cellStyle name="20% - Accent5 6 2 4" xfId="2126" xr:uid="{00000000-0005-0000-0000-000070200000}"/>
    <cellStyle name="20% - Accent5 6 2 4 2" xfId="12073" xr:uid="{00000000-0005-0000-0000-000071200000}"/>
    <cellStyle name="20% - Accent5 6 2 4 2 2" xfId="25788" xr:uid="{00000000-0005-0000-0000-000072200000}"/>
    <cellStyle name="20% - Accent5 6 2 4 3" xfId="19450" xr:uid="{00000000-0005-0000-0000-000073200000}"/>
    <cellStyle name="20% - Accent5 6 2 5" xfId="2127" xr:uid="{00000000-0005-0000-0000-000074200000}"/>
    <cellStyle name="20% - Accent5 6 2 5 2" xfId="13648" xr:uid="{00000000-0005-0000-0000-000075200000}"/>
    <cellStyle name="20% - Accent5 6 2 5 2 2" xfId="27197" xr:uid="{00000000-0005-0000-0000-000076200000}"/>
    <cellStyle name="20% - Accent5 6 2 5 3" xfId="19451" xr:uid="{00000000-0005-0000-0000-000077200000}"/>
    <cellStyle name="20% - Accent5 6 2 6" xfId="2128" xr:uid="{00000000-0005-0000-0000-000078200000}"/>
    <cellStyle name="20% - Accent5 6 2 6 2" xfId="14229" xr:uid="{00000000-0005-0000-0000-000079200000}"/>
    <cellStyle name="20% - Accent5 6 2 6 2 2" xfId="27778" xr:uid="{00000000-0005-0000-0000-00007A200000}"/>
    <cellStyle name="20% - Accent5 6 2 6 3" xfId="19452" xr:uid="{00000000-0005-0000-0000-00007B200000}"/>
    <cellStyle name="20% - Accent5 6 2 7" xfId="2129" xr:uid="{00000000-0005-0000-0000-00007C200000}"/>
    <cellStyle name="20% - Accent5 6 2 7 2" xfId="16115" xr:uid="{00000000-0005-0000-0000-00007D200000}"/>
    <cellStyle name="20% - Accent5 6 2 7 2 2" xfId="29522" xr:uid="{00000000-0005-0000-0000-00007E200000}"/>
    <cellStyle name="20% - Accent5 6 2 7 3" xfId="19453" xr:uid="{00000000-0005-0000-0000-00007F200000}"/>
    <cellStyle name="20% - Accent5 6 2 8" xfId="9121" xr:uid="{00000000-0005-0000-0000-000080200000}"/>
    <cellStyle name="20% - Accent5 6 2 8 2" xfId="23596" xr:uid="{00000000-0005-0000-0000-000081200000}"/>
    <cellStyle name="20% - Accent5 6 2 9" xfId="19440" xr:uid="{00000000-0005-0000-0000-000082200000}"/>
    <cellStyle name="20% - Accent5 6 3" xfId="2130" xr:uid="{00000000-0005-0000-0000-000083200000}"/>
    <cellStyle name="20% - Accent5 6 3 2" xfId="2131" xr:uid="{00000000-0005-0000-0000-000084200000}"/>
    <cellStyle name="20% - Accent5 6 3 2 2" xfId="2132" xr:uid="{00000000-0005-0000-0000-000085200000}"/>
    <cellStyle name="20% - Accent5 6 3 2 2 2" xfId="16842" xr:uid="{00000000-0005-0000-0000-000086200000}"/>
    <cellStyle name="20% - Accent5 6 3 2 2 2 2" xfId="30249" xr:uid="{00000000-0005-0000-0000-000087200000}"/>
    <cellStyle name="20% - Accent5 6 3 2 2 3" xfId="19456" xr:uid="{00000000-0005-0000-0000-000088200000}"/>
    <cellStyle name="20% - Accent5 6 3 2 3" xfId="10849" xr:uid="{00000000-0005-0000-0000-000089200000}"/>
    <cellStyle name="20% - Accent5 6 3 2 3 2" xfId="24791" xr:uid="{00000000-0005-0000-0000-00008A200000}"/>
    <cellStyle name="20% - Accent5 6 3 2 4" xfId="19455" xr:uid="{00000000-0005-0000-0000-00008B200000}"/>
    <cellStyle name="20% - Accent5 6 3 3" xfId="2133" xr:uid="{00000000-0005-0000-0000-00008C200000}"/>
    <cellStyle name="20% - Accent5 6 3 3 2" xfId="12230" xr:uid="{00000000-0005-0000-0000-00008D200000}"/>
    <cellStyle name="20% - Accent5 6 3 3 2 2" xfId="25942" xr:uid="{00000000-0005-0000-0000-00008E200000}"/>
    <cellStyle name="20% - Accent5 6 3 3 3" xfId="19457" xr:uid="{00000000-0005-0000-0000-00008F200000}"/>
    <cellStyle name="20% - Accent5 6 3 4" xfId="2134" xr:uid="{00000000-0005-0000-0000-000090200000}"/>
    <cellStyle name="20% - Accent5 6 3 4 2" xfId="13794" xr:uid="{00000000-0005-0000-0000-000091200000}"/>
    <cellStyle name="20% - Accent5 6 3 4 2 2" xfId="27343" xr:uid="{00000000-0005-0000-0000-000092200000}"/>
    <cellStyle name="20% - Accent5 6 3 4 3" xfId="19458" xr:uid="{00000000-0005-0000-0000-000093200000}"/>
    <cellStyle name="20% - Accent5 6 3 5" xfId="2135" xr:uid="{00000000-0005-0000-0000-000094200000}"/>
    <cellStyle name="20% - Accent5 6 3 5 2" xfId="14375" xr:uid="{00000000-0005-0000-0000-000095200000}"/>
    <cellStyle name="20% - Accent5 6 3 5 2 2" xfId="27924" xr:uid="{00000000-0005-0000-0000-000096200000}"/>
    <cellStyle name="20% - Accent5 6 3 5 3" xfId="19459" xr:uid="{00000000-0005-0000-0000-000097200000}"/>
    <cellStyle name="20% - Accent5 6 3 6" xfId="2136" xr:uid="{00000000-0005-0000-0000-000098200000}"/>
    <cellStyle name="20% - Accent5 6 3 6 2" xfId="16261" xr:uid="{00000000-0005-0000-0000-000099200000}"/>
    <cellStyle name="20% - Accent5 6 3 6 2 2" xfId="29668" xr:uid="{00000000-0005-0000-0000-00009A200000}"/>
    <cellStyle name="20% - Accent5 6 3 6 3" xfId="19460" xr:uid="{00000000-0005-0000-0000-00009B200000}"/>
    <cellStyle name="20% - Accent5 6 3 7" xfId="9123" xr:uid="{00000000-0005-0000-0000-00009C200000}"/>
    <cellStyle name="20% - Accent5 6 3 7 2" xfId="23598" xr:uid="{00000000-0005-0000-0000-00009D200000}"/>
    <cellStyle name="20% - Accent5 6 3 8" xfId="19454" xr:uid="{00000000-0005-0000-0000-00009E200000}"/>
    <cellStyle name="20% - Accent5 6 4" xfId="2137" xr:uid="{00000000-0005-0000-0000-00009F200000}"/>
    <cellStyle name="20% - Accent5 6 4 2" xfId="2138" xr:uid="{00000000-0005-0000-0000-0000A0200000}"/>
    <cellStyle name="20% - Accent5 6 4 2 2" xfId="16553" xr:uid="{00000000-0005-0000-0000-0000A1200000}"/>
    <cellStyle name="20% - Accent5 6 4 2 2 2" xfId="29960" xr:uid="{00000000-0005-0000-0000-0000A2200000}"/>
    <cellStyle name="20% - Accent5 6 4 2 3" xfId="19462" xr:uid="{00000000-0005-0000-0000-0000A3200000}"/>
    <cellStyle name="20% - Accent5 6 4 3" xfId="10846" xr:uid="{00000000-0005-0000-0000-0000A4200000}"/>
    <cellStyle name="20% - Accent5 6 4 3 2" xfId="24788" xr:uid="{00000000-0005-0000-0000-0000A5200000}"/>
    <cellStyle name="20% - Accent5 6 4 4" xfId="19461" xr:uid="{00000000-0005-0000-0000-0000A6200000}"/>
    <cellStyle name="20% - Accent5 6 5" xfId="2139" xr:uid="{00000000-0005-0000-0000-0000A7200000}"/>
    <cellStyle name="20% - Accent5 6 5 2" xfId="11928" xr:uid="{00000000-0005-0000-0000-0000A8200000}"/>
    <cellStyle name="20% - Accent5 6 5 2 2" xfId="25643" xr:uid="{00000000-0005-0000-0000-0000A9200000}"/>
    <cellStyle name="20% - Accent5 6 5 3" xfId="19463" xr:uid="{00000000-0005-0000-0000-0000AA200000}"/>
    <cellStyle name="20% - Accent5 6 6" xfId="2140" xr:uid="{00000000-0005-0000-0000-0000AB200000}"/>
    <cellStyle name="20% - Accent5 6 6 2" xfId="13505" xr:uid="{00000000-0005-0000-0000-0000AC200000}"/>
    <cellStyle name="20% - Accent5 6 6 2 2" xfId="27054" xr:uid="{00000000-0005-0000-0000-0000AD200000}"/>
    <cellStyle name="20% - Accent5 6 6 3" xfId="19464" xr:uid="{00000000-0005-0000-0000-0000AE200000}"/>
    <cellStyle name="20% - Accent5 6 7" xfId="2141" xr:uid="{00000000-0005-0000-0000-0000AF200000}"/>
    <cellStyle name="20% - Accent5 6 7 2" xfId="14086" xr:uid="{00000000-0005-0000-0000-0000B0200000}"/>
    <cellStyle name="20% - Accent5 6 7 2 2" xfId="27635" xr:uid="{00000000-0005-0000-0000-0000B1200000}"/>
    <cellStyle name="20% - Accent5 6 7 3" xfId="19465" xr:uid="{00000000-0005-0000-0000-0000B2200000}"/>
    <cellStyle name="20% - Accent5 6 8" xfId="2142" xr:uid="{00000000-0005-0000-0000-0000B3200000}"/>
    <cellStyle name="20% - Accent5 6 8 2" xfId="15972" xr:uid="{00000000-0005-0000-0000-0000B4200000}"/>
    <cellStyle name="20% - Accent5 6 8 2 2" xfId="29379" xr:uid="{00000000-0005-0000-0000-0000B5200000}"/>
    <cellStyle name="20% - Accent5 6 8 3" xfId="19466" xr:uid="{00000000-0005-0000-0000-0000B6200000}"/>
    <cellStyle name="20% - Accent5 6 9" xfId="9120" xr:uid="{00000000-0005-0000-0000-0000B7200000}"/>
    <cellStyle name="20% - Accent5 6 9 2" xfId="23595" xr:uid="{00000000-0005-0000-0000-0000B8200000}"/>
    <cellStyle name="20% - Accent5 7" xfId="2143" xr:uid="{00000000-0005-0000-0000-0000B9200000}"/>
    <cellStyle name="20% - Accent5 7 2" xfId="2144" xr:uid="{00000000-0005-0000-0000-0000BA200000}"/>
    <cellStyle name="20% - Accent5 7 2 2" xfId="2145" xr:uid="{00000000-0005-0000-0000-0000BB200000}"/>
    <cellStyle name="20% - Accent5 7 2 2 2" xfId="2146" xr:uid="{00000000-0005-0000-0000-0000BC200000}"/>
    <cellStyle name="20% - Accent5 7 2 2 2 2" xfId="16866" xr:uid="{00000000-0005-0000-0000-0000BD200000}"/>
    <cellStyle name="20% - Accent5 7 2 2 2 2 2" xfId="30273" xr:uid="{00000000-0005-0000-0000-0000BE200000}"/>
    <cellStyle name="20% - Accent5 7 2 2 2 3" xfId="19470" xr:uid="{00000000-0005-0000-0000-0000BF200000}"/>
    <cellStyle name="20% - Accent5 7 2 2 3" xfId="10851" xr:uid="{00000000-0005-0000-0000-0000C0200000}"/>
    <cellStyle name="20% - Accent5 7 2 2 3 2" xfId="24793" xr:uid="{00000000-0005-0000-0000-0000C1200000}"/>
    <cellStyle name="20% - Accent5 7 2 2 4" xfId="19469" xr:uid="{00000000-0005-0000-0000-0000C2200000}"/>
    <cellStyle name="20% - Accent5 7 2 3" xfId="2147" xr:uid="{00000000-0005-0000-0000-0000C3200000}"/>
    <cellStyle name="20% - Accent5 7 2 3 2" xfId="12254" xr:uid="{00000000-0005-0000-0000-0000C4200000}"/>
    <cellStyle name="20% - Accent5 7 2 3 2 2" xfId="25966" xr:uid="{00000000-0005-0000-0000-0000C5200000}"/>
    <cellStyle name="20% - Accent5 7 2 3 3" xfId="19471" xr:uid="{00000000-0005-0000-0000-0000C6200000}"/>
    <cellStyle name="20% - Accent5 7 2 4" xfId="2148" xr:uid="{00000000-0005-0000-0000-0000C7200000}"/>
    <cellStyle name="20% - Accent5 7 2 4 2" xfId="13818" xr:uid="{00000000-0005-0000-0000-0000C8200000}"/>
    <cellStyle name="20% - Accent5 7 2 4 2 2" xfId="27367" xr:uid="{00000000-0005-0000-0000-0000C9200000}"/>
    <cellStyle name="20% - Accent5 7 2 4 3" xfId="19472" xr:uid="{00000000-0005-0000-0000-0000CA200000}"/>
    <cellStyle name="20% - Accent5 7 2 5" xfId="2149" xr:uid="{00000000-0005-0000-0000-0000CB200000}"/>
    <cellStyle name="20% - Accent5 7 2 5 2" xfId="14399" xr:uid="{00000000-0005-0000-0000-0000CC200000}"/>
    <cellStyle name="20% - Accent5 7 2 5 2 2" xfId="27948" xr:uid="{00000000-0005-0000-0000-0000CD200000}"/>
    <cellStyle name="20% - Accent5 7 2 5 3" xfId="19473" xr:uid="{00000000-0005-0000-0000-0000CE200000}"/>
    <cellStyle name="20% - Accent5 7 2 6" xfId="2150" xr:uid="{00000000-0005-0000-0000-0000CF200000}"/>
    <cellStyle name="20% - Accent5 7 2 6 2" xfId="16285" xr:uid="{00000000-0005-0000-0000-0000D0200000}"/>
    <cellStyle name="20% - Accent5 7 2 6 2 2" xfId="29692" xr:uid="{00000000-0005-0000-0000-0000D1200000}"/>
    <cellStyle name="20% - Accent5 7 2 6 3" xfId="19474" xr:uid="{00000000-0005-0000-0000-0000D2200000}"/>
    <cellStyle name="20% - Accent5 7 2 7" xfId="9125" xr:uid="{00000000-0005-0000-0000-0000D3200000}"/>
    <cellStyle name="20% - Accent5 7 2 7 2" xfId="23600" xr:uid="{00000000-0005-0000-0000-0000D4200000}"/>
    <cellStyle name="20% - Accent5 7 2 8" xfId="19468" xr:uid="{00000000-0005-0000-0000-0000D5200000}"/>
    <cellStyle name="20% - Accent5 7 3" xfId="2151" xr:uid="{00000000-0005-0000-0000-0000D6200000}"/>
    <cellStyle name="20% - Accent5 7 3 2" xfId="2152" xr:uid="{00000000-0005-0000-0000-0000D7200000}"/>
    <cellStyle name="20% - Accent5 7 3 2 2" xfId="16577" xr:uid="{00000000-0005-0000-0000-0000D8200000}"/>
    <cellStyle name="20% - Accent5 7 3 2 2 2" xfId="29984" xr:uid="{00000000-0005-0000-0000-0000D9200000}"/>
    <cellStyle name="20% - Accent5 7 3 2 3" xfId="19476" xr:uid="{00000000-0005-0000-0000-0000DA200000}"/>
    <cellStyle name="20% - Accent5 7 3 3" xfId="10850" xr:uid="{00000000-0005-0000-0000-0000DB200000}"/>
    <cellStyle name="20% - Accent5 7 3 3 2" xfId="24792" xr:uid="{00000000-0005-0000-0000-0000DC200000}"/>
    <cellStyle name="20% - Accent5 7 3 4" xfId="19475" xr:uid="{00000000-0005-0000-0000-0000DD200000}"/>
    <cellStyle name="20% - Accent5 7 4" xfId="2153" xr:uid="{00000000-0005-0000-0000-0000DE200000}"/>
    <cellStyle name="20% - Accent5 7 4 2" xfId="11952" xr:uid="{00000000-0005-0000-0000-0000DF200000}"/>
    <cellStyle name="20% - Accent5 7 4 2 2" xfId="25667" xr:uid="{00000000-0005-0000-0000-0000E0200000}"/>
    <cellStyle name="20% - Accent5 7 4 3" xfId="19477" xr:uid="{00000000-0005-0000-0000-0000E1200000}"/>
    <cellStyle name="20% - Accent5 7 5" xfId="2154" xr:uid="{00000000-0005-0000-0000-0000E2200000}"/>
    <cellStyle name="20% - Accent5 7 5 2" xfId="13529" xr:uid="{00000000-0005-0000-0000-0000E3200000}"/>
    <cellStyle name="20% - Accent5 7 5 2 2" xfId="27078" xr:uid="{00000000-0005-0000-0000-0000E4200000}"/>
    <cellStyle name="20% - Accent5 7 5 3" xfId="19478" xr:uid="{00000000-0005-0000-0000-0000E5200000}"/>
    <cellStyle name="20% - Accent5 7 6" xfId="2155" xr:uid="{00000000-0005-0000-0000-0000E6200000}"/>
    <cellStyle name="20% - Accent5 7 6 2" xfId="14110" xr:uid="{00000000-0005-0000-0000-0000E7200000}"/>
    <cellStyle name="20% - Accent5 7 6 2 2" xfId="27659" xr:uid="{00000000-0005-0000-0000-0000E8200000}"/>
    <cellStyle name="20% - Accent5 7 6 3" xfId="19479" xr:uid="{00000000-0005-0000-0000-0000E9200000}"/>
    <cellStyle name="20% - Accent5 7 7" xfId="2156" xr:uid="{00000000-0005-0000-0000-0000EA200000}"/>
    <cellStyle name="20% - Accent5 7 7 2" xfId="15996" xr:uid="{00000000-0005-0000-0000-0000EB200000}"/>
    <cellStyle name="20% - Accent5 7 7 2 2" xfId="29403" xr:uid="{00000000-0005-0000-0000-0000EC200000}"/>
    <cellStyle name="20% - Accent5 7 7 3" xfId="19480" xr:uid="{00000000-0005-0000-0000-0000ED200000}"/>
    <cellStyle name="20% - Accent5 7 8" xfId="9124" xr:uid="{00000000-0005-0000-0000-0000EE200000}"/>
    <cellStyle name="20% - Accent5 7 8 2" xfId="23599" xr:uid="{00000000-0005-0000-0000-0000EF200000}"/>
    <cellStyle name="20% - Accent5 7 9" xfId="19467" xr:uid="{00000000-0005-0000-0000-0000F0200000}"/>
    <cellStyle name="20% - Accent5 8" xfId="2157" xr:uid="{00000000-0005-0000-0000-0000F1200000}"/>
    <cellStyle name="20% - Accent5 8 2" xfId="2158" xr:uid="{00000000-0005-0000-0000-0000F2200000}"/>
    <cellStyle name="20% - Accent5 8 2 2" xfId="2159" xr:uid="{00000000-0005-0000-0000-0000F3200000}"/>
    <cellStyle name="20% - Accent5 8 2 2 2" xfId="16716" xr:uid="{00000000-0005-0000-0000-0000F4200000}"/>
    <cellStyle name="20% - Accent5 8 2 2 2 2" xfId="30123" xr:uid="{00000000-0005-0000-0000-0000F5200000}"/>
    <cellStyle name="20% - Accent5 8 2 2 3" xfId="19483" xr:uid="{00000000-0005-0000-0000-0000F6200000}"/>
    <cellStyle name="20% - Accent5 8 2 3" xfId="10852" xr:uid="{00000000-0005-0000-0000-0000F7200000}"/>
    <cellStyle name="20% - Accent5 8 2 3 2" xfId="24794" xr:uid="{00000000-0005-0000-0000-0000F8200000}"/>
    <cellStyle name="20% - Accent5 8 2 4" xfId="19482" xr:uid="{00000000-0005-0000-0000-0000F9200000}"/>
    <cellStyle name="20% - Accent5 8 3" xfId="2160" xr:uid="{00000000-0005-0000-0000-0000FA200000}"/>
    <cellStyle name="20% - Accent5 8 3 2" xfId="12094" xr:uid="{00000000-0005-0000-0000-0000FB200000}"/>
    <cellStyle name="20% - Accent5 8 3 2 2" xfId="25808" xr:uid="{00000000-0005-0000-0000-0000FC200000}"/>
    <cellStyle name="20% - Accent5 8 3 3" xfId="19484" xr:uid="{00000000-0005-0000-0000-0000FD200000}"/>
    <cellStyle name="20% - Accent5 8 4" xfId="2161" xr:uid="{00000000-0005-0000-0000-0000FE200000}"/>
    <cellStyle name="20% - Accent5 8 4 2" xfId="13668" xr:uid="{00000000-0005-0000-0000-0000FF200000}"/>
    <cellStyle name="20% - Accent5 8 4 2 2" xfId="27217" xr:uid="{00000000-0005-0000-0000-000000210000}"/>
    <cellStyle name="20% - Accent5 8 4 3" xfId="19485" xr:uid="{00000000-0005-0000-0000-000001210000}"/>
    <cellStyle name="20% - Accent5 8 5" xfId="2162" xr:uid="{00000000-0005-0000-0000-000002210000}"/>
    <cellStyle name="20% - Accent5 8 5 2" xfId="14249" xr:uid="{00000000-0005-0000-0000-000003210000}"/>
    <cellStyle name="20% - Accent5 8 5 2 2" xfId="27798" xr:uid="{00000000-0005-0000-0000-000004210000}"/>
    <cellStyle name="20% - Accent5 8 5 3" xfId="19486" xr:uid="{00000000-0005-0000-0000-000005210000}"/>
    <cellStyle name="20% - Accent5 8 6" xfId="2163" xr:uid="{00000000-0005-0000-0000-000006210000}"/>
    <cellStyle name="20% - Accent5 8 6 2" xfId="16135" xr:uid="{00000000-0005-0000-0000-000007210000}"/>
    <cellStyle name="20% - Accent5 8 6 2 2" xfId="29542" xr:uid="{00000000-0005-0000-0000-000008210000}"/>
    <cellStyle name="20% - Accent5 8 6 3" xfId="19487" xr:uid="{00000000-0005-0000-0000-000009210000}"/>
    <cellStyle name="20% - Accent5 8 7" xfId="9126" xr:uid="{00000000-0005-0000-0000-00000A210000}"/>
    <cellStyle name="20% - Accent5 8 7 2" xfId="23601" xr:uid="{00000000-0005-0000-0000-00000B210000}"/>
    <cellStyle name="20% - Accent5 8 8" xfId="19481" xr:uid="{00000000-0005-0000-0000-00000C210000}"/>
    <cellStyle name="20% - Accent5 9" xfId="2164" xr:uid="{00000000-0005-0000-0000-00000D210000}"/>
    <cellStyle name="20% - Accent5 9 2" xfId="2165" xr:uid="{00000000-0005-0000-0000-00000E210000}"/>
    <cellStyle name="20% - Accent5 9 2 2" xfId="11714" xr:uid="{00000000-0005-0000-0000-00000F210000}"/>
    <cellStyle name="20% - Accent5 9 2 2 2" xfId="25434" xr:uid="{00000000-0005-0000-0000-000010210000}"/>
    <cellStyle name="20% - Accent5 9 2 3" xfId="19489" xr:uid="{00000000-0005-0000-0000-000011210000}"/>
    <cellStyle name="20% - Accent5 9 3" xfId="2166" xr:uid="{00000000-0005-0000-0000-000012210000}"/>
    <cellStyle name="20% - Accent5 9 3 2" xfId="12809" xr:uid="{00000000-0005-0000-0000-000013210000}"/>
    <cellStyle name="20% - Accent5 9 3 2 2" xfId="26521" xr:uid="{00000000-0005-0000-0000-000014210000}"/>
    <cellStyle name="20% - Accent5 9 3 3" xfId="19490" xr:uid="{00000000-0005-0000-0000-000015210000}"/>
    <cellStyle name="20% - Accent5 9 4" xfId="2167" xr:uid="{00000000-0005-0000-0000-000016210000}"/>
    <cellStyle name="20% - Accent5 9 4 2" xfId="14956" xr:uid="{00000000-0005-0000-0000-000017210000}"/>
    <cellStyle name="20% - Accent5 9 4 2 2" xfId="28505" xr:uid="{00000000-0005-0000-0000-000018210000}"/>
    <cellStyle name="20% - Accent5 9 4 3" xfId="19491" xr:uid="{00000000-0005-0000-0000-000019210000}"/>
    <cellStyle name="20% - Accent5 9 5" xfId="2168" xr:uid="{00000000-0005-0000-0000-00001A210000}"/>
    <cellStyle name="20% - Accent5 9 5 2" xfId="17100" xr:uid="{00000000-0005-0000-0000-00001B210000}"/>
    <cellStyle name="20% - Accent5 9 5 2 2" xfId="30459" xr:uid="{00000000-0005-0000-0000-00001C210000}"/>
    <cellStyle name="20% - Accent5 9 5 3" xfId="19492" xr:uid="{00000000-0005-0000-0000-00001D210000}"/>
    <cellStyle name="20% - Accent5 9 6" xfId="10466" xr:uid="{00000000-0005-0000-0000-00001E210000}"/>
    <cellStyle name="20% - Accent5 9 6 2" xfId="24425" xr:uid="{00000000-0005-0000-0000-00001F210000}"/>
    <cellStyle name="20% - Accent5 9 7" xfId="19488" xr:uid="{00000000-0005-0000-0000-000020210000}"/>
    <cellStyle name="20% - Accent6" xfId="47" builtinId="50" customBuiltin="1"/>
    <cellStyle name="20% - Accent6 10" xfId="2169" xr:uid="{00000000-0005-0000-0000-000022210000}"/>
    <cellStyle name="20% - Accent6 10 2" xfId="2170" xr:uid="{00000000-0005-0000-0000-000023210000}"/>
    <cellStyle name="20% - Accent6 10 2 2" xfId="2171" xr:uid="{00000000-0005-0000-0000-000024210000}"/>
    <cellStyle name="20% - Accent6 10 2 2 2" xfId="12400" xr:uid="{00000000-0005-0000-0000-000025210000}"/>
    <cellStyle name="20% - Accent6 10 2 2 2 2" xfId="26112" xr:uid="{00000000-0005-0000-0000-000026210000}"/>
    <cellStyle name="20% - Accent6 10 2 2 3" xfId="19495" xr:uid="{00000000-0005-0000-0000-000027210000}"/>
    <cellStyle name="20% - Accent6 10 2 3" xfId="2172" xr:uid="{00000000-0005-0000-0000-000028210000}"/>
    <cellStyle name="20% - Accent6 10 2 3 2" xfId="14959" xr:uid="{00000000-0005-0000-0000-000029210000}"/>
    <cellStyle name="20% - Accent6 10 2 3 2 2" xfId="28508" xr:uid="{00000000-0005-0000-0000-00002A210000}"/>
    <cellStyle name="20% - Accent6 10 2 3 3" xfId="19496" xr:uid="{00000000-0005-0000-0000-00002B210000}"/>
    <cellStyle name="20% - Accent6 10 2 4" xfId="10854" xr:uid="{00000000-0005-0000-0000-00002C210000}"/>
    <cellStyle name="20% - Accent6 10 2 4 2" xfId="24796" xr:uid="{00000000-0005-0000-0000-00002D210000}"/>
    <cellStyle name="20% - Accent6 10 2 5" xfId="19494" xr:uid="{00000000-0005-0000-0000-00002E210000}"/>
    <cellStyle name="20% - Accent6 10 3" xfId="2173" xr:uid="{00000000-0005-0000-0000-00002F210000}"/>
    <cellStyle name="20% - Accent6 10 3 2" xfId="12472" xr:uid="{00000000-0005-0000-0000-000030210000}"/>
    <cellStyle name="20% - Accent6 10 3 2 2" xfId="26184" xr:uid="{00000000-0005-0000-0000-000031210000}"/>
    <cellStyle name="20% - Accent6 10 3 3" xfId="19497" xr:uid="{00000000-0005-0000-0000-000032210000}"/>
    <cellStyle name="20% - Accent6 10 4" xfId="2174" xr:uid="{00000000-0005-0000-0000-000033210000}"/>
    <cellStyle name="20% - Accent6 10 4 2" xfId="14958" xr:uid="{00000000-0005-0000-0000-000034210000}"/>
    <cellStyle name="20% - Accent6 10 4 2 2" xfId="28507" xr:uid="{00000000-0005-0000-0000-000035210000}"/>
    <cellStyle name="20% - Accent6 10 4 3" xfId="19498" xr:uid="{00000000-0005-0000-0000-000036210000}"/>
    <cellStyle name="20% - Accent6 10 5" xfId="2175" xr:uid="{00000000-0005-0000-0000-000037210000}"/>
    <cellStyle name="20% - Accent6 10 5 2" xfId="17190" xr:uid="{00000000-0005-0000-0000-000038210000}"/>
    <cellStyle name="20% - Accent6 10 5 2 2" xfId="30549" xr:uid="{00000000-0005-0000-0000-000039210000}"/>
    <cellStyle name="20% - Accent6 10 5 3" xfId="19499" xr:uid="{00000000-0005-0000-0000-00003A210000}"/>
    <cellStyle name="20% - Accent6 10 6" xfId="9128" xr:uid="{00000000-0005-0000-0000-00003B210000}"/>
    <cellStyle name="20% - Accent6 10 6 2" xfId="23603" xr:uid="{00000000-0005-0000-0000-00003C210000}"/>
    <cellStyle name="20% - Accent6 10 7" xfId="19493" xr:uid="{00000000-0005-0000-0000-00003D210000}"/>
    <cellStyle name="20% - Accent6 11" xfId="2176" xr:uid="{00000000-0005-0000-0000-00003E210000}"/>
    <cellStyle name="20% - Accent6 11 2" xfId="2177" xr:uid="{00000000-0005-0000-0000-00003F210000}"/>
    <cellStyle name="20% - Accent6 11 2 2" xfId="10855" xr:uid="{00000000-0005-0000-0000-000040210000}"/>
    <cellStyle name="20% - Accent6 11 2 2 2" xfId="24797" xr:uid="{00000000-0005-0000-0000-000041210000}"/>
    <cellStyle name="20% - Accent6 11 2 3" xfId="19501" xr:uid="{00000000-0005-0000-0000-000042210000}"/>
    <cellStyle name="20% - Accent6 11 3" xfId="2178" xr:uid="{00000000-0005-0000-0000-000043210000}"/>
    <cellStyle name="20% - Accent6 11 3 2" xfId="12812" xr:uid="{00000000-0005-0000-0000-000044210000}"/>
    <cellStyle name="20% - Accent6 11 3 2 2" xfId="26524" xr:uid="{00000000-0005-0000-0000-000045210000}"/>
    <cellStyle name="20% - Accent6 11 3 3" xfId="19502" xr:uid="{00000000-0005-0000-0000-000046210000}"/>
    <cellStyle name="20% - Accent6 11 4" xfId="2179" xr:uid="{00000000-0005-0000-0000-000047210000}"/>
    <cellStyle name="20% - Accent6 11 4 2" xfId="14960" xr:uid="{00000000-0005-0000-0000-000048210000}"/>
    <cellStyle name="20% - Accent6 11 4 2 2" xfId="28509" xr:uid="{00000000-0005-0000-0000-000049210000}"/>
    <cellStyle name="20% - Accent6 11 4 3" xfId="19503" xr:uid="{00000000-0005-0000-0000-00004A210000}"/>
    <cellStyle name="20% - Accent6 11 5" xfId="2180" xr:uid="{00000000-0005-0000-0000-00004B210000}"/>
    <cellStyle name="20% - Accent6 11 5 2" xfId="17279" xr:uid="{00000000-0005-0000-0000-00004C210000}"/>
    <cellStyle name="20% - Accent6 11 5 2 2" xfId="30638" xr:uid="{00000000-0005-0000-0000-00004D210000}"/>
    <cellStyle name="20% - Accent6 11 5 3" xfId="19504" xr:uid="{00000000-0005-0000-0000-00004E210000}"/>
    <cellStyle name="20% - Accent6 11 6" xfId="9129" xr:uid="{00000000-0005-0000-0000-00004F210000}"/>
    <cellStyle name="20% - Accent6 11 6 2" xfId="23604" xr:uid="{00000000-0005-0000-0000-000050210000}"/>
    <cellStyle name="20% - Accent6 11 7" xfId="19500" xr:uid="{00000000-0005-0000-0000-000051210000}"/>
    <cellStyle name="20% - Accent6 12" xfId="2181" xr:uid="{00000000-0005-0000-0000-000052210000}"/>
    <cellStyle name="20% - Accent6 12 2" xfId="2182" xr:uid="{00000000-0005-0000-0000-000053210000}"/>
    <cellStyle name="20% - Accent6 12 2 2" xfId="2183" xr:uid="{00000000-0005-0000-0000-000054210000}"/>
    <cellStyle name="20% - Accent6 12 2 2 2" xfId="10857" xr:uid="{00000000-0005-0000-0000-000055210000}"/>
    <cellStyle name="20% - Accent6 12 2 2 2 2" xfId="24799" xr:uid="{00000000-0005-0000-0000-000056210000}"/>
    <cellStyle name="20% - Accent6 12 2 2 3" xfId="19507" xr:uid="{00000000-0005-0000-0000-000057210000}"/>
    <cellStyle name="20% - Accent6 12 2 3" xfId="2184" xr:uid="{00000000-0005-0000-0000-000058210000}"/>
    <cellStyle name="20% - Accent6 12 2 3 2" xfId="12744" xr:uid="{00000000-0005-0000-0000-000059210000}"/>
    <cellStyle name="20% - Accent6 12 2 3 2 2" xfId="26456" xr:uid="{00000000-0005-0000-0000-00005A210000}"/>
    <cellStyle name="20% - Accent6 12 2 3 3" xfId="19508" xr:uid="{00000000-0005-0000-0000-00005B210000}"/>
    <cellStyle name="20% - Accent6 12 2 4" xfId="2185" xr:uid="{00000000-0005-0000-0000-00005C210000}"/>
    <cellStyle name="20% - Accent6 12 2 4 2" xfId="14962" xr:uid="{00000000-0005-0000-0000-00005D210000}"/>
    <cellStyle name="20% - Accent6 12 2 4 2 2" xfId="28511" xr:uid="{00000000-0005-0000-0000-00005E210000}"/>
    <cellStyle name="20% - Accent6 12 2 4 3" xfId="19509" xr:uid="{00000000-0005-0000-0000-00005F210000}"/>
    <cellStyle name="20% - Accent6 12 2 5" xfId="9131" xr:uid="{00000000-0005-0000-0000-000060210000}"/>
    <cellStyle name="20% - Accent6 12 2 5 2" xfId="23606" xr:uid="{00000000-0005-0000-0000-000061210000}"/>
    <cellStyle name="20% - Accent6 12 2 6" xfId="19506" xr:uid="{00000000-0005-0000-0000-000062210000}"/>
    <cellStyle name="20% - Accent6 12 3" xfId="2186" xr:uid="{00000000-0005-0000-0000-000063210000}"/>
    <cellStyle name="20% - Accent6 12 3 2" xfId="10856" xr:uid="{00000000-0005-0000-0000-000064210000}"/>
    <cellStyle name="20% - Accent6 12 3 2 2" xfId="24798" xr:uid="{00000000-0005-0000-0000-000065210000}"/>
    <cellStyle name="20% - Accent6 12 3 3" xfId="19510" xr:uid="{00000000-0005-0000-0000-000066210000}"/>
    <cellStyle name="20% - Accent6 12 4" xfId="2187" xr:uid="{00000000-0005-0000-0000-000067210000}"/>
    <cellStyle name="20% - Accent6 12 4 2" xfId="12548" xr:uid="{00000000-0005-0000-0000-000068210000}"/>
    <cellStyle name="20% - Accent6 12 4 2 2" xfId="26260" xr:uid="{00000000-0005-0000-0000-000069210000}"/>
    <cellStyle name="20% - Accent6 12 4 3" xfId="19511" xr:uid="{00000000-0005-0000-0000-00006A210000}"/>
    <cellStyle name="20% - Accent6 12 5" xfId="2188" xr:uid="{00000000-0005-0000-0000-00006B210000}"/>
    <cellStyle name="20% - Accent6 12 5 2" xfId="14961" xr:uid="{00000000-0005-0000-0000-00006C210000}"/>
    <cellStyle name="20% - Accent6 12 5 2 2" xfId="28510" xr:uid="{00000000-0005-0000-0000-00006D210000}"/>
    <cellStyle name="20% - Accent6 12 5 3" xfId="19512" xr:uid="{00000000-0005-0000-0000-00006E210000}"/>
    <cellStyle name="20% - Accent6 12 6" xfId="2189" xr:uid="{00000000-0005-0000-0000-00006F210000}"/>
    <cellStyle name="20% - Accent6 12 6 2" xfId="16431" xr:uid="{00000000-0005-0000-0000-000070210000}"/>
    <cellStyle name="20% - Accent6 12 6 2 2" xfId="29838" xr:uid="{00000000-0005-0000-0000-000071210000}"/>
    <cellStyle name="20% - Accent6 12 6 3" xfId="19513" xr:uid="{00000000-0005-0000-0000-000072210000}"/>
    <cellStyle name="20% - Accent6 12 7" xfId="9130" xr:uid="{00000000-0005-0000-0000-000073210000}"/>
    <cellStyle name="20% - Accent6 12 7 2" xfId="23605" xr:uid="{00000000-0005-0000-0000-000074210000}"/>
    <cellStyle name="20% - Accent6 12 8" xfId="19505" xr:uid="{00000000-0005-0000-0000-000075210000}"/>
    <cellStyle name="20% - Accent6 13" xfId="2190" xr:uid="{00000000-0005-0000-0000-000076210000}"/>
    <cellStyle name="20% - Accent6 13 2" xfId="2191" xr:uid="{00000000-0005-0000-0000-000077210000}"/>
    <cellStyle name="20% - Accent6 13 2 2" xfId="10858" xr:uid="{00000000-0005-0000-0000-000078210000}"/>
    <cellStyle name="20% - Accent6 13 2 2 2" xfId="24800" xr:uid="{00000000-0005-0000-0000-000079210000}"/>
    <cellStyle name="20% - Accent6 13 2 3" xfId="19515" xr:uid="{00000000-0005-0000-0000-00007A210000}"/>
    <cellStyle name="20% - Accent6 13 3" xfId="2192" xr:uid="{00000000-0005-0000-0000-00007B210000}"/>
    <cellStyle name="20% - Accent6 13 3 2" xfId="12552" xr:uid="{00000000-0005-0000-0000-00007C210000}"/>
    <cellStyle name="20% - Accent6 13 3 2 2" xfId="26264" xr:uid="{00000000-0005-0000-0000-00007D210000}"/>
    <cellStyle name="20% - Accent6 13 3 3" xfId="19516" xr:uid="{00000000-0005-0000-0000-00007E210000}"/>
    <cellStyle name="20% - Accent6 13 4" xfId="2193" xr:uid="{00000000-0005-0000-0000-00007F210000}"/>
    <cellStyle name="20% - Accent6 13 4 2" xfId="14963" xr:uid="{00000000-0005-0000-0000-000080210000}"/>
    <cellStyle name="20% - Accent6 13 4 2 2" xfId="28512" xr:uid="{00000000-0005-0000-0000-000081210000}"/>
    <cellStyle name="20% - Accent6 13 4 3" xfId="19517" xr:uid="{00000000-0005-0000-0000-000082210000}"/>
    <cellStyle name="20% - Accent6 13 5" xfId="9132" xr:uid="{00000000-0005-0000-0000-000083210000}"/>
    <cellStyle name="20% - Accent6 13 5 2" xfId="23607" xr:uid="{00000000-0005-0000-0000-000084210000}"/>
    <cellStyle name="20% - Accent6 13 6" xfId="19514" xr:uid="{00000000-0005-0000-0000-000085210000}"/>
    <cellStyle name="20% - Accent6 14" xfId="2194" xr:uid="{00000000-0005-0000-0000-000086210000}"/>
    <cellStyle name="20% - Accent6 14 2" xfId="2195" xr:uid="{00000000-0005-0000-0000-000087210000}"/>
    <cellStyle name="20% - Accent6 14 2 2" xfId="10859" xr:uid="{00000000-0005-0000-0000-000088210000}"/>
    <cellStyle name="20% - Accent6 14 2 2 2" xfId="24801" xr:uid="{00000000-0005-0000-0000-000089210000}"/>
    <cellStyle name="20% - Accent6 14 2 3" xfId="19519" xr:uid="{00000000-0005-0000-0000-00008A210000}"/>
    <cellStyle name="20% - Accent6 14 3" xfId="2196" xr:uid="{00000000-0005-0000-0000-00008B210000}"/>
    <cellStyle name="20% - Accent6 14 3 2" xfId="12608" xr:uid="{00000000-0005-0000-0000-00008C210000}"/>
    <cellStyle name="20% - Accent6 14 3 2 2" xfId="26320" xr:uid="{00000000-0005-0000-0000-00008D210000}"/>
    <cellStyle name="20% - Accent6 14 3 3" xfId="19520" xr:uid="{00000000-0005-0000-0000-00008E210000}"/>
    <cellStyle name="20% - Accent6 14 4" xfId="2197" xr:uid="{00000000-0005-0000-0000-00008F210000}"/>
    <cellStyle name="20% - Accent6 14 4 2" xfId="14964" xr:uid="{00000000-0005-0000-0000-000090210000}"/>
    <cellStyle name="20% - Accent6 14 4 2 2" xfId="28513" xr:uid="{00000000-0005-0000-0000-000091210000}"/>
    <cellStyle name="20% - Accent6 14 4 3" xfId="19521" xr:uid="{00000000-0005-0000-0000-000092210000}"/>
    <cellStyle name="20% - Accent6 14 5" xfId="9133" xr:uid="{00000000-0005-0000-0000-000093210000}"/>
    <cellStyle name="20% - Accent6 14 5 2" xfId="23608" xr:uid="{00000000-0005-0000-0000-000094210000}"/>
    <cellStyle name="20% - Accent6 14 6" xfId="19518" xr:uid="{00000000-0005-0000-0000-000095210000}"/>
    <cellStyle name="20% - Accent6 15" xfId="2198" xr:uid="{00000000-0005-0000-0000-000096210000}"/>
    <cellStyle name="20% - Accent6 15 2" xfId="2199" xr:uid="{00000000-0005-0000-0000-000097210000}"/>
    <cellStyle name="20% - Accent6 15 2 2" xfId="10860" xr:uid="{00000000-0005-0000-0000-000098210000}"/>
    <cellStyle name="20% - Accent6 15 2 2 2" xfId="24802" xr:uid="{00000000-0005-0000-0000-000099210000}"/>
    <cellStyle name="20% - Accent6 15 2 3" xfId="19523" xr:uid="{00000000-0005-0000-0000-00009A210000}"/>
    <cellStyle name="20% - Accent6 15 3" xfId="2200" xr:uid="{00000000-0005-0000-0000-00009B210000}"/>
    <cellStyle name="20% - Accent6 15 3 2" xfId="12669" xr:uid="{00000000-0005-0000-0000-00009C210000}"/>
    <cellStyle name="20% - Accent6 15 3 2 2" xfId="26381" xr:uid="{00000000-0005-0000-0000-00009D210000}"/>
    <cellStyle name="20% - Accent6 15 3 3" xfId="19524" xr:uid="{00000000-0005-0000-0000-00009E210000}"/>
    <cellStyle name="20% - Accent6 15 4" xfId="2201" xr:uid="{00000000-0005-0000-0000-00009F210000}"/>
    <cellStyle name="20% - Accent6 15 4 2" xfId="14965" xr:uid="{00000000-0005-0000-0000-0000A0210000}"/>
    <cellStyle name="20% - Accent6 15 4 2 2" xfId="28514" xr:uid="{00000000-0005-0000-0000-0000A1210000}"/>
    <cellStyle name="20% - Accent6 15 4 3" xfId="19525" xr:uid="{00000000-0005-0000-0000-0000A2210000}"/>
    <cellStyle name="20% - Accent6 15 5" xfId="9134" xr:uid="{00000000-0005-0000-0000-0000A3210000}"/>
    <cellStyle name="20% - Accent6 15 5 2" xfId="23609" xr:uid="{00000000-0005-0000-0000-0000A4210000}"/>
    <cellStyle name="20% - Accent6 15 6" xfId="19522" xr:uid="{00000000-0005-0000-0000-0000A5210000}"/>
    <cellStyle name="20% - Accent6 16" xfId="2202" xr:uid="{00000000-0005-0000-0000-0000A6210000}"/>
    <cellStyle name="20% - Accent6 16 2" xfId="2203" xr:uid="{00000000-0005-0000-0000-0000A7210000}"/>
    <cellStyle name="20% - Accent6 16 2 2" xfId="10861" xr:uid="{00000000-0005-0000-0000-0000A8210000}"/>
    <cellStyle name="20% - Accent6 16 2 2 2" xfId="24803" xr:uid="{00000000-0005-0000-0000-0000A9210000}"/>
    <cellStyle name="20% - Accent6 16 2 3" xfId="19527" xr:uid="{00000000-0005-0000-0000-0000AA210000}"/>
    <cellStyle name="20% - Accent6 16 3" xfId="2204" xr:uid="{00000000-0005-0000-0000-0000AB210000}"/>
    <cellStyle name="20% - Accent6 16 3 2" xfId="12461" xr:uid="{00000000-0005-0000-0000-0000AC210000}"/>
    <cellStyle name="20% - Accent6 16 3 2 2" xfId="26173" xr:uid="{00000000-0005-0000-0000-0000AD210000}"/>
    <cellStyle name="20% - Accent6 16 3 3" xfId="19528" xr:uid="{00000000-0005-0000-0000-0000AE210000}"/>
    <cellStyle name="20% - Accent6 16 4" xfId="2205" xr:uid="{00000000-0005-0000-0000-0000AF210000}"/>
    <cellStyle name="20% - Accent6 16 4 2" xfId="14966" xr:uid="{00000000-0005-0000-0000-0000B0210000}"/>
    <cellStyle name="20% - Accent6 16 4 2 2" xfId="28515" xr:uid="{00000000-0005-0000-0000-0000B1210000}"/>
    <cellStyle name="20% - Accent6 16 4 3" xfId="19529" xr:uid="{00000000-0005-0000-0000-0000B2210000}"/>
    <cellStyle name="20% - Accent6 16 5" xfId="9135" xr:uid="{00000000-0005-0000-0000-0000B3210000}"/>
    <cellStyle name="20% - Accent6 16 5 2" xfId="23610" xr:uid="{00000000-0005-0000-0000-0000B4210000}"/>
    <cellStyle name="20% - Accent6 16 6" xfId="19526" xr:uid="{00000000-0005-0000-0000-0000B5210000}"/>
    <cellStyle name="20% - Accent6 17" xfId="2206" xr:uid="{00000000-0005-0000-0000-0000B6210000}"/>
    <cellStyle name="20% - Accent6 17 2" xfId="2207" xr:uid="{00000000-0005-0000-0000-0000B7210000}"/>
    <cellStyle name="20% - Accent6 17 2 2" xfId="10862" xr:uid="{00000000-0005-0000-0000-0000B8210000}"/>
    <cellStyle name="20% - Accent6 17 2 2 2" xfId="24804" xr:uid="{00000000-0005-0000-0000-0000B9210000}"/>
    <cellStyle name="20% - Accent6 17 2 3" xfId="19531" xr:uid="{00000000-0005-0000-0000-0000BA210000}"/>
    <cellStyle name="20% - Accent6 17 3" xfId="2208" xr:uid="{00000000-0005-0000-0000-0000BB210000}"/>
    <cellStyle name="20% - Accent6 17 3 2" xfId="11781" xr:uid="{00000000-0005-0000-0000-0000BC210000}"/>
    <cellStyle name="20% - Accent6 17 3 2 2" xfId="25496" xr:uid="{00000000-0005-0000-0000-0000BD210000}"/>
    <cellStyle name="20% - Accent6 17 3 3" xfId="19532" xr:uid="{00000000-0005-0000-0000-0000BE210000}"/>
    <cellStyle name="20% - Accent6 17 4" xfId="2209" xr:uid="{00000000-0005-0000-0000-0000BF210000}"/>
    <cellStyle name="20% - Accent6 17 4 2" xfId="14967" xr:uid="{00000000-0005-0000-0000-0000C0210000}"/>
    <cellStyle name="20% - Accent6 17 4 2 2" xfId="28516" xr:uid="{00000000-0005-0000-0000-0000C1210000}"/>
    <cellStyle name="20% - Accent6 17 4 3" xfId="19533" xr:uid="{00000000-0005-0000-0000-0000C2210000}"/>
    <cellStyle name="20% - Accent6 17 5" xfId="9136" xr:uid="{00000000-0005-0000-0000-0000C3210000}"/>
    <cellStyle name="20% - Accent6 17 5 2" xfId="23611" xr:uid="{00000000-0005-0000-0000-0000C4210000}"/>
    <cellStyle name="20% - Accent6 17 6" xfId="19530" xr:uid="{00000000-0005-0000-0000-0000C5210000}"/>
    <cellStyle name="20% - Accent6 18" xfId="2210" xr:uid="{00000000-0005-0000-0000-0000C6210000}"/>
    <cellStyle name="20% - Accent6 18 2" xfId="2211" xr:uid="{00000000-0005-0000-0000-0000C7210000}"/>
    <cellStyle name="20% - Accent6 18 2 2" xfId="10863" xr:uid="{00000000-0005-0000-0000-0000C8210000}"/>
    <cellStyle name="20% - Accent6 18 2 2 2" xfId="24805" xr:uid="{00000000-0005-0000-0000-0000C9210000}"/>
    <cellStyle name="20% - Accent6 18 2 3" xfId="19535" xr:uid="{00000000-0005-0000-0000-0000CA210000}"/>
    <cellStyle name="20% - Accent6 18 3" xfId="2212" xr:uid="{00000000-0005-0000-0000-0000CB210000}"/>
    <cellStyle name="20% - Accent6 18 3 2" xfId="12729" xr:uid="{00000000-0005-0000-0000-0000CC210000}"/>
    <cellStyle name="20% - Accent6 18 3 2 2" xfId="26441" xr:uid="{00000000-0005-0000-0000-0000CD210000}"/>
    <cellStyle name="20% - Accent6 18 3 3" xfId="19536" xr:uid="{00000000-0005-0000-0000-0000CE210000}"/>
    <cellStyle name="20% - Accent6 18 4" xfId="2213" xr:uid="{00000000-0005-0000-0000-0000CF210000}"/>
    <cellStyle name="20% - Accent6 18 4 2" xfId="14968" xr:uid="{00000000-0005-0000-0000-0000D0210000}"/>
    <cellStyle name="20% - Accent6 18 4 2 2" xfId="28517" xr:uid="{00000000-0005-0000-0000-0000D1210000}"/>
    <cellStyle name="20% - Accent6 18 4 3" xfId="19537" xr:uid="{00000000-0005-0000-0000-0000D2210000}"/>
    <cellStyle name="20% - Accent6 18 5" xfId="9137" xr:uid="{00000000-0005-0000-0000-0000D3210000}"/>
    <cellStyle name="20% - Accent6 18 5 2" xfId="23612" xr:uid="{00000000-0005-0000-0000-0000D4210000}"/>
    <cellStyle name="20% - Accent6 18 6" xfId="19534" xr:uid="{00000000-0005-0000-0000-0000D5210000}"/>
    <cellStyle name="20% - Accent6 19" xfId="2214" xr:uid="{00000000-0005-0000-0000-0000D6210000}"/>
    <cellStyle name="20% - Accent6 19 2" xfId="2215" xr:uid="{00000000-0005-0000-0000-0000D7210000}"/>
    <cellStyle name="20% - Accent6 19 2 2" xfId="11715" xr:uid="{00000000-0005-0000-0000-0000D8210000}"/>
    <cellStyle name="20% - Accent6 19 2 2 2" xfId="25435" xr:uid="{00000000-0005-0000-0000-0000D9210000}"/>
    <cellStyle name="20% - Accent6 19 2 3" xfId="19539" xr:uid="{00000000-0005-0000-0000-0000DA210000}"/>
    <cellStyle name="20% - Accent6 19 3" xfId="2216" xr:uid="{00000000-0005-0000-0000-0000DB210000}"/>
    <cellStyle name="20% - Accent6 19 3 2" xfId="12650" xr:uid="{00000000-0005-0000-0000-0000DC210000}"/>
    <cellStyle name="20% - Accent6 19 3 2 2" xfId="26362" xr:uid="{00000000-0005-0000-0000-0000DD210000}"/>
    <cellStyle name="20% - Accent6 19 3 3" xfId="19540" xr:uid="{00000000-0005-0000-0000-0000DE210000}"/>
    <cellStyle name="20% - Accent6 19 4" xfId="2217" xr:uid="{00000000-0005-0000-0000-0000DF210000}"/>
    <cellStyle name="20% - Accent6 19 4 2" xfId="14969" xr:uid="{00000000-0005-0000-0000-0000E0210000}"/>
    <cellStyle name="20% - Accent6 19 4 2 2" xfId="28518" xr:uid="{00000000-0005-0000-0000-0000E1210000}"/>
    <cellStyle name="20% - Accent6 19 4 3" xfId="19541" xr:uid="{00000000-0005-0000-0000-0000E2210000}"/>
    <cellStyle name="20% - Accent6 19 5" xfId="10467" xr:uid="{00000000-0005-0000-0000-0000E3210000}"/>
    <cellStyle name="20% - Accent6 19 5 2" xfId="24426" xr:uid="{00000000-0005-0000-0000-0000E4210000}"/>
    <cellStyle name="20% - Accent6 19 6" xfId="19538" xr:uid="{00000000-0005-0000-0000-0000E5210000}"/>
    <cellStyle name="20% - Accent6 2" xfId="2218" xr:uid="{00000000-0005-0000-0000-0000E6210000}"/>
    <cellStyle name="20% - Accent6 2 10" xfId="2219" xr:uid="{00000000-0005-0000-0000-0000E7210000}"/>
    <cellStyle name="20% - Accent6 2 10 2" xfId="2220" xr:uid="{00000000-0005-0000-0000-0000E8210000}"/>
    <cellStyle name="20% - Accent6 2 10 2 2" xfId="14971" xr:uid="{00000000-0005-0000-0000-0000E9210000}"/>
    <cellStyle name="20% - Accent6 2 10 2 2 2" xfId="28520" xr:uid="{00000000-0005-0000-0000-0000EA210000}"/>
    <cellStyle name="20% - Accent6 2 10 2 3" xfId="19544" xr:uid="{00000000-0005-0000-0000-0000EB210000}"/>
    <cellStyle name="20% - Accent6 2 10 3" xfId="11848" xr:uid="{00000000-0005-0000-0000-0000EC210000}"/>
    <cellStyle name="20% - Accent6 2 10 3 2" xfId="25563" xr:uid="{00000000-0005-0000-0000-0000ED210000}"/>
    <cellStyle name="20% - Accent6 2 10 4" xfId="19543" xr:uid="{00000000-0005-0000-0000-0000EE210000}"/>
    <cellStyle name="20% - Accent6 2 11" xfId="2221" xr:uid="{00000000-0005-0000-0000-0000EF210000}"/>
    <cellStyle name="20% - Accent6 2 11 2" xfId="11866" xr:uid="{00000000-0005-0000-0000-0000F0210000}"/>
    <cellStyle name="20% - Accent6 2 11 2 2" xfId="25581" xr:uid="{00000000-0005-0000-0000-0000F1210000}"/>
    <cellStyle name="20% - Accent6 2 11 3" xfId="19545" xr:uid="{00000000-0005-0000-0000-0000F2210000}"/>
    <cellStyle name="20% - Accent6 2 12" xfId="2222" xr:uid="{00000000-0005-0000-0000-0000F3210000}"/>
    <cellStyle name="20% - Accent6 2 12 2" xfId="13445" xr:uid="{00000000-0005-0000-0000-0000F4210000}"/>
    <cellStyle name="20% - Accent6 2 12 2 2" xfId="26994" xr:uid="{00000000-0005-0000-0000-0000F5210000}"/>
    <cellStyle name="20% - Accent6 2 12 3" xfId="19546" xr:uid="{00000000-0005-0000-0000-0000F6210000}"/>
    <cellStyle name="20% - Accent6 2 13" xfId="2223" xr:uid="{00000000-0005-0000-0000-0000F7210000}"/>
    <cellStyle name="20% - Accent6 2 13 2" xfId="14026" xr:uid="{00000000-0005-0000-0000-0000F8210000}"/>
    <cellStyle name="20% - Accent6 2 13 2 2" xfId="27575" xr:uid="{00000000-0005-0000-0000-0000F9210000}"/>
    <cellStyle name="20% - Accent6 2 13 3" xfId="19547" xr:uid="{00000000-0005-0000-0000-0000FA210000}"/>
    <cellStyle name="20% - Accent6 2 14" xfId="2224" xr:uid="{00000000-0005-0000-0000-0000FB210000}"/>
    <cellStyle name="20% - Accent6 2 14 2" xfId="14970" xr:uid="{00000000-0005-0000-0000-0000FC210000}"/>
    <cellStyle name="20% - Accent6 2 14 2 2" xfId="28519" xr:uid="{00000000-0005-0000-0000-0000FD210000}"/>
    <cellStyle name="20% - Accent6 2 14 3" xfId="19548" xr:uid="{00000000-0005-0000-0000-0000FE210000}"/>
    <cellStyle name="20% - Accent6 2 15" xfId="2225" xr:uid="{00000000-0005-0000-0000-0000FF210000}"/>
    <cellStyle name="20% - Accent6 2 15 2" xfId="15912" xr:uid="{00000000-0005-0000-0000-000000220000}"/>
    <cellStyle name="20% - Accent6 2 15 2 2" xfId="29319" xr:uid="{00000000-0005-0000-0000-000001220000}"/>
    <cellStyle name="20% - Accent6 2 15 3" xfId="19549" xr:uid="{00000000-0005-0000-0000-000002220000}"/>
    <cellStyle name="20% - Accent6 2 16" xfId="9138" xr:uid="{00000000-0005-0000-0000-000003220000}"/>
    <cellStyle name="20% - Accent6 2 16 2" xfId="23613" xr:uid="{00000000-0005-0000-0000-000004220000}"/>
    <cellStyle name="20% - Accent6 2 17" xfId="19542" xr:uid="{00000000-0005-0000-0000-000005220000}"/>
    <cellStyle name="20% - Accent6 2 18" xfId="33082" xr:uid="{00000000-0005-0000-0000-000006220000}"/>
    <cellStyle name="20% - Accent6 2 2" xfId="2226" xr:uid="{00000000-0005-0000-0000-000007220000}"/>
    <cellStyle name="20% - Accent6 2 2 10" xfId="2227" xr:uid="{00000000-0005-0000-0000-000008220000}"/>
    <cellStyle name="20% - Accent6 2 2 10 2" xfId="14972" xr:uid="{00000000-0005-0000-0000-000009220000}"/>
    <cellStyle name="20% - Accent6 2 2 10 2 2" xfId="28521" xr:uid="{00000000-0005-0000-0000-00000A220000}"/>
    <cellStyle name="20% - Accent6 2 2 10 3" xfId="19551" xr:uid="{00000000-0005-0000-0000-00000B220000}"/>
    <cellStyle name="20% - Accent6 2 2 11" xfId="2228" xr:uid="{00000000-0005-0000-0000-00000C220000}"/>
    <cellStyle name="20% - Accent6 2 2 11 2" xfId="15958" xr:uid="{00000000-0005-0000-0000-00000D220000}"/>
    <cellStyle name="20% - Accent6 2 2 11 2 2" xfId="29365" xr:uid="{00000000-0005-0000-0000-00000E220000}"/>
    <cellStyle name="20% - Accent6 2 2 11 3" xfId="19552" xr:uid="{00000000-0005-0000-0000-00000F220000}"/>
    <cellStyle name="20% - Accent6 2 2 12" xfId="9139" xr:uid="{00000000-0005-0000-0000-000010220000}"/>
    <cellStyle name="20% - Accent6 2 2 12 2" xfId="23614" xr:uid="{00000000-0005-0000-0000-000011220000}"/>
    <cellStyle name="20% - Accent6 2 2 13" xfId="19550" xr:uid="{00000000-0005-0000-0000-000012220000}"/>
    <cellStyle name="20% - Accent6 2 2 2" xfId="2229" xr:uid="{00000000-0005-0000-0000-000013220000}"/>
    <cellStyle name="20% - Accent6 2 2 2 10" xfId="2230" xr:uid="{00000000-0005-0000-0000-000014220000}"/>
    <cellStyle name="20% - Accent6 2 2 2 10 2" xfId="16101" xr:uid="{00000000-0005-0000-0000-000015220000}"/>
    <cellStyle name="20% - Accent6 2 2 2 10 2 2" xfId="29508" xr:uid="{00000000-0005-0000-0000-000016220000}"/>
    <cellStyle name="20% - Accent6 2 2 2 10 3" xfId="19554" xr:uid="{00000000-0005-0000-0000-000017220000}"/>
    <cellStyle name="20% - Accent6 2 2 2 11" xfId="9140" xr:uid="{00000000-0005-0000-0000-000018220000}"/>
    <cellStyle name="20% - Accent6 2 2 2 11 2" xfId="23615" xr:uid="{00000000-0005-0000-0000-000019220000}"/>
    <cellStyle name="20% - Accent6 2 2 2 12" xfId="19553" xr:uid="{00000000-0005-0000-0000-00001A220000}"/>
    <cellStyle name="20% - Accent6 2 2 2 2" xfId="2231" xr:uid="{00000000-0005-0000-0000-00001B220000}"/>
    <cellStyle name="20% - Accent6 2 2 2 2 10" xfId="9141" xr:uid="{00000000-0005-0000-0000-00001C220000}"/>
    <cellStyle name="20% - Accent6 2 2 2 2 10 2" xfId="23616" xr:uid="{00000000-0005-0000-0000-00001D220000}"/>
    <cellStyle name="20% - Accent6 2 2 2 2 11" xfId="19555" xr:uid="{00000000-0005-0000-0000-00001E220000}"/>
    <cellStyle name="20% - Accent6 2 2 2 2 2" xfId="2232" xr:uid="{00000000-0005-0000-0000-00001F220000}"/>
    <cellStyle name="20% - Accent6 2 2 2 2 2 2" xfId="2233" xr:uid="{00000000-0005-0000-0000-000020220000}"/>
    <cellStyle name="20% - Accent6 2 2 2 2 2 2 2" xfId="10868" xr:uid="{00000000-0005-0000-0000-000021220000}"/>
    <cellStyle name="20% - Accent6 2 2 2 2 2 2 2 2" xfId="24810" xr:uid="{00000000-0005-0000-0000-000022220000}"/>
    <cellStyle name="20% - Accent6 2 2 2 2 2 2 3" xfId="19557" xr:uid="{00000000-0005-0000-0000-000023220000}"/>
    <cellStyle name="20% - Accent6 2 2 2 2 2 3" xfId="2234" xr:uid="{00000000-0005-0000-0000-000024220000}"/>
    <cellStyle name="20% - Accent6 2 2 2 2 2 3 2" xfId="12674" xr:uid="{00000000-0005-0000-0000-000025220000}"/>
    <cellStyle name="20% - Accent6 2 2 2 2 2 3 2 2" xfId="26386" xr:uid="{00000000-0005-0000-0000-000026220000}"/>
    <cellStyle name="20% - Accent6 2 2 2 2 2 3 3" xfId="19558" xr:uid="{00000000-0005-0000-0000-000027220000}"/>
    <cellStyle name="20% - Accent6 2 2 2 2 2 4" xfId="2235" xr:uid="{00000000-0005-0000-0000-000028220000}"/>
    <cellStyle name="20% - Accent6 2 2 2 2 2 4 2" xfId="14975" xr:uid="{00000000-0005-0000-0000-000029220000}"/>
    <cellStyle name="20% - Accent6 2 2 2 2 2 4 2 2" xfId="28524" xr:uid="{00000000-0005-0000-0000-00002A220000}"/>
    <cellStyle name="20% - Accent6 2 2 2 2 2 4 3" xfId="19559" xr:uid="{00000000-0005-0000-0000-00002B220000}"/>
    <cellStyle name="20% - Accent6 2 2 2 2 2 5" xfId="2236" xr:uid="{00000000-0005-0000-0000-00002C220000}"/>
    <cellStyle name="20% - Accent6 2 2 2 2 2 5 2" xfId="16971" xr:uid="{00000000-0005-0000-0000-00002D220000}"/>
    <cellStyle name="20% - Accent6 2 2 2 2 2 5 2 2" xfId="30378" xr:uid="{00000000-0005-0000-0000-00002E220000}"/>
    <cellStyle name="20% - Accent6 2 2 2 2 2 5 3" xfId="19560" xr:uid="{00000000-0005-0000-0000-00002F220000}"/>
    <cellStyle name="20% - Accent6 2 2 2 2 2 6" xfId="9142" xr:uid="{00000000-0005-0000-0000-000030220000}"/>
    <cellStyle name="20% - Accent6 2 2 2 2 2 6 2" xfId="23617" xr:uid="{00000000-0005-0000-0000-000031220000}"/>
    <cellStyle name="20% - Accent6 2 2 2 2 2 7" xfId="19556" xr:uid="{00000000-0005-0000-0000-000032220000}"/>
    <cellStyle name="20% - Accent6 2 2 2 2 3" xfId="2237" xr:uid="{00000000-0005-0000-0000-000033220000}"/>
    <cellStyle name="20% - Accent6 2 2 2 2 3 2" xfId="2238" xr:uid="{00000000-0005-0000-0000-000034220000}"/>
    <cellStyle name="20% - Accent6 2 2 2 2 3 2 2" xfId="14976" xr:uid="{00000000-0005-0000-0000-000035220000}"/>
    <cellStyle name="20% - Accent6 2 2 2 2 3 2 2 2" xfId="28525" xr:uid="{00000000-0005-0000-0000-000036220000}"/>
    <cellStyle name="20% - Accent6 2 2 2 2 3 2 3" xfId="19562" xr:uid="{00000000-0005-0000-0000-000037220000}"/>
    <cellStyle name="20% - Accent6 2 2 2 2 3 3" xfId="10867" xr:uid="{00000000-0005-0000-0000-000038220000}"/>
    <cellStyle name="20% - Accent6 2 2 2 2 3 3 2" xfId="24809" xr:uid="{00000000-0005-0000-0000-000039220000}"/>
    <cellStyle name="20% - Accent6 2 2 2 2 3 4" xfId="19561" xr:uid="{00000000-0005-0000-0000-00003A220000}"/>
    <cellStyle name="20% - Accent6 2 2 2 2 4" xfId="2239" xr:uid="{00000000-0005-0000-0000-00003B220000}"/>
    <cellStyle name="20% - Accent6 2 2 2 2 4 2" xfId="12359" xr:uid="{00000000-0005-0000-0000-00003C220000}"/>
    <cellStyle name="20% - Accent6 2 2 2 2 4 2 2" xfId="26071" xr:uid="{00000000-0005-0000-0000-00003D220000}"/>
    <cellStyle name="20% - Accent6 2 2 2 2 4 3" xfId="19563" xr:uid="{00000000-0005-0000-0000-00003E220000}"/>
    <cellStyle name="20% - Accent6 2 2 2 2 5" xfId="2240" xr:uid="{00000000-0005-0000-0000-00003F220000}"/>
    <cellStyle name="20% - Accent6 2 2 2 2 5 2" xfId="11759" xr:uid="{00000000-0005-0000-0000-000040220000}"/>
    <cellStyle name="20% - Accent6 2 2 2 2 5 2 2" xfId="25474" xr:uid="{00000000-0005-0000-0000-000041220000}"/>
    <cellStyle name="20% - Accent6 2 2 2 2 5 3" xfId="19564" xr:uid="{00000000-0005-0000-0000-000042220000}"/>
    <cellStyle name="20% - Accent6 2 2 2 2 6" xfId="2241" xr:uid="{00000000-0005-0000-0000-000043220000}"/>
    <cellStyle name="20% - Accent6 2 2 2 2 6 2" xfId="13923" xr:uid="{00000000-0005-0000-0000-000044220000}"/>
    <cellStyle name="20% - Accent6 2 2 2 2 6 2 2" xfId="27472" xr:uid="{00000000-0005-0000-0000-000045220000}"/>
    <cellStyle name="20% - Accent6 2 2 2 2 6 3" xfId="19565" xr:uid="{00000000-0005-0000-0000-000046220000}"/>
    <cellStyle name="20% - Accent6 2 2 2 2 7" xfId="2242" xr:uid="{00000000-0005-0000-0000-000047220000}"/>
    <cellStyle name="20% - Accent6 2 2 2 2 7 2" xfId="14504" xr:uid="{00000000-0005-0000-0000-000048220000}"/>
    <cellStyle name="20% - Accent6 2 2 2 2 7 2 2" xfId="28053" xr:uid="{00000000-0005-0000-0000-000049220000}"/>
    <cellStyle name="20% - Accent6 2 2 2 2 7 3" xfId="19566" xr:uid="{00000000-0005-0000-0000-00004A220000}"/>
    <cellStyle name="20% - Accent6 2 2 2 2 8" xfId="2243" xr:uid="{00000000-0005-0000-0000-00004B220000}"/>
    <cellStyle name="20% - Accent6 2 2 2 2 8 2" xfId="14974" xr:uid="{00000000-0005-0000-0000-00004C220000}"/>
    <cellStyle name="20% - Accent6 2 2 2 2 8 2 2" xfId="28523" xr:uid="{00000000-0005-0000-0000-00004D220000}"/>
    <cellStyle name="20% - Accent6 2 2 2 2 8 3" xfId="19567" xr:uid="{00000000-0005-0000-0000-00004E220000}"/>
    <cellStyle name="20% - Accent6 2 2 2 2 9" xfId="2244" xr:uid="{00000000-0005-0000-0000-00004F220000}"/>
    <cellStyle name="20% - Accent6 2 2 2 2 9 2" xfId="16390" xr:uid="{00000000-0005-0000-0000-000050220000}"/>
    <cellStyle name="20% - Accent6 2 2 2 2 9 2 2" xfId="29797" xr:uid="{00000000-0005-0000-0000-000051220000}"/>
    <cellStyle name="20% - Accent6 2 2 2 2 9 3" xfId="19568" xr:uid="{00000000-0005-0000-0000-000052220000}"/>
    <cellStyle name="20% - Accent6 2 2 2 3" xfId="2245" xr:uid="{00000000-0005-0000-0000-000053220000}"/>
    <cellStyle name="20% - Accent6 2 2 2 3 2" xfId="2246" xr:uid="{00000000-0005-0000-0000-000054220000}"/>
    <cellStyle name="20% - Accent6 2 2 2 3 2 2" xfId="10869" xr:uid="{00000000-0005-0000-0000-000055220000}"/>
    <cellStyle name="20% - Accent6 2 2 2 3 2 2 2" xfId="24811" xr:uid="{00000000-0005-0000-0000-000056220000}"/>
    <cellStyle name="20% - Accent6 2 2 2 3 2 3" xfId="19570" xr:uid="{00000000-0005-0000-0000-000057220000}"/>
    <cellStyle name="20% - Accent6 2 2 2 3 3" xfId="2247" xr:uid="{00000000-0005-0000-0000-000058220000}"/>
    <cellStyle name="20% - Accent6 2 2 2 3 3 2" xfId="12448" xr:uid="{00000000-0005-0000-0000-000059220000}"/>
    <cellStyle name="20% - Accent6 2 2 2 3 3 2 2" xfId="26160" xr:uid="{00000000-0005-0000-0000-00005A220000}"/>
    <cellStyle name="20% - Accent6 2 2 2 3 3 3" xfId="19571" xr:uid="{00000000-0005-0000-0000-00005B220000}"/>
    <cellStyle name="20% - Accent6 2 2 2 3 4" xfId="2248" xr:uid="{00000000-0005-0000-0000-00005C220000}"/>
    <cellStyle name="20% - Accent6 2 2 2 3 4 2" xfId="14977" xr:uid="{00000000-0005-0000-0000-00005D220000}"/>
    <cellStyle name="20% - Accent6 2 2 2 3 4 2 2" xfId="28526" xr:uid="{00000000-0005-0000-0000-00005E220000}"/>
    <cellStyle name="20% - Accent6 2 2 2 3 4 3" xfId="19572" xr:uid="{00000000-0005-0000-0000-00005F220000}"/>
    <cellStyle name="20% - Accent6 2 2 2 3 5" xfId="2249" xr:uid="{00000000-0005-0000-0000-000060220000}"/>
    <cellStyle name="20% - Accent6 2 2 2 3 5 2" xfId="16682" xr:uid="{00000000-0005-0000-0000-000061220000}"/>
    <cellStyle name="20% - Accent6 2 2 2 3 5 2 2" xfId="30089" xr:uid="{00000000-0005-0000-0000-000062220000}"/>
    <cellStyle name="20% - Accent6 2 2 2 3 5 3" xfId="19573" xr:uid="{00000000-0005-0000-0000-000063220000}"/>
    <cellStyle name="20% - Accent6 2 2 2 3 6" xfId="9143" xr:uid="{00000000-0005-0000-0000-000064220000}"/>
    <cellStyle name="20% - Accent6 2 2 2 3 6 2" xfId="23618" xr:uid="{00000000-0005-0000-0000-000065220000}"/>
    <cellStyle name="20% - Accent6 2 2 2 3 7" xfId="19569" xr:uid="{00000000-0005-0000-0000-000066220000}"/>
    <cellStyle name="20% - Accent6 2 2 2 4" xfId="2250" xr:uid="{00000000-0005-0000-0000-000067220000}"/>
    <cellStyle name="20% - Accent6 2 2 2 4 2" xfId="2251" xr:uid="{00000000-0005-0000-0000-000068220000}"/>
    <cellStyle name="20% - Accent6 2 2 2 4 2 2" xfId="14978" xr:uid="{00000000-0005-0000-0000-000069220000}"/>
    <cellStyle name="20% - Accent6 2 2 2 4 2 2 2" xfId="28527" xr:uid="{00000000-0005-0000-0000-00006A220000}"/>
    <cellStyle name="20% - Accent6 2 2 2 4 2 3" xfId="19575" xr:uid="{00000000-0005-0000-0000-00006B220000}"/>
    <cellStyle name="20% - Accent6 2 2 2 4 3" xfId="10866" xr:uid="{00000000-0005-0000-0000-00006C220000}"/>
    <cellStyle name="20% - Accent6 2 2 2 4 3 2" xfId="24808" xr:uid="{00000000-0005-0000-0000-00006D220000}"/>
    <cellStyle name="20% - Accent6 2 2 2 4 4" xfId="19574" xr:uid="{00000000-0005-0000-0000-00006E220000}"/>
    <cellStyle name="20% - Accent6 2 2 2 5" xfId="2252" xr:uid="{00000000-0005-0000-0000-00006F220000}"/>
    <cellStyle name="20% - Accent6 2 2 2 5 2" xfId="12059" xr:uid="{00000000-0005-0000-0000-000070220000}"/>
    <cellStyle name="20% - Accent6 2 2 2 5 2 2" xfId="25774" xr:uid="{00000000-0005-0000-0000-000071220000}"/>
    <cellStyle name="20% - Accent6 2 2 2 5 3" xfId="19576" xr:uid="{00000000-0005-0000-0000-000072220000}"/>
    <cellStyle name="20% - Accent6 2 2 2 6" xfId="2253" xr:uid="{00000000-0005-0000-0000-000073220000}"/>
    <cellStyle name="20% - Accent6 2 2 2 6 2" xfId="12451" xr:uid="{00000000-0005-0000-0000-000074220000}"/>
    <cellStyle name="20% - Accent6 2 2 2 6 2 2" xfId="26163" xr:uid="{00000000-0005-0000-0000-000075220000}"/>
    <cellStyle name="20% - Accent6 2 2 2 6 3" xfId="19577" xr:uid="{00000000-0005-0000-0000-000076220000}"/>
    <cellStyle name="20% - Accent6 2 2 2 7" xfId="2254" xr:uid="{00000000-0005-0000-0000-000077220000}"/>
    <cellStyle name="20% - Accent6 2 2 2 7 2" xfId="13634" xr:uid="{00000000-0005-0000-0000-000078220000}"/>
    <cellStyle name="20% - Accent6 2 2 2 7 2 2" xfId="27183" xr:uid="{00000000-0005-0000-0000-000079220000}"/>
    <cellStyle name="20% - Accent6 2 2 2 7 3" xfId="19578" xr:uid="{00000000-0005-0000-0000-00007A220000}"/>
    <cellStyle name="20% - Accent6 2 2 2 8" xfId="2255" xr:uid="{00000000-0005-0000-0000-00007B220000}"/>
    <cellStyle name="20% - Accent6 2 2 2 8 2" xfId="14215" xr:uid="{00000000-0005-0000-0000-00007C220000}"/>
    <cellStyle name="20% - Accent6 2 2 2 8 2 2" xfId="27764" xr:uid="{00000000-0005-0000-0000-00007D220000}"/>
    <cellStyle name="20% - Accent6 2 2 2 8 3" xfId="19579" xr:uid="{00000000-0005-0000-0000-00007E220000}"/>
    <cellStyle name="20% - Accent6 2 2 2 9" xfId="2256" xr:uid="{00000000-0005-0000-0000-00007F220000}"/>
    <cellStyle name="20% - Accent6 2 2 2 9 2" xfId="14973" xr:uid="{00000000-0005-0000-0000-000080220000}"/>
    <cellStyle name="20% - Accent6 2 2 2 9 2 2" xfId="28522" xr:uid="{00000000-0005-0000-0000-000081220000}"/>
    <cellStyle name="20% - Accent6 2 2 2 9 3" xfId="19580" xr:uid="{00000000-0005-0000-0000-000082220000}"/>
    <cellStyle name="20% - Accent6 2 2 3" xfId="2257" xr:uid="{00000000-0005-0000-0000-000083220000}"/>
    <cellStyle name="20% - Accent6 2 2 3 10" xfId="9144" xr:uid="{00000000-0005-0000-0000-000084220000}"/>
    <cellStyle name="20% - Accent6 2 2 3 10 2" xfId="23619" xr:uid="{00000000-0005-0000-0000-000085220000}"/>
    <cellStyle name="20% - Accent6 2 2 3 11" xfId="19581" xr:uid="{00000000-0005-0000-0000-000086220000}"/>
    <cellStyle name="20% - Accent6 2 2 3 2" xfId="2258" xr:uid="{00000000-0005-0000-0000-000087220000}"/>
    <cellStyle name="20% - Accent6 2 2 3 2 2" xfId="2259" xr:uid="{00000000-0005-0000-0000-000088220000}"/>
    <cellStyle name="20% - Accent6 2 2 3 2 2 2" xfId="10871" xr:uid="{00000000-0005-0000-0000-000089220000}"/>
    <cellStyle name="20% - Accent6 2 2 3 2 2 2 2" xfId="24813" xr:uid="{00000000-0005-0000-0000-00008A220000}"/>
    <cellStyle name="20% - Accent6 2 2 3 2 2 3" xfId="19583" xr:uid="{00000000-0005-0000-0000-00008B220000}"/>
    <cellStyle name="20% - Accent6 2 2 3 2 3" xfId="2260" xr:uid="{00000000-0005-0000-0000-00008C220000}"/>
    <cellStyle name="20% - Accent6 2 2 3 2 3 2" xfId="11957" xr:uid="{00000000-0005-0000-0000-00008D220000}"/>
    <cellStyle name="20% - Accent6 2 2 3 2 3 2 2" xfId="25672" xr:uid="{00000000-0005-0000-0000-00008E220000}"/>
    <cellStyle name="20% - Accent6 2 2 3 2 3 3" xfId="19584" xr:uid="{00000000-0005-0000-0000-00008F220000}"/>
    <cellStyle name="20% - Accent6 2 2 3 2 4" xfId="2261" xr:uid="{00000000-0005-0000-0000-000090220000}"/>
    <cellStyle name="20% - Accent6 2 2 3 2 4 2" xfId="14980" xr:uid="{00000000-0005-0000-0000-000091220000}"/>
    <cellStyle name="20% - Accent6 2 2 3 2 4 2 2" xfId="28529" xr:uid="{00000000-0005-0000-0000-000092220000}"/>
    <cellStyle name="20% - Accent6 2 2 3 2 4 3" xfId="19585" xr:uid="{00000000-0005-0000-0000-000093220000}"/>
    <cellStyle name="20% - Accent6 2 2 3 2 5" xfId="2262" xr:uid="{00000000-0005-0000-0000-000094220000}"/>
    <cellStyle name="20% - Accent6 2 2 3 2 5 2" xfId="16828" xr:uid="{00000000-0005-0000-0000-000095220000}"/>
    <cellStyle name="20% - Accent6 2 2 3 2 5 2 2" xfId="30235" xr:uid="{00000000-0005-0000-0000-000096220000}"/>
    <cellStyle name="20% - Accent6 2 2 3 2 5 3" xfId="19586" xr:uid="{00000000-0005-0000-0000-000097220000}"/>
    <cellStyle name="20% - Accent6 2 2 3 2 6" xfId="9145" xr:uid="{00000000-0005-0000-0000-000098220000}"/>
    <cellStyle name="20% - Accent6 2 2 3 2 6 2" xfId="23620" xr:uid="{00000000-0005-0000-0000-000099220000}"/>
    <cellStyle name="20% - Accent6 2 2 3 2 7" xfId="19582" xr:uid="{00000000-0005-0000-0000-00009A220000}"/>
    <cellStyle name="20% - Accent6 2 2 3 3" xfId="2263" xr:uid="{00000000-0005-0000-0000-00009B220000}"/>
    <cellStyle name="20% - Accent6 2 2 3 3 2" xfId="2264" xr:uid="{00000000-0005-0000-0000-00009C220000}"/>
    <cellStyle name="20% - Accent6 2 2 3 3 2 2" xfId="14981" xr:uid="{00000000-0005-0000-0000-00009D220000}"/>
    <cellStyle name="20% - Accent6 2 2 3 3 2 2 2" xfId="28530" xr:uid="{00000000-0005-0000-0000-00009E220000}"/>
    <cellStyle name="20% - Accent6 2 2 3 3 2 3" xfId="19588" xr:uid="{00000000-0005-0000-0000-00009F220000}"/>
    <cellStyle name="20% - Accent6 2 2 3 3 3" xfId="10870" xr:uid="{00000000-0005-0000-0000-0000A0220000}"/>
    <cellStyle name="20% - Accent6 2 2 3 3 3 2" xfId="24812" xr:uid="{00000000-0005-0000-0000-0000A1220000}"/>
    <cellStyle name="20% - Accent6 2 2 3 3 4" xfId="19587" xr:uid="{00000000-0005-0000-0000-0000A2220000}"/>
    <cellStyle name="20% - Accent6 2 2 3 4" xfId="2265" xr:uid="{00000000-0005-0000-0000-0000A3220000}"/>
    <cellStyle name="20% - Accent6 2 2 3 4 2" xfId="12216" xr:uid="{00000000-0005-0000-0000-0000A4220000}"/>
    <cellStyle name="20% - Accent6 2 2 3 4 2 2" xfId="25928" xr:uid="{00000000-0005-0000-0000-0000A5220000}"/>
    <cellStyle name="20% - Accent6 2 2 3 4 3" xfId="19589" xr:uid="{00000000-0005-0000-0000-0000A6220000}"/>
    <cellStyle name="20% - Accent6 2 2 3 5" xfId="2266" xr:uid="{00000000-0005-0000-0000-0000A7220000}"/>
    <cellStyle name="20% - Accent6 2 2 3 5 2" xfId="12614" xr:uid="{00000000-0005-0000-0000-0000A8220000}"/>
    <cellStyle name="20% - Accent6 2 2 3 5 2 2" xfId="26326" xr:uid="{00000000-0005-0000-0000-0000A9220000}"/>
    <cellStyle name="20% - Accent6 2 2 3 5 3" xfId="19590" xr:uid="{00000000-0005-0000-0000-0000AA220000}"/>
    <cellStyle name="20% - Accent6 2 2 3 6" xfId="2267" xr:uid="{00000000-0005-0000-0000-0000AB220000}"/>
    <cellStyle name="20% - Accent6 2 2 3 6 2" xfId="13780" xr:uid="{00000000-0005-0000-0000-0000AC220000}"/>
    <cellStyle name="20% - Accent6 2 2 3 6 2 2" xfId="27329" xr:uid="{00000000-0005-0000-0000-0000AD220000}"/>
    <cellStyle name="20% - Accent6 2 2 3 6 3" xfId="19591" xr:uid="{00000000-0005-0000-0000-0000AE220000}"/>
    <cellStyle name="20% - Accent6 2 2 3 7" xfId="2268" xr:uid="{00000000-0005-0000-0000-0000AF220000}"/>
    <cellStyle name="20% - Accent6 2 2 3 7 2" xfId="14361" xr:uid="{00000000-0005-0000-0000-0000B0220000}"/>
    <cellStyle name="20% - Accent6 2 2 3 7 2 2" xfId="27910" xr:uid="{00000000-0005-0000-0000-0000B1220000}"/>
    <cellStyle name="20% - Accent6 2 2 3 7 3" xfId="19592" xr:uid="{00000000-0005-0000-0000-0000B2220000}"/>
    <cellStyle name="20% - Accent6 2 2 3 8" xfId="2269" xr:uid="{00000000-0005-0000-0000-0000B3220000}"/>
    <cellStyle name="20% - Accent6 2 2 3 8 2" xfId="14979" xr:uid="{00000000-0005-0000-0000-0000B4220000}"/>
    <cellStyle name="20% - Accent6 2 2 3 8 2 2" xfId="28528" xr:uid="{00000000-0005-0000-0000-0000B5220000}"/>
    <cellStyle name="20% - Accent6 2 2 3 8 3" xfId="19593" xr:uid="{00000000-0005-0000-0000-0000B6220000}"/>
    <cellStyle name="20% - Accent6 2 2 3 9" xfId="2270" xr:uid="{00000000-0005-0000-0000-0000B7220000}"/>
    <cellStyle name="20% - Accent6 2 2 3 9 2" xfId="16247" xr:uid="{00000000-0005-0000-0000-0000B8220000}"/>
    <cellStyle name="20% - Accent6 2 2 3 9 2 2" xfId="29654" xr:uid="{00000000-0005-0000-0000-0000B9220000}"/>
    <cellStyle name="20% - Accent6 2 2 3 9 3" xfId="19594" xr:uid="{00000000-0005-0000-0000-0000BA220000}"/>
    <cellStyle name="20% - Accent6 2 2 4" xfId="2271" xr:uid="{00000000-0005-0000-0000-0000BB220000}"/>
    <cellStyle name="20% - Accent6 2 2 4 2" xfId="2272" xr:uid="{00000000-0005-0000-0000-0000BC220000}"/>
    <cellStyle name="20% - Accent6 2 2 4 2 2" xfId="10872" xr:uid="{00000000-0005-0000-0000-0000BD220000}"/>
    <cellStyle name="20% - Accent6 2 2 4 2 2 2" xfId="24814" xr:uid="{00000000-0005-0000-0000-0000BE220000}"/>
    <cellStyle name="20% - Accent6 2 2 4 2 3" xfId="19596" xr:uid="{00000000-0005-0000-0000-0000BF220000}"/>
    <cellStyle name="20% - Accent6 2 2 4 3" xfId="2273" xr:uid="{00000000-0005-0000-0000-0000C0220000}"/>
    <cellStyle name="20% - Accent6 2 2 4 3 2" xfId="12551" xr:uid="{00000000-0005-0000-0000-0000C1220000}"/>
    <cellStyle name="20% - Accent6 2 2 4 3 2 2" xfId="26263" xr:uid="{00000000-0005-0000-0000-0000C2220000}"/>
    <cellStyle name="20% - Accent6 2 2 4 3 3" xfId="19597" xr:uid="{00000000-0005-0000-0000-0000C3220000}"/>
    <cellStyle name="20% - Accent6 2 2 4 4" xfId="2274" xr:uid="{00000000-0005-0000-0000-0000C4220000}"/>
    <cellStyle name="20% - Accent6 2 2 4 4 2" xfId="14982" xr:uid="{00000000-0005-0000-0000-0000C5220000}"/>
    <cellStyle name="20% - Accent6 2 2 4 4 2 2" xfId="28531" xr:uid="{00000000-0005-0000-0000-0000C6220000}"/>
    <cellStyle name="20% - Accent6 2 2 4 4 3" xfId="19598" xr:uid="{00000000-0005-0000-0000-0000C7220000}"/>
    <cellStyle name="20% - Accent6 2 2 4 5" xfId="2275" xr:uid="{00000000-0005-0000-0000-0000C8220000}"/>
    <cellStyle name="20% - Accent6 2 2 4 5 2" xfId="17175" xr:uid="{00000000-0005-0000-0000-0000C9220000}"/>
    <cellStyle name="20% - Accent6 2 2 4 5 2 2" xfId="30534" xr:uid="{00000000-0005-0000-0000-0000CA220000}"/>
    <cellStyle name="20% - Accent6 2 2 4 5 3" xfId="19599" xr:uid="{00000000-0005-0000-0000-0000CB220000}"/>
    <cellStyle name="20% - Accent6 2 2 4 6" xfId="9146" xr:uid="{00000000-0005-0000-0000-0000CC220000}"/>
    <cellStyle name="20% - Accent6 2 2 4 6 2" xfId="23621" xr:uid="{00000000-0005-0000-0000-0000CD220000}"/>
    <cellStyle name="20% - Accent6 2 2 4 7" xfId="19595" xr:uid="{00000000-0005-0000-0000-0000CE220000}"/>
    <cellStyle name="20% - Accent6 2 2 5" xfId="2276" xr:uid="{00000000-0005-0000-0000-0000CF220000}"/>
    <cellStyle name="20% - Accent6 2 2 5 2" xfId="2277" xr:uid="{00000000-0005-0000-0000-0000D0220000}"/>
    <cellStyle name="20% - Accent6 2 2 5 2 2" xfId="14983" xr:uid="{00000000-0005-0000-0000-0000D1220000}"/>
    <cellStyle name="20% - Accent6 2 2 5 2 2 2" xfId="28532" xr:uid="{00000000-0005-0000-0000-0000D2220000}"/>
    <cellStyle name="20% - Accent6 2 2 5 2 3" xfId="19601" xr:uid="{00000000-0005-0000-0000-0000D3220000}"/>
    <cellStyle name="20% - Accent6 2 2 5 3" xfId="2278" xr:uid="{00000000-0005-0000-0000-0000D4220000}"/>
    <cellStyle name="20% - Accent6 2 2 5 3 2" xfId="17264" xr:uid="{00000000-0005-0000-0000-0000D5220000}"/>
    <cellStyle name="20% - Accent6 2 2 5 3 2 2" xfId="30623" xr:uid="{00000000-0005-0000-0000-0000D6220000}"/>
    <cellStyle name="20% - Accent6 2 2 5 3 3" xfId="19602" xr:uid="{00000000-0005-0000-0000-0000D7220000}"/>
    <cellStyle name="20% - Accent6 2 2 5 4" xfId="10865" xr:uid="{00000000-0005-0000-0000-0000D8220000}"/>
    <cellStyle name="20% - Accent6 2 2 5 4 2" xfId="24807" xr:uid="{00000000-0005-0000-0000-0000D9220000}"/>
    <cellStyle name="20% - Accent6 2 2 5 5" xfId="19600" xr:uid="{00000000-0005-0000-0000-0000DA220000}"/>
    <cellStyle name="20% - Accent6 2 2 6" xfId="2279" xr:uid="{00000000-0005-0000-0000-0000DB220000}"/>
    <cellStyle name="20% - Accent6 2 2 6 2" xfId="2280" xr:uid="{00000000-0005-0000-0000-0000DC220000}"/>
    <cellStyle name="20% - Accent6 2 2 6 2 2" xfId="16539" xr:uid="{00000000-0005-0000-0000-0000DD220000}"/>
    <cellStyle name="20% - Accent6 2 2 6 2 2 2" xfId="29946" xr:uid="{00000000-0005-0000-0000-0000DE220000}"/>
    <cellStyle name="20% - Accent6 2 2 6 2 3" xfId="19604" xr:uid="{00000000-0005-0000-0000-0000DF220000}"/>
    <cellStyle name="20% - Accent6 2 2 6 3" xfId="11914" xr:uid="{00000000-0005-0000-0000-0000E0220000}"/>
    <cellStyle name="20% - Accent6 2 2 6 3 2" xfId="25629" xr:uid="{00000000-0005-0000-0000-0000E1220000}"/>
    <cellStyle name="20% - Accent6 2 2 6 4" xfId="19603" xr:uid="{00000000-0005-0000-0000-0000E2220000}"/>
    <cellStyle name="20% - Accent6 2 2 7" xfId="2281" xr:uid="{00000000-0005-0000-0000-0000E3220000}"/>
    <cellStyle name="20% - Accent6 2 2 7 2" xfId="12810" xr:uid="{00000000-0005-0000-0000-0000E4220000}"/>
    <cellStyle name="20% - Accent6 2 2 7 2 2" xfId="26522" xr:uid="{00000000-0005-0000-0000-0000E5220000}"/>
    <cellStyle name="20% - Accent6 2 2 7 3" xfId="19605" xr:uid="{00000000-0005-0000-0000-0000E6220000}"/>
    <cellStyle name="20% - Accent6 2 2 8" xfId="2282" xr:uid="{00000000-0005-0000-0000-0000E7220000}"/>
    <cellStyle name="20% - Accent6 2 2 8 2" xfId="13491" xr:uid="{00000000-0005-0000-0000-0000E8220000}"/>
    <cellStyle name="20% - Accent6 2 2 8 2 2" xfId="27040" xr:uid="{00000000-0005-0000-0000-0000E9220000}"/>
    <cellStyle name="20% - Accent6 2 2 8 3" xfId="19606" xr:uid="{00000000-0005-0000-0000-0000EA220000}"/>
    <cellStyle name="20% - Accent6 2 2 9" xfId="2283" xr:uid="{00000000-0005-0000-0000-0000EB220000}"/>
    <cellStyle name="20% - Accent6 2 2 9 2" xfId="14072" xr:uid="{00000000-0005-0000-0000-0000EC220000}"/>
    <cellStyle name="20% - Accent6 2 2 9 2 2" xfId="27621" xr:uid="{00000000-0005-0000-0000-0000ED220000}"/>
    <cellStyle name="20% - Accent6 2 2 9 3" xfId="19607" xr:uid="{00000000-0005-0000-0000-0000EE220000}"/>
    <cellStyle name="20% - Accent6 2 3" xfId="2284" xr:uid="{00000000-0005-0000-0000-0000EF220000}"/>
    <cellStyle name="20% - Accent6 2 3 10" xfId="2285" xr:uid="{00000000-0005-0000-0000-0000F0220000}"/>
    <cellStyle name="20% - Accent6 2 3 10 2" xfId="16055" xr:uid="{00000000-0005-0000-0000-0000F1220000}"/>
    <cellStyle name="20% - Accent6 2 3 10 2 2" xfId="29462" xr:uid="{00000000-0005-0000-0000-0000F2220000}"/>
    <cellStyle name="20% - Accent6 2 3 10 3" xfId="19609" xr:uid="{00000000-0005-0000-0000-0000F3220000}"/>
    <cellStyle name="20% - Accent6 2 3 11" xfId="9147" xr:uid="{00000000-0005-0000-0000-0000F4220000}"/>
    <cellStyle name="20% - Accent6 2 3 11 2" xfId="23622" xr:uid="{00000000-0005-0000-0000-0000F5220000}"/>
    <cellStyle name="20% - Accent6 2 3 12" xfId="19608" xr:uid="{00000000-0005-0000-0000-0000F6220000}"/>
    <cellStyle name="20% - Accent6 2 3 2" xfId="2286" xr:uid="{00000000-0005-0000-0000-0000F7220000}"/>
    <cellStyle name="20% - Accent6 2 3 2 10" xfId="9148" xr:uid="{00000000-0005-0000-0000-0000F8220000}"/>
    <cellStyle name="20% - Accent6 2 3 2 10 2" xfId="23623" xr:uid="{00000000-0005-0000-0000-0000F9220000}"/>
    <cellStyle name="20% - Accent6 2 3 2 11" xfId="19610" xr:uid="{00000000-0005-0000-0000-0000FA220000}"/>
    <cellStyle name="20% - Accent6 2 3 2 2" xfId="2287" xr:uid="{00000000-0005-0000-0000-0000FB220000}"/>
    <cellStyle name="20% - Accent6 2 3 2 2 2" xfId="2288" xr:uid="{00000000-0005-0000-0000-0000FC220000}"/>
    <cellStyle name="20% - Accent6 2 3 2 2 2 2" xfId="10875" xr:uid="{00000000-0005-0000-0000-0000FD220000}"/>
    <cellStyle name="20% - Accent6 2 3 2 2 2 2 2" xfId="24817" xr:uid="{00000000-0005-0000-0000-0000FE220000}"/>
    <cellStyle name="20% - Accent6 2 3 2 2 2 3" xfId="19612" xr:uid="{00000000-0005-0000-0000-0000FF220000}"/>
    <cellStyle name="20% - Accent6 2 3 2 2 3" xfId="2289" xr:uid="{00000000-0005-0000-0000-000000230000}"/>
    <cellStyle name="20% - Accent6 2 3 2 2 3 2" xfId="12768" xr:uid="{00000000-0005-0000-0000-000001230000}"/>
    <cellStyle name="20% - Accent6 2 3 2 2 3 2 2" xfId="26480" xr:uid="{00000000-0005-0000-0000-000002230000}"/>
    <cellStyle name="20% - Accent6 2 3 2 2 3 3" xfId="19613" xr:uid="{00000000-0005-0000-0000-000003230000}"/>
    <cellStyle name="20% - Accent6 2 3 2 2 4" xfId="2290" xr:uid="{00000000-0005-0000-0000-000004230000}"/>
    <cellStyle name="20% - Accent6 2 3 2 2 4 2" xfId="14986" xr:uid="{00000000-0005-0000-0000-000005230000}"/>
    <cellStyle name="20% - Accent6 2 3 2 2 4 2 2" xfId="28535" xr:uid="{00000000-0005-0000-0000-000006230000}"/>
    <cellStyle name="20% - Accent6 2 3 2 2 4 3" xfId="19614" xr:uid="{00000000-0005-0000-0000-000007230000}"/>
    <cellStyle name="20% - Accent6 2 3 2 2 5" xfId="2291" xr:uid="{00000000-0005-0000-0000-000008230000}"/>
    <cellStyle name="20% - Accent6 2 3 2 2 5 2" xfId="16925" xr:uid="{00000000-0005-0000-0000-000009230000}"/>
    <cellStyle name="20% - Accent6 2 3 2 2 5 2 2" xfId="30332" xr:uid="{00000000-0005-0000-0000-00000A230000}"/>
    <cellStyle name="20% - Accent6 2 3 2 2 5 3" xfId="19615" xr:uid="{00000000-0005-0000-0000-00000B230000}"/>
    <cellStyle name="20% - Accent6 2 3 2 2 6" xfId="9149" xr:uid="{00000000-0005-0000-0000-00000C230000}"/>
    <cellStyle name="20% - Accent6 2 3 2 2 6 2" xfId="23624" xr:uid="{00000000-0005-0000-0000-00000D230000}"/>
    <cellStyle name="20% - Accent6 2 3 2 2 7" xfId="19611" xr:uid="{00000000-0005-0000-0000-00000E230000}"/>
    <cellStyle name="20% - Accent6 2 3 2 3" xfId="2292" xr:uid="{00000000-0005-0000-0000-00000F230000}"/>
    <cellStyle name="20% - Accent6 2 3 2 3 2" xfId="2293" xr:uid="{00000000-0005-0000-0000-000010230000}"/>
    <cellStyle name="20% - Accent6 2 3 2 3 2 2" xfId="14987" xr:uid="{00000000-0005-0000-0000-000011230000}"/>
    <cellStyle name="20% - Accent6 2 3 2 3 2 2 2" xfId="28536" xr:uid="{00000000-0005-0000-0000-000012230000}"/>
    <cellStyle name="20% - Accent6 2 3 2 3 2 3" xfId="19617" xr:uid="{00000000-0005-0000-0000-000013230000}"/>
    <cellStyle name="20% - Accent6 2 3 2 3 3" xfId="10874" xr:uid="{00000000-0005-0000-0000-000014230000}"/>
    <cellStyle name="20% - Accent6 2 3 2 3 3 2" xfId="24816" xr:uid="{00000000-0005-0000-0000-000015230000}"/>
    <cellStyle name="20% - Accent6 2 3 2 3 4" xfId="19616" xr:uid="{00000000-0005-0000-0000-000016230000}"/>
    <cellStyle name="20% - Accent6 2 3 2 4" xfId="2294" xr:uid="{00000000-0005-0000-0000-000017230000}"/>
    <cellStyle name="20% - Accent6 2 3 2 4 2" xfId="12313" xr:uid="{00000000-0005-0000-0000-000018230000}"/>
    <cellStyle name="20% - Accent6 2 3 2 4 2 2" xfId="26025" xr:uid="{00000000-0005-0000-0000-000019230000}"/>
    <cellStyle name="20% - Accent6 2 3 2 4 3" xfId="19618" xr:uid="{00000000-0005-0000-0000-00001A230000}"/>
    <cellStyle name="20% - Accent6 2 3 2 5" xfId="2295" xr:uid="{00000000-0005-0000-0000-00001B230000}"/>
    <cellStyle name="20% - Accent6 2 3 2 5 2" xfId="12767" xr:uid="{00000000-0005-0000-0000-00001C230000}"/>
    <cellStyle name="20% - Accent6 2 3 2 5 2 2" xfId="26479" xr:uid="{00000000-0005-0000-0000-00001D230000}"/>
    <cellStyle name="20% - Accent6 2 3 2 5 3" xfId="19619" xr:uid="{00000000-0005-0000-0000-00001E230000}"/>
    <cellStyle name="20% - Accent6 2 3 2 6" xfId="2296" xr:uid="{00000000-0005-0000-0000-00001F230000}"/>
    <cellStyle name="20% - Accent6 2 3 2 6 2" xfId="13877" xr:uid="{00000000-0005-0000-0000-000020230000}"/>
    <cellStyle name="20% - Accent6 2 3 2 6 2 2" xfId="27426" xr:uid="{00000000-0005-0000-0000-000021230000}"/>
    <cellStyle name="20% - Accent6 2 3 2 6 3" xfId="19620" xr:uid="{00000000-0005-0000-0000-000022230000}"/>
    <cellStyle name="20% - Accent6 2 3 2 7" xfId="2297" xr:uid="{00000000-0005-0000-0000-000023230000}"/>
    <cellStyle name="20% - Accent6 2 3 2 7 2" xfId="14458" xr:uid="{00000000-0005-0000-0000-000024230000}"/>
    <cellStyle name="20% - Accent6 2 3 2 7 2 2" xfId="28007" xr:uid="{00000000-0005-0000-0000-000025230000}"/>
    <cellStyle name="20% - Accent6 2 3 2 7 3" xfId="19621" xr:uid="{00000000-0005-0000-0000-000026230000}"/>
    <cellStyle name="20% - Accent6 2 3 2 8" xfId="2298" xr:uid="{00000000-0005-0000-0000-000027230000}"/>
    <cellStyle name="20% - Accent6 2 3 2 8 2" xfId="14985" xr:uid="{00000000-0005-0000-0000-000028230000}"/>
    <cellStyle name="20% - Accent6 2 3 2 8 2 2" xfId="28534" xr:uid="{00000000-0005-0000-0000-000029230000}"/>
    <cellStyle name="20% - Accent6 2 3 2 8 3" xfId="19622" xr:uid="{00000000-0005-0000-0000-00002A230000}"/>
    <cellStyle name="20% - Accent6 2 3 2 9" xfId="2299" xr:uid="{00000000-0005-0000-0000-00002B230000}"/>
    <cellStyle name="20% - Accent6 2 3 2 9 2" xfId="16344" xr:uid="{00000000-0005-0000-0000-00002C230000}"/>
    <cellStyle name="20% - Accent6 2 3 2 9 2 2" xfId="29751" xr:uid="{00000000-0005-0000-0000-00002D230000}"/>
    <cellStyle name="20% - Accent6 2 3 2 9 3" xfId="19623" xr:uid="{00000000-0005-0000-0000-00002E230000}"/>
    <cellStyle name="20% - Accent6 2 3 3" xfId="2300" xr:uid="{00000000-0005-0000-0000-00002F230000}"/>
    <cellStyle name="20% - Accent6 2 3 3 2" xfId="2301" xr:uid="{00000000-0005-0000-0000-000030230000}"/>
    <cellStyle name="20% - Accent6 2 3 3 2 2" xfId="10876" xr:uid="{00000000-0005-0000-0000-000031230000}"/>
    <cellStyle name="20% - Accent6 2 3 3 2 2 2" xfId="24818" xr:uid="{00000000-0005-0000-0000-000032230000}"/>
    <cellStyle name="20% - Accent6 2 3 3 2 3" xfId="19625" xr:uid="{00000000-0005-0000-0000-000033230000}"/>
    <cellStyle name="20% - Accent6 2 3 3 3" xfId="2302" xr:uid="{00000000-0005-0000-0000-000034230000}"/>
    <cellStyle name="20% - Accent6 2 3 3 3 2" xfId="12455" xr:uid="{00000000-0005-0000-0000-000035230000}"/>
    <cellStyle name="20% - Accent6 2 3 3 3 2 2" xfId="26167" xr:uid="{00000000-0005-0000-0000-000036230000}"/>
    <cellStyle name="20% - Accent6 2 3 3 3 3" xfId="19626" xr:uid="{00000000-0005-0000-0000-000037230000}"/>
    <cellStyle name="20% - Accent6 2 3 3 4" xfId="2303" xr:uid="{00000000-0005-0000-0000-000038230000}"/>
    <cellStyle name="20% - Accent6 2 3 3 4 2" xfId="14988" xr:uid="{00000000-0005-0000-0000-000039230000}"/>
    <cellStyle name="20% - Accent6 2 3 3 4 2 2" xfId="28537" xr:uid="{00000000-0005-0000-0000-00003A230000}"/>
    <cellStyle name="20% - Accent6 2 3 3 4 3" xfId="19627" xr:uid="{00000000-0005-0000-0000-00003B230000}"/>
    <cellStyle name="20% - Accent6 2 3 3 5" xfId="2304" xr:uid="{00000000-0005-0000-0000-00003C230000}"/>
    <cellStyle name="20% - Accent6 2 3 3 5 2" xfId="16636" xr:uid="{00000000-0005-0000-0000-00003D230000}"/>
    <cellStyle name="20% - Accent6 2 3 3 5 2 2" xfId="30043" xr:uid="{00000000-0005-0000-0000-00003E230000}"/>
    <cellStyle name="20% - Accent6 2 3 3 5 3" xfId="19628" xr:uid="{00000000-0005-0000-0000-00003F230000}"/>
    <cellStyle name="20% - Accent6 2 3 3 6" xfId="9150" xr:uid="{00000000-0005-0000-0000-000040230000}"/>
    <cellStyle name="20% - Accent6 2 3 3 6 2" xfId="23625" xr:uid="{00000000-0005-0000-0000-000041230000}"/>
    <cellStyle name="20% - Accent6 2 3 3 7" xfId="19624" xr:uid="{00000000-0005-0000-0000-000042230000}"/>
    <cellStyle name="20% - Accent6 2 3 4" xfId="2305" xr:uid="{00000000-0005-0000-0000-000043230000}"/>
    <cellStyle name="20% - Accent6 2 3 4 2" xfId="2306" xr:uid="{00000000-0005-0000-0000-000044230000}"/>
    <cellStyle name="20% - Accent6 2 3 4 2 2" xfId="14989" xr:uid="{00000000-0005-0000-0000-000045230000}"/>
    <cellStyle name="20% - Accent6 2 3 4 2 2 2" xfId="28538" xr:uid="{00000000-0005-0000-0000-000046230000}"/>
    <cellStyle name="20% - Accent6 2 3 4 2 3" xfId="19630" xr:uid="{00000000-0005-0000-0000-000047230000}"/>
    <cellStyle name="20% - Accent6 2 3 4 3" xfId="10873" xr:uid="{00000000-0005-0000-0000-000048230000}"/>
    <cellStyle name="20% - Accent6 2 3 4 3 2" xfId="24815" xr:uid="{00000000-0005-0000-0000-000049230000}"/>
    <cellStyle name="20% - Accent6 2 3 4 4" xfId="19629" xr:uid="{00000000-0005-0000-0000-00004A230000}"/>
    <cellStyle name="20% - Accent6 2 3 5" xfId="2307" xr:uid="{00000000-0005-0000-0000-00004B230000}"/>
    <cellStyle name="20% - Accent6 2 3 5 2" xfId="12013" xr:uid="{00000000-0005-0000-0000-00004C230000}"/>
    <cellStyle name="20% - Accent6 2 3 5 2 2" xfId="25728" xr:uid="{00000000-0005-0000-0000-00004D230000}"/>
    <cellStyle name="20% - Accent6 2 3 5 3" xfId="19631" xr:uid="{00000000-0005-0000-0000-00004E230000}"/>
    <cellStyle name="20% - Accent6 2 3 6" xfId="2308" xr:uid="{00000000-0005-0000-0000-00004F230000}"/>
    <cellStyle name="20% - Accent6 2 3 6 2" xfId="11774" xr:uid="{00000000-0005-0000-0000-000050230000}"/>
    <cellStyle name="20% - Accent6 2 3 6 2 2" xfId="25489" xr:uid="{00000000-0005-0000-0000-000051230000}"/>
    <cellStyle name="20% - Accent6 2 3 6 3" xfId="19632" xr:uid="{00000000-0005-0000-0000-000052230000}"/>
    <cellStyle name="20% - Accent6 2 3 7" xfId="2309" xr:uid="{00000000-0005-0000-0000-000053230000}"/>
    <cellStyle name="20% - Accent6 2 3 7 2" xfId="13588" xr:uid="{00000000-0005-0000-0000-000054230000}"/>
    <cellStyle name="20% - Accent6 2 3 7 2 2" xfId="27137" xr:uid="{00000000-0005-0000-0000-000055230000}"/>
    <cellStyle name="20% - Accent6 2 3 7 3" xfId="19633" xr:uid="{00000000-0005-0000-0000-000056230000}"/>
    <cellStyle name="20% - Accent6 2 3 8" xfId="2310" xr:uid="{00000000-0005-0000-0000-000057230000}"/>
    <cellStyle name="20% - Accent6 2 3 8 2" xfId="14169" xr:uid="{00000000-0005-0000-0000-000058230000}"/>
    <cellStyle name="20% - Accent6 2 3 8 2 2" xfId="27718" xr:uid="{00000000-0005-0000-0000-000059230000}"/>
    <cellStyle name="20% - Accent6 2 3 8 3" xfId="19634" xr:uid="{00000000-0005-0000-0000-00005A230000}"/>
    <cellStyle name="20% - Accent6 2 3 9" xfId="2311" xr:uid="{00000000-0005-0000-0000-00005B230000}"/>
    <cellStyle name="20% - Accent6 2 3 9 2" xfId="14984" xr:uid="{00000000-0005-0000-0000-00005C230000}"/>
    <cellStyle name="20% - Accent6 2 3 9 2 2" xfId="28533" xr:uid="{00000000-0005-0000-0000-00005D230000}"/>
    <cellStyle name="20% - Accent6 2 3 9 3" xfId="19635" xr:uid="{00000000-0005-0000-0000-00005E230000}"/>
    <cellStyle name="20% - Accent6 2 4" xfId="2312" xr:uid="{00000000-0005-0000-0000-00005F230000}"/>
    <cellStyle name="20% - Accent6 2 4 10" xfId="9151" xr:uid="{00000000-0005-0000-0000-000060230000}"/>
    <cellStyle name="20% - Accent6 2 4 10 2" xfId="23626" xr:uid="{00000000-0005-0000-0000-000061230000}"/>
    <cellStyle name="20% - Accent6 2 4 11" xfId="19636" xr:uid="{00000000-0005-0000-0000-000062230000}"/>
    <cellStyle name="20% - Accent6 2 4 2" xfId="2313" xr:uid="{00000000-0005-0000-0000-000063230000}"/>
    <cellStyle name="20% - Accent6 2 4 2 2" xfId="2314" xr:uid="{00000000-0005-0000-0000-000064230000}"/>
    <cellStyle name="20% - Accent6 2 4 2 2 2" xfId="10878" xr:uid="{00000000-0005-0000-0000-000065230000}"/>
    <cellStyle name="20% - Accent6 2 4 2 2 2 2" xfId="24820" xr:uid="{00000000-0005-0000-0000-000066230000}"/>
    <cellStyle name="20% - Accent6 2 4 2 2 3" xfId="19638" xr:uid="{00000000-0005-0000-0000-000067230000}"/>
    <cellStyle name="20% - Accent6 2 4 2 3" xfId="2315" xr:uid="{00000000-0005-0000-0000-000068230000}"/>
    <cellStyle name="20% - Accent6 2 4 2 3 2" xfId="12581" xr:uid="{00000000-0005-0000-0000-000069230000}"/>
    <cellStyle name="20% - Accent6 2 4 2 3 2 2" xfId="26293" xr:uid="{00000000-0005-0000-0000-00006A230000}"/>
    <cellStyle name="20% - Accent6 2 4 2 3 3" xfId="19639" xr:uid="{00000000-0005-0000-0000-00006B230000}"/>
    <cellStyle name="20% - Accent6 2 4 2 4" xfId="2316" xr:uid="{00000000-0005-0000-0000-00006C230000}"/>
    <cellStyle name="20% - Accent6 2 4 2 4 2" xfId="14991" xr:uid="{00000000-0005-0000-0000-00006D230000}"/>
    <cellStyle name="20% - Accent6 2 4 2 4 2 2" xfId="28540" xr:uid="{00000000-0005-0000-0000-00006E230000}"/>
    <cellStyle name="20% - Accent6 2 4 2 4 3" xfId="19640" xr:uid="{00000000-0005-0000-0000-00006F230000}"/>
    <cellStyle name="20% - Accent6 2 4 2 5" xfId="2317" xr:uid="{00000000-0005-0000-0000-000070230000}"/>
    <cellStyle name="20% - Accent6 2 4 2 5 2" xfId="16782" xr:uid="{00000000-0005-0000-0000-000071230000}"/>
    <cellStyle name="20% - Accent6 2 4 2 5 2 2" xfId="30189" xr:uid="{00000000-0005-0000-0000-000072230000}"/>
    <cellStyle name="20% - Accent6 2 4 2 5 3" xfId="19641" xr:uid="{00000000-0005-0000-0000-000073230000}"/>
    <cellStyle name="20% - Accent6 2 4 2 6" xfId="9152" xr:uid="{00000000-0005-0000-0000-000074230000}"/>
    <cellStyle name="20% - Accent6 2 4 2 6 2" xfId="23627" xr:uid="{00000000-0005-0000-0000-000075230000}"/>
    <cellStyle name="20% - Accent6 2 4 2 7" xfId="19637" xr:uid="{00000000-0005-0000-0000-000076230000}"/>
    <cellStyle name="20% - Accent6 2 4 3" xfId="2318" xr:uid="{00000000-0005-0000-0000-000077230000}"/>
    <cellStyle name="20% - Accent6 2 4 3 2" xfId="2319" xr:uid="{00000000-0005-0000-0000-000078230000}"/>
    <cellStyle name="20% - Accent6 2 4 3 2 2" xfId="14992" xr:uid="{00000000-0005-0000-0000-000079230000}"/>
    <cellStyle name="20% - Accent6 2 4 3 2 2 2" xfId="28541" xr:uid="{00000000-0005-0000-0000-00007A230000}"/>
    <cellStyle name="20% - Accent6 2 4 3 2 3" xfId="19643" xr:uid="{00000000-0005-0000-0000-00007B230000}"/>
    <cellStyle name="20% - Accent6 2 4 3 3" xfId="10877" xr:uid="{00000000-0005-0000-0000-00007C230000}"/>
    <cellStyle name="20% - Accent6 2 4 3 3 2" xfId="24819" xr:uid="{00000000-0005-0000-0000-00007D230000}"/>
    <cellStyle name="20% - Accent6 2 4 3 4" xfId="19642" xr:uid="{00000000-0005-0000-0000-00007E230000}"/>
    <cellStyle name="20% - Accent6 2 4 4" xfId="2320" xr:uid="{00000000-0005-0000-0000-00007F230000}"/>
    <cellStyle name="20% - Accent6 2 4 4 2" xfId="12170" xr:uid="{00000000-0005-0000-0000-000080230000}"/>
    <cellStyle name="20% - Accent6 2 4 4 2 2" xfId="25882" xr:uid="{00000000-0005-0000-0000-000081230000}"/>
    <cellStyle name="20% - Accent6 2 4 4 3" xfId="19644" xr:uid="{00000000-0005-0000-0000-000082230000}"/>
    <cellStyle name="20% - Accent6 2 4 5" xfId="2321" xr:uid="{00000000-0005-0000-0000-000083230000}"/>
    <cellStyle name="20% - Accent6 2 4 5 2" xfId="11768" xr:uid="{00000000-0005-0000-0000-000084230000}"/>
    <cellStyle name="20% - Accent6 2 4 5 2 2" xfId="25483" xr:uid="{00000000-0005-0000-0000-000085230000}"/>
    <cellStyle name="20% - Accent6 2 4 5 3" xfId="19645" xr:uid="{00000000-0005-0000-0000-000086230000}"/>
    <cellStyle name="20% - Accent6 2 4 6" xfId="2322" xr:uid="{00000000-0005-0000-0000-000087230000}"/>
    <cellStyle name="20% - Accent6 2 4 6 2" xfId="13734" xr:uid="{00000000-0005-0000-0000-000088230000}"/>
    <cellStyle name="20% - Accent6 2 4 6 2 2" xfId="27283" xr:uid="{00000000-0005-0000-0000-000089230000}"/>
    <cellStyle name="20% - Accent6 2 4 6 3" xfId="19646" xr:uid="{00000000-0005-0000-0000-00008A230000}"/>
    <cellStyle name="20% - Accent6 2 4 7" xfId="2323" xr:uid="{00000000-0005-0000-0000-00008B230000}"/>
    <cellStyle name="20% - Accent6 2 4 7 2" xfId="14315" xr:uid="{00000000-0005-0000-0000-00008C230000}"/>
    <cellStyle name="20% - Accent6 2 4 7 2 2" xfId="27864" xr:uid="{00000000-0005-0000-0000-00008D230000}"/>
    <cellStyle name="20% - Accent6 2 4 7 3" xfId="19647" xr:uid="{00000000-0005-0000-0000-00008E230000}"/>
    <cellStyle name="20% - Accent6 2 4 8" xfId="2324" xr:uid="{00000000-0005-0000-0000-00008F230000}"/>
    <cellStyle name="20% - Accent6 2 4 8 2" xfId="14990" xr:uid="{00000000-0005-0000-0000-000090230000}"/>
    <cellStyle name="20% - Accent6 2 4 8 2 2" xfId="28539" xr:uid="{00000000-0005-0000-0000-000091230000}"/>
    <cellStyle name="20% - Accent6 2 4 8 3" xfId="19648" xr:uid="{00000000-0005-0000-0000-000092230000}"/>
    <cellStyle name="20% - Accent6 2 4 9" xfId="2325" xr:uid="{00000000-0005-0000-0000-000093230000}"/>
    <cellStyle name="20% - Accent6 2 4 9 2" xfId="16201" xr:uid="{00000000-0005-0000-0000-000094230000}"/>
    <cellStyle name="20% - Accent6 2 4 9 2 2" xfId="29608" xr:uid="{00000000-0005-0000-0000-000095230000}"/>
    <cellStyle name="20% - Accent6 2 4 9 3" xfId="19649" xr:uid="{00000000-0005-0000-0000-000096230000}"/>
    <cellStyle name="20% - Accent6 2 5" xfId="2326" xr:uid="{00000000-0005-0000-0000-000097230000}"/>
    <cellStyle name="20% - Accent6 2 5 2" xfId="2327" xr:uid="{00000000-0005-0000-0000-000098230000}"/>
    <cellStyle name="20% - Accent6 2 5 2 2" xfId="2328" xr:uid="{00000000-0005-0000-0000-000099230000}"/>
    <cellStyle name="20% - Accent6 2 5 2 2 2" xfId="10880" xr:uid="{00000000-0005-0000-0000-00009A230000}"/>
    <cellStyle name="20% - Accent6 2 5 2 2 2 2" xfId="24822" xr:uid="{00000000-0005-0000-0000-00009B230000}"/>
    <cellStyle name="20% - Accent6 2 5 2 2 3" xfId="19652" xr:uid="{00000000-0005-0000-0000-00009C230000}"/>
    <cellStyle name="20% - Accent6 2 5 2 3" xfId="2329" xr:uid="{00000000-0005-0000-0000-00009D230000}"/>
    <cellStyle name="20% - Accent6 2 5 2 3 2" xfId="12518" xr:uid="{00000000-0005-0000-0000-00009E230000}"/>
    <cellStyle name="20% - Accent6 2 5 2 3 2 2" xfId="26230" xr:uid="{00000000-0005-0000-0000-00009F230000}"/>
    <cellStyle name="20% - Accent6 2 5 2 3 3" xfId="19653" xr:uid="{00000000-0005-0000-0000-0000A0230000}"/>
    <cellStyle name="20% - Accent6 2 5 2 4" xfId="2330" xr:uid="{00000000-0005-0000-0000-0000A1230000}"/>
    <cellStyle name="20% - Accent6 2 5 2 4 2" xfId="14994" xr:uid="{00000000-0005-0000-0000-0000A2230000}"/>
    <cellStyle name="20% - Accent6 2 5 2 4 2 2" xfId="28543" xr:uid="{00000000-0005-0000-0000-0000A3230000}"/>
    <cellStyle name="20% - Accent6 2 5 2 4 3" xfId="19654" xr:uid="{00000000-0005-0000-0000-0000A4230000}"/>
    <cellStyle name="20% - Accent6 2 5 2 5" xfId="9154" xr:uid="{00000000-0005-0000-0000-0000A5230000}"/>
    <cellStyle name="20% - Accent6 2 5 2 5 2" xfId="23629" xr:uid="{00000000-0005-0000-0000-0000A6230000}"/>
    <cellStyle name="20% - Accent6 2 5 2 6" xfId="19651" xr:uid="{00000000-0005-0000-0000-0000A7230000}"/>
    <cellStyle name="20% - Accent6 2 5 3" xfId="2331" xr:uid="{00000000-0005-0000-0000-0000A8230000}"/>
    <cellStyle name="20% - Accent6 2 5 3 2" xfId="10879" xr:uid="{00000000-0005-0000-0000-0000A9230000}"/>
    <cellStyle name="20% - Accent6 2 5 3 2 2" xfId="24821" xr:uid="{00000000-0005-0000-0000-0000AA230000}"/>
    <cellStyle name="20% - Accent6 2 5 3 3" xfId="19655" xr:uid="{00000000-0005-0000-0000-0000AB230000}"/>
    <cellStyle name="20% - Accent6 2 5 4" xfId="2332" xr:uid="{00000000-0005-0000-0000-0000AC230000}"/>
    <cellStyle name="20% - Accent6 2 5 4 2" xfId="12576" xr:uid="{00000000-0005-0000-0000-0000AD230000}"/>
    <cellStyle name="20% - Accent6 2 5 4 2 2" xfId="26288" xr:uid="{00000000-0005-0000-0000-0000AE230000}"/>
    <cellStyle name="20% - Accent6 2 5 4 3" xfId="19656" xr:uid="{00000000-0005-0000-0000-0000AF230000}"/>
    <cellStyle name="20% - Accent6 2 5 5" xfId="2333" xr:uid="{00000000-0005-0000-0000-0000B0230000}"/>
    <cellStyle name="20% - Accent6 2 5 5 2" xfId="14993" xr:uid="{00000000-0005-0000-0000-0000B1230000}"/>
    <cellStyle name="20% - Accent6 2 5 5 2 2" xfId="28542" xr:uid="{00000000-0005-0000-0000-0000B2230000}"/>
    <cellStyle name="20% - Accent6 2 5 5 3" xfId="19657" xr:uid="{00000000-0005-0000-0000-0000B3230000}"/>
    <cellStyle name="20% - Accent6 2 5 6" xfId="2334" xr:uid="{00000000-0005-0000-0000-0000B4230000}"/>
    <cellStyle name="20% - Accent6 2 5 6 2" xfId="17012" xr:uid="{00000000-0005-0000-0000-0000B5230000}"/>
    <cellStyle name="20% - Accent6 2 5 6 2 2" xfId="30419" xr:uid="{00000000-0005-0000-0000-0000B6230000}"/>
    <cellStyle name="20% - Accent6 2 5 6 3" xfId="19658" xr:uid="{00000000-0005-0000-0000-0000B7230000}"/>
    <cellStyle name="20% - Accent6 2 5 7" xfId="9153" xr:uid="{00000000-0005-0000-0000-0000B8230000}"/>
    <cellStyle name="20% - Accent6 2 5 7 2" xfId="23628" xr:uid="{00000000-0005-0000-0000-0000B9230000}"/>
    <cellStyle name="20% - Accent6 2 5 8" xfId="19650" xr:uid="{00000000-0005-0000-0000-0000BA230000}"/>
    <cellStyle name="20% - Accent6 2 6" xfId="2335" xr:uid="{00000000-0005-0000-0000-0000BB230000}"/>
    <cellStyle name="20% - Accent6 2 6 2" xfId="2336" xr:uid="{00000000-0005-0000-0000-0000BC230000}"/>
    <cellStyle name="20% - Accent6 2 6 2 2" xfId="10881" xr:uid="{00000000-0005-0000-0000-0000BD230000}"/>
    <cellStyle name="20% - Accent6 2 6 2 2 2" xfId="24823" xr:uid="{00000000-0005-0000-0000-0000BE230000}"/>
    <cellStyle name="20% - Accent6 2 6 2 3" xfId="19660" xr:uid="{00000000-0005-0000-0000-0000BF230000}"/>
    <cellStyle name="20% - Accent6 2 6 3" xfId="2337" xr:uid="{00000000-0005-0000-0000-0000C0230000}"/>
    <cellStyle name="20% - Accent6 2 6 3 2" xfId="12610" xr:uid="{00000000-0005-0000-0000-0000C1230000}"/>
    <cellStyle name="20% - Accent6 2 6 3 2 2" xfId="26322" xr:uid="{00000000-0005-0000-0000-0000C2230000}"/>
    <cellStyle name="20% - Accent6 2 6 3 3" xfId="19661" xr:uid="{00000000-0005-0000-0000-0000C3230000}"/>
    <cellStyle name="20% - Accent6 2 6 4" xfId="2338" xr:uid="{00000000-0005-0000-0000-0000C4230000}"/>
    <cellStyle name="20% - Accent6 2 6 4 2" xfId="14995" xr:uid="{00000000-0005-0000-0000-0000C5230000}"/>
    <cellStyle name="20% - Accent6 2 6 4 2 2" xfId="28544" xr:uid="{00000000-0005-0000-0000-0000C6230000}"/>
    <cellStyle name="20% - Accent6 2 6 4 3" xfId="19662" xr:uid="{00000000-0005-0000-0000-0000C7230000}"/>
    <cellStyle name="20% - Accent6 2 6 5" xfId="2339" xr:uid="{00000000-0005-0000-0000-0000C8230000}"/>
    <cellStyle name="20% - Accent6 2 6 5 2" xfId="17129" xr:uid="{00000000-0005-0000-0000-0000C9230000}"/>
    <cellStyle name="20% - Accent6 2 6 5 2 2" xfId="30488" xr:uid="{00000000-0005-0000-0000-0000CA230000}"/>
    <cellStyle name="20% - Accent6 2 6 5 3" xfId="19663" xr:uid="{00000000-0005-0000-0000-0000CB230000}"/>
    <cellStyle name="20% - Accent6 2 6 6" xfId="9155" xr:uid="{00000000-0005-0000-0000-0000CC230000}"/>
    <cellStyle name="20% - Accent6 2 6 6 2" xfId="23630" xr:uid="{00000000-0005-0000-0000-0000CD230000}"/>
    <cellStyle name="20% - Accent6 2 6 7" xfId="19659" xr:uid="{00000000-0005-0000-0000-0000CE230000}"/>
    <cellStyle name="20% - Accent6 2 7" xfId="2340" xr:uid="{00000000-0005-0000-0000-0000CF230000}"/>
    <cellStyle name="20% - Accent6 2 7 2" xfId="2341" xr:uid="{00000000-0005-0000-0000-0000D0230000}"/>
    <cellStyle name="20% - Accent6 2 7 2 2" xfId="10882" xr:uid="{00000000-0005-0000-0000-0000D1230000}"/>
    <cellStyle name="20% - Accent6 2 7 2 2 2" xfId="24824" xr:uid="{00000000-0005-0000-0000-0000D2230000}"/>
    <cellStyle name="20% - Accent6 2 7 2 3" xfId="19665" xr:uid="{00000000-0005-0000-0000-0000D3230000}"/>
    <cellStyle name="20% - Accent6 2 7 3" xfId="2342" xr:uid="{00000000-0005-0000-0000-0000D4230000}"/>
    <cellStyle name="20% - Accent6 2 7 3 2" xfId="12651" xr:uid="{00000000-0005-0000-0000-0000D5230000}"/>
    <cellStyle name="20% - Accent6 2 7 3 2 2" xfId="26363" xr:uid="{00000000-0005-0000-0000-0000D6230000}"/>
    <cellStyle name="20% - Accent6 2 7 3 3" xfId="19666" xr:uid="{00000000-0005-0000-0000-0000D7230000}"/>
    <cellStyle name="20% - Accent6 2 7 4" xfId="2343" xr:uid="{00000000-0005-0000-0000-0000D8230000}"/>
    <cellStyle name="20% - Accent6 2 7 4 2" xfId="14996" xr:uid="{00000000-0005-0000-0000-0000D9230000}"/>
    <cellStyle name="20% - Accent6 2 7 4 2 2" xfId="28545" xr:uid="{00000000-0005-0000-0000-0000DA230000}"/>
    <cellStyle name="20% - Accent6 2 7 4 3" xfId="19667" xr:uid="{00000000-0005-0000-0000-0000DB230000}"/>
    <cellStyle name="20% - Accent6 2 7 5" xfId="2344" xr:uid="{00000000-0005-0000-0000-0000DC230000}"/>
    <cellStyle name="20% - Accent6 2 7 5 2" xfId="17218" xr:uid="{00000000-0005-0000-0000-0000DD230000}"/>
    <cellStyle name="20% - Accent6 2 7 5 2 2" xfId="30577" xr:uid="{00000000-0005-0000-0000-0000DE230000}"/>
    <cellStyle name="20% - Accent6 2 7 5 3" xfId="19668" xr:uid="{00000000-0005-0000-0000-0000DF230000}"/>
    <cellStyle name="20% - Accent6 2 7 6" xfId="9156" xr:uid="{00000000-0005-0000-0000-0000E0230000}"/>
    <cellStyle name="20% - Accent6 2 7 6 2" xfId="23631" xr:uid="{00000000-0005-0000-0000-0000E1230000}"/>
    <cellStyle name="20% - Accent6 2 7 7" xfId="19664" xr:uid="{00000000-0005-0000-0000-0000E2230000}"/>
    <cellStyle name="20% - Accent6 2 8" xfId="2345" xr:uid="{00000000-0005-0000-0000-0000E3230000}"/>
    <cellStyle name="20% - Accent6 2 8 2" xfId="2346" xr:uid="{00000000-0005-0000-0000-0000E4230000}"/>
    <cellStyle name="20% - Accent6 2 8 2 2" xfId="12438" xr:uid="{00000000-0005-0000-0000-0000E5230000}"/>
    <cellStyle name="20% - Accent6 2 8 2 2 2" xfId="26150" xr:uid="{00000000-0005-0000-0000-0000E6230000}"/>
    <cellStyle name="20% - Accent6 2 8 2 3" xfId="19670" xr:uid="{00000000-0005-0000-0000-0000E7230000}"/>
    <cellStyle name="20% - Accent6 2 8 3" xfId="2347" xr:uid="{00000000-0005-0000-0000-0000E8230000}"/>
    <cellStyle name="20% - Accent6 2 8 3 2" xfId="14997" xr:uid="{00000000-0005-0000-0000-0000E9230000}"/>
    <cellStyle name="20% - Accent6 2 8 3 2 2" xfId="28546" xr:uid="{00000000-0005-0000-0000-0000EA230000}"/>
    <cellStyle name="20% - Accent6 2 8 3 3" xfId="19671" xr:uid="{00000000-0005-0000-0000-0000EB230000}"/>
    <cellStyle name="20% - Accent6 2 8 4" xfId="2348" xr:uid="{00000000-0005-0000-0000-0000EC230000}"/>
    <cellStyle name="20% - Accent6 2 8 4 2" xfId="16493" xr:uid="{00000000-0005-0000-0000-0000ED230000}"/>
    <cellStyle name="20% - Accent6 2 8 4 2 2" xfId="29900" xr:uid="{00000000-0005-0000-0000-0000EE230000}"/>
    <cellStyle name="20% - Accent6 2 8 4 3" xfId="19672" xr:uid="{00000000-0005-0000-0000-0000EF230000}"/>
    <cellStyle name="20% - Accent6 2 8 5" xfId="10533" xr:uid="{00000000-0005-0000-0000-0000F0230000}"/>
    <cellStyle name="20% - Accent6 2 8 5 2" xfId="24475" xr:uid="{00000000-0005-0000-0000-0000F1230000}"/>
    <cellStyle name="20% - Accent6 2 8 6" xfId="19669" xr:uid="{00000000-0005-0000-0000-0000F2230000}"/>
    <cellStyle name="20% - Accent6 2 9" xfId="2349" xr:uid="{00000000-0005-0000-0000-0000F3230000}"/>
    <cellStyle name="20% - Accent6 2 9 2" xfId="2350" xr:uid="{00000000-0005-0000-0000-0000F4230000}"/>
    <cellStyle name="20% - Accent6 2 9 2 2" xfId="12658" xr:uid="{00000000-0005-0000-0000-0000F5230000}"/>
    <cellStyle name="20% - Accent6 2 9 2 2 2" xfId="26370" xr:uid="{00000000-0005-0000-0000-0000F6230000}"/>
    <cellStyle name="20% - Accent6 2 9 2 3" xfId="19674" xr:uid="{00000000-0005-0000-0000-0000F7230000}"/>
    <cellStyle name="20% - Accent6 2 9 3" xfId="2351" xr:uid="{00000000-0005-0000-0000-0000F8230000}"/>
    <cellStyle name="20% - Accent6 2 9 3 2" xfId="14998" xr:uid="{00000000-0005-0000-0000-0000F9230000}"/>
    <cellStyle name="20% - Accent6 2 9 3 2 2" xfId="28547" xr:uid="{00000000-0005-0000-0000-0000FA230000}"/>
    <cellStyle name="20% - Accent6 2 9 3 3" xfId="19675" xr:uid="{00000000-0005-0000-0000-0000FB230000}"/>
    <cellStyle name="20% - Accent6 2 9 4" xfId="10864" xr:uid="{00000000-0005-0000-0000-0000FC230000}"/>
    <cellStyle name="20% - Accent6 2 9 4 2" xfId="24806" xr:uid="{00000000-0005-0000-0000-0000FD230000}"/>
    <cellStyle name="20% - Accent6 2 9 5" xfId="19673" xr:uid="{00000000-0005-0000-0000-0000FE230000}"/>
    <cellStyle name="20% - Accent6 20" xfId="2352" xr:uid="{00000000-0005-0000-0000-0000FF230000}"/>
    <cellStyle name="20% - Accent6 20 2" xfId="2353" xr:uid="{00000000-0005-0000-0000-000000240000}"/>
    <cellStyle name="20% - Accent6 20 2 2" xfId="12426" xr:uid="{00000000-0005-0000-0000-000001240000}"/>
    <cellStyle name="20% - Accent6 20 2 2 2" xfId="26138" xr:uid="{00000000-0005-0000-0000-000002240000}"/>
    <cellStyle name="20% - Accent6 20 2 3" xfId="19677" xr:uid="{00000000-0005-0000-0000-000003240000}"/>
    <cellStyle name="20% - Accent6 20 3" xfId="2354" xr:uid="{00000000-0005-0000-0000-000004240000}"/>
    <cellStyle name="20% - Accent6 20 3 2" xfId="14999" xr:uid="{00000000-0005-0000-0000-000005240000}"/>
    <cellStyle name="20% - Accent6 20 3 2 2" xfId="28548" xr:uid="{00000000-0005-0000-0000-000006240000}"/>
    <cellStyle name="20% - Accent6 20 3 3" xfId="19678" xr:uid="{00000000-0005-0000-0000-000007240000}"/>
    <cellStyle name="20% - Accent6 20 4" xfId="10508" xr:uid="{00000000-0005-0000-0000-000008240000}"/>
    <cellStyle name="20% - Accent6 20 4 2" xfId="24456" xr:uid="{00000000-0005-0000-0000-000009240000}"/>
    <cellStyle name="20% - Accent6 20 5" xfId="19676" xr:uid="{00000000-0005-0000-0000-00000A240000}"/>
    <cellStyle name="20% - Accent6 21" xfId="2355" xr:uid="{00000000-0005-0000-0000-00000B240000}"/>
    <cellStyle name="20% - Accent6 21 2" xfId="2356" xr:uid="{00000000-0005-0000-0000-00000C240000}"/>
    <cellStyle name="20% - Accent6 21 2 2" xfId="12745" xr:uid="{00000000-0005-0000-0000-00000D240000}"/>
    <cellStyle name="20% - Accent6 21 2 2 2" xfId="26457" xr:uid="{00000000-0005-0000-0000-00000E240000}"/>
    <cellStyle name="20% - Accent6 21 2 3" xfId="19680" xr:uid="{00000000-0005-0000-0000-00000F240000}"/>
    <cellStyle name="20% - Accent6 21 3" xfId="2357" xr:uid="{00000000-0005-0000-0000-000010240000}"/>
    <cellStyle name="20% - Accent6 21 3 2" xfId="15000" xr:uid="{00000000-0005-0000-0000-000011240000}"/>
    <cellStyle name="20% - Accent6 21 3 2 2" xfId="28549" xr:uid="{00000000-0005-0000-0000-000012240000}"/>
    <cellStyle name="20% - Accent6 21 3 3" xfId="19681" xr:uid="{00000000-0005-0000-0000-000013240000}"/>
    <cellStyle name="20% - Accent6 21 4" xfId="10853" xr:uid="{00000000-0005-0000-0000-000014240000}"/>
    <cellStyle name="20% - Accent6 21 4 2" xfId="24795" xr:uid="{00000000-0005-0000-0000-000015240000}"/>
    <cellStyle name="20% - Accent6 21 5" xfId="19679" xr:uid="{00000000-0005-0000-0000-000016240000}"/>
    <cellStyle name="20% - Accent6 22" xfId="2358" xr:uid="{00000000-0005-0000-0000-000017240000}"/>
    <cellStyle name="20% - Accent6 22 2" xfId="11744" xr:uid="{00000000-0005-0000-0000-000018240000}"/>
    <cellStyle name="20% - Accent6 22 2 2" xfId="25459" xr:uid="{00000000-0005-0000-0000-000019240000}"/>
    <cellStyle name="20% - Accent6 22 3" xfId="19682" xr:uid="{00000000-0005-0000-0000-00001A240000}"/>
    <cellStyle name="20% - Accent6 23" xfId="2359" xr:uid="{00000000-0005-0000-0000-00001B240000}"/>
    <cellStyle name="20% - Accent6 23 2" xfId="12476" xr:uid="{00000000-0005-0000-0000-00001C240000}"/>
    <cellStyle name="20% - Accent6 23 2 2" xfId="26188" xr:uid="{00000000-0005-0000-0000-00001D240000}"/>
    <cellStyle name="20% - Accent6 23 3" xfId="19683" xr:uid="{00000000-0005-0000-0000-00001E240000}"/>
    <cellStyle name="20% - Accent6 24" xfId="2360" xr:uid="{00000000-0005-0000-0000-00001F240000}"/>
    <cellStyle name="20% - Accent6 24 2" xfId="13383" xr:uid="{00000000-0005-0000-0000-000020240000}"/>
    <cellStyle name="20% - Accent6 24 2 2" xfId="26932" xr:uid="{00000000-0005-0000-0000-000021240000}"/>
    <cellStyle name="20% - Accent6 24 3" xfId="19684" xr:uid="{00000000-0005-0000-0000-000022240000}"/>
    <cellStyle name="20% - Accent6 25" xfId="2361" xr:uid="{00000000-0005-0000-0000-000023240000}"/>
    <cellStyle name="20% - Accent6 25 2" xfId="13964" xr:uid="{00000000-0005-0000-0000-000024240000}"/>
    <cellStyle name="20% - Accent6 25 2 2" xfId="27513" xr:uid="{00000000-0005-0000-0000-000025240000}"/>
    <cellStyle name="20% - Accent6 25 3" xfId="19685" xr:uid="{00000000-0005-0000-0000-000026240000}"/>
    <cellStyle name="20% - Accent6 26" xfId="2362" xr:uid="{00000000-0005-0000-0000-000027240000}"/>
    <cellStyle name="20% - Accent6 26 2" xfId="14957" xr:uid="{00000000-0005-0000-0000-000028240000}"/>
    <cellStyle name="20% - Accent6 26 2 2" xfId="28506" xr:uid="{00000000-0005-0000-0000-000029240000}"/>
    <cellStyle name="20% - Accent6 26 3" xfId="19686" xr:uid="{00000000-0005-0000-0000-00002A240000}"/>
    <cellStyle name="20% - Accent6 27" xfId="2363" xr:uid="{00000000-0005-0000-0000-00002B240000}"/>
    <cellStyle name="20% - Accent6 27 2" xfId="15841" xr:uid="{00000000-0005-0000-0000-00002C240000}"/>
    <cellStyle name="20% - Accent6 27 2 2" xfId="29248" xr:uid="{00000000-0005-0000-0000-00002D240000}"/>
    <cellStyle name="20% - Accent6 27 3" xfId="19687" xr:uid="{00000000-0005-0000-0000-00002E240000}"/>
    <cellStyle name="20% - Accent6 28" xfId="2364" xr:uid="{00000000-0005-0000-0000-00002F240000}"/>
    <cellStyle name="20% - Accent6 28 2" xfId="15850" xr:uid="{00000000-0005-0000-0000-000030240000}"/>
    <cellStyle name="20% - Accent6 28 2 2" xfId="29257" xr:uid="{00000000-0005-0000-0000-000031240000}"/>
    <cellStyle name="20% - Accent6 28 3" xfId="19688" xr:uid="{00000000-0005-0000-0000-000032240000}"/>
    <cellStyle name="20% - Accent6 29" xfId="2365" xr:uid="{00000000-0005-0000-0000-000033240000}"/>
    <cellStyle name="20% - Accent6 29 2" xfId="9127" xr:uid="{00000000-0005-0000-0000-000034240000}"/>
    <cellStyle name="20% - Accent6 29 2 2" xfId="23602" xr:uid="{00000000-0005-0000-0000-000035240000}"/>
    <cellStyle name="20% - Accent6 29 3" xfId="19689" xr:uid="{00000000-0005-0000-0000-000036240000}"/>
    <cellStyle name="20% - Accent6 3" xfId="2366" xr:uid="{00000000-0005-0000-0000-000037240000}"/>
    <cellStyle name="20% - Accent6 3 10" xfId="2367" xr:uid="{00000000-0005-0000-0000-000038240000}"/>
    <cellStyle name="20% - Accent6 3 10 2" xfId="14049" xr:uid="{00000000-0005-0000-0000-000039240000}"/>
    <cellStyle name="20% - Accent6 3 10 2 2" xfId="27598" xr:uid="{00000000-0005-0000-0000-00003A240000}"/>
    <cellStyle name="20% - Accent6 3 10 3" xfId="19691" xr:uid="{00000000-0005-0000-0000-00003B240000}"/>
    <cellStyle name="20% - Accent6 3 11" xfId="2368" xr:uid="{00000000-0005-0000-0000-00003C240000}"/>
    <cellStyle name="20% - Accent6 3 11 2" xfId="15001" xr:uid="{00000000-0005-0000-0000-00003D240000}"/>
    <cellStyle name="20% - Accent6 3 11 2 2" xfId="28550" xr:uid="{00000000-0005-0000-0000-00003E240000}"/>
    <cellStyle name="20% - Accent6 3 11 3" xfId="19692" xr:uid="{00000000-0005-0000-0000-00003F240000}"/>
    <cellStyle name="20% - Accent6 3 12" xfId="2369" xr:uid="{00000000-0005-0000-0000-000040240000}"/>
    <cellStyle name="20% - Accent6 3 12 2" xfId="15935" xr:uid="{00000000-0005-0000-0000-000041240000}"/>
    <cellStyle name="20% - Accent6 3 12 2 2" xfId="29342" xr:uid="{00000000-0005-0000-0000-000042240000}"/>
    <cellStyle name="20% - Accent6 3 12 3" xfId="19693" xr:uid="{00000000-0005-0000-0000-000043240000}"/>
    <cellStyle name="20% - Accent6 3 13" xfId="9157" xr:uid="{00000000-0005-0000-0000-000044240000}"/>
    <cellStyle name="20% - Accent6 3 13 2" xfId="23632" xr:uid="{00000000-0005-0000-0000-000045240000}"/>
    <cellStyle name="20% - Accent6 3 14" xfId="19690" xr:uid="{00000000-0005-0000-0000-000046240000}"/>
    <cellStyle name="20% - Accent6 3 2" xfId="2370" xr:uid="{00000000-0005-0000-0000-000047240000}"/>
    <cellStyle name="20% - Accent6 3 2 10" xfId="2371" xr:uid="{00000000-0005-0000-0000-000048240000}"/>
    <cellStyle name="20% - Accent6 3 2 10 2" xfId="16078" xr:uid="{00000000-0005-0000-0000-000049240000}"/>
    <cellStyle name="20% - Accent6 3 2 10 2 2" xfId="29485" xr:uid="{00000000-0005-0000-0000-00004A240000}"/>
    <cellStyle name="20% - Accent6 3 2 10 3" xfId="19695" xr:uid="{00000000-0005-0000-0000-00004B240000}"/>
    <cellStyle name="20% - Accent6 3 2 11" xfId="9158" xr:uid="{00000000-0005-0000-0000-00004C240000}"/>
    <cellStyle name="20% - Accent6 3 2 11 2" xfId="23633" xr:uid="{00000000-0005-0000-0000-00004D240000}"/>
    <cellStyle name="20% - Accent6 3 2 12" xfId="19694" xr:uid="{00000000-0005-0000-0000-00004E240000}"/>
    <cellStyle name="20% - Accent6 3 2 2" xfId="2372" xr:uid="{00000000-0005-0000-0000-00004F240000}"/>
    <cellStyle name="20% - Accent6 3 2 2 10" xfId="9159" xr:uid="{00000000-0005-0000-0000-000050240000}"/>
    <cellStyle name="20% - Accent6 3 2 2 10 2" xfId="23634" xr:uid="{00000000-0005-0000-0000-000051240000}"/>
    <cellStyle name="20% - Accent6 3 2 2 11" xfId="19696" xr:uid="{00000000-0005-0000-0000-000052240000}"/>
    <cellStyle name="20% - Accent6 3 2 2 2" xfId="2373" xr:uid="{00000000-0005-0000-0000-000053240000}"/>
    <cellStyle name="20% - Accent6 3 2 2 2 2" xfId="2374" xr:uid="{00000000-0005-0000-0000-000054240000}"/>
    <cellStyle name="20% - Accent6 3 2 2 2 2 2" xfId="10886" xr:uid="{00000000-0005-0000-0000-000055240000}"/>
    <cellStyle name="20% - Accent6 3 2 2 2 2 2 2" xfId="24828" xr:uid="{00000000-0005-0000-0000-000056240000}"/>
    <cellStyle name="20% - Accent6 3 2 2 2 2 3" xfId="19698" xr:uid="{00000000-0005-0000-0000-000057240000}"/>
    <cellStyle name="20% - Accent6 3 2 2 2 3" xfId="2375" xr:uid="{00000000-0005-0000-0000-000058240000}"/>
    <cellStyle name="20% - Accent6 3 2 2 2 3 2" xfId="12508" xr:uid="{00000000-0005-0000-0000-000059240000}"/>
    <cellStyle name="20% - Accent6 3 2 2 2 3 2 2" xfId="26220" xr:uid="{00000000-0005-0000-0000-00005A240000}"/>
    <cellStyle name="20% - Accent6 3 2 2 2 3 3" xfId="19699" xr:uid="{00000000-0005-0000-0000-00005B240000}"/>
    <cellStyle name="20% - Accent6 3 2 2 2 4" xfId="2376" xr:uid="{00000000-0005-0000-0000-00005C240000}"/>
    <cellStyle name="20% - Accent6 3 2 2 2 4 2" xfId="15004" xr:uid="{00000000-0005-0000-0000-00005D240000}"/>
    <cellStyle name="20% - Accent6 3 2 2 2 4 2 2" xfId="28553" xr:uid="{00000000-0005-0000-0000-00005E240000}"/>
    <cellStyle name="20% - Accent6 3 2 2 2 4 3" xfId="19700" xr:uid="{00000000-0005-0000-0000-00005F240000}"/>
    <cellStyle name="20% - Accent6 3 2 2 2 5" xfId="2377" xr:uid="{00000000-0005-0000-0000-000060240000}"/>
    <cellStyle name="20% - Accent6 3 2 2 2 5 2" xfId="16948" xr:uid="{00000000-0005-0000-0000-000061240000}"/>
    <cellStyle name="20% - Accent6 3 2 2 2 5 2 2" xfId="30355" xr:uid="{00000000-0005-0000-0000-000062240000}"/>
    <cellStyle name="20% - Accent6 3 2 2 2 5 3" xfId="19701" xr:uid="{00000000-0005-0000-0000-000063240000}"/>
    <cellStyle name="20% - Accent6 3 2 2 2 6" xfId="9160" xr:uid="{00000000-0005-0000-0000-000064240000}"/>
    <cellStyle name="20% - Accent6 3 2 2 2 6 2" xfId="23635" xr:uid="{00000000-0005-0000-0000-000065240000}"/>
    <cellStyle name="20% - Accent6 3 2 2 2 7" xfId="19697" xr:uid="{00000000-0005-0000-0000-000066240000}"/>
    <cellStyle name="20% - Accent6 3 2 2 3" xfId="2378" xr:uid="{00000000-0005-0000-0000-000067240000}"/>
    <cellStyle name="20% - Accent6 3 2 2 3 2" xfId="2379" xr:uid="{00000000-0005-0000-0000-000068240000}"/>
    <cellStyle name="20% - Accent6 3 2 2 3 2 2" xfId="15005" xr:uid="{00000000-0005-0000-0000-000069240000}"/>
    <cellStyle name="20% - Accent6 3 2 2 3 2 2 2" xfId="28554" xr:uid="{00000000-0005-0000-0000-00006A240000}"/>
    <cellStyle name="20% - Accent6 3 2 2 3 2 3" xfId="19703" xr:uid="{00000000-0005-0000-0000-00006B240000}"/>
    <cellStyle name="20% - Accent6 3 2 2 3 3" xfId="10885" xr:uid="{00000000-0005-0000-0000-00006C240000}"/>
    <cellStyle name="20% - Accent6 3 2 2 3 3 2" xfId="24827" xr:uid="{00000000-0005-0000-0000-00006D240000}"/>
    <cellStyle name="20% - Accent6 3 2 2 3 4" xfId="19702" xr:uid="{00000000-0005-0000-0000-00006E240000}"/>
    <cellStyle name="20% - Accent6 3 2 2 4" xfId="2380" xr:uid="{00000000-0005-0000-0000-00006F240000}"/>
    <cellStyle name="20% - Accent6 3 2 2 4 2" xfId="12336" xr:uid="{00000000-0005-0000-0000-000070240000}"/>
    <cellStyle name="20% - Accent6 3 2 2 4 2 2" xfId="26048" xr:uid="{00000000-0005-0000-0000-000071240000}"/>
    <cellStyle name="20% - Accent6 3 2 2 4 3" xfId="19704" xr:uid="{00000000-0005-0000-0000-000072240000}"/>
    <cellStyle name="20% - Accent6 3 2 2 5" xfId="2381" xr:uid="{00000000-0005-0000-0000-000073240000}"/>
    <cellStyle name="20% - Accent6 3 2 2 5 2" xfId="11847" xr:uid="{00000000-0005-0000-0000-000074240000}"/>
    <cellStyle name="20% - Accent6 3 2 2 5 2 2" xfId="25562" xr:uid="{00000000-0005-0000-0000-000075240000}"/>
    <cellStyle name="20% - Accent6 3 2 2 5 3" xfId="19705" xr:uid="{00000000-0005-0000-0000-000076240000}"/>
    <cellStyle name="20% - Accent6 3 2 2 6" xfId="2382" xr:uid="{00000000-0005-0000-0000-000077240000}"/>
    <cellStyle name="20% - Accent6 3 2 2 6 2" xfId="13900" xr:uid="{00000000-0005-0000-0000-000078240000}"/>
    <cellStyle name="20% - Accent6 3 2 2 6 2 2" xfId="27449" xr:uid="{00000000-0005-0000-0000-000079240000}"/>
    <cellStyle name="20% - Accent6 3 2 2 6 3" xfId="19706" xr:uid="{00000000-0005-0000-0000-00007A240000}"/>
    <cellStyle name="20% - Accent6 3 2 2 7" xfId="2383" xr:uid="{00000000-0005-0000-0000-00007B240000}"/>
    <cellStyle name="20% - Accent6 3 2 2 7 2" xfId="14481" xr:uid="{00000000-0005-0000-0000-00007C240000}"/>
    <cellStyle name="20% - Accent6 3 2 2 7 2 2" xfId="28030" xr:uid="{00000000-0005-0000-0000-00007D240000}"/>
    <cellStyle name="20% - Accent6 3 2 2 7 3" xfId="19707" xr:uid="{00000000-0005-0000-0000-00007E240000}"/>
    <cellStyle name="20% - Accent6 3 2 2 8" xfId="2384" xr:uid="{00000000-0005-0000-0000-00007F240000}"/>
    <cellStyle name="20% - Accent6 3 2 2 8 2" xfId="15003" xr:uid="{00000000-0005-0000-0000-000080240000}"/>
    <cellStyle name="20% - Accent6 3 2 2 8 2 2" xfId="28552" xr:uid="{00000000-0005-0000-0000-000081240000}"/>
    <cellStyle name="20% - Accent6 3 2 2 8 3" xfId="19708" xr:uid="{00000000-0005-0000-0000-000082240000}"/>
    <cellStyle name="20% - Accent6 3 2 2 9" xfId="2385" xr:uid="{00000000-0005-0000-0000-000083240000}"/>
    <cellStyle name="20% - Accent6 3 2 2 9 2" xfId="16367" xr:uid="{00000000-0005-0000-0000-000084240000}"/>
    <cellStyle name="20% - Accent6 3 2 2 9 2 2" xfId="29774" xr:uid="{00000000-0005-0000-0000-000085240000}"/>
    <cellStyle name="20% - Accent6 3 2 2 9 3" xfId="19709" xr:uid="{00000000-0005-0000-0000-000086240000}"/>
    <cellStyle name="20% - Accent6 3 2 3" xfId="2386" xr:uid="{00000000-0005-0000-0000-000087240000}"/>
    <cellStyle name="20% - Accent6 3 2 3 2" xfId="2387" xr:uid="{00000000-0005-0000-0000-000088240000}"/>
    <cellStyle name="20% - Accent6 3 2 3 2 2" xfId="10887" xr:uid="{00000000-0005-0000-0000-000089240000}"/>
    <cellStyle name="20% - Accent6 3 2 3 2 2 2" xfId="24829" xr:uid="{00000000-0005-0000-0000-00008A240000}"/>
    <cellStyle name="20% - Accent6 3 2 3 2 3" xfId="19711" xr:uid="{00000000-0005-0000-0000-00008B240000}"/>
    <cellStyle name="20% - Accent6 3 2 3 3" xfId="2388" xr:uid="{00000000-0005-0000-0000-00008C240000}"/>
    <cellStyle name="20% - Accent6 3 2 3 3 2" xfId="11785" xr:uid="{00000000-0005-0000-0000-00008D240000}"/>
    <cellStyle name="20% - Accent6 3 2 3 3 2 2" xfId="25500" xr:uid="{00000000-0005-0000-0000-00008E240000}"/>
    <cellStyle name="20% - Accent6 3 2 3 3 3" xfId="19712" xr:uid="{00000000-0005-0000-0000-00008F240000}"/>
    <cellStyle name="20% - Accent6 3 2 3 4" xfId="2389" xr:uid="{00000000-0005-0000-0000-000090240000}"/>
    <cellStyle name="20% - Accent6 3 2 3 4 2" xfId="15006" xr:uid="{00000000-0005-0000-0000-000091240000}"/>
    <cellStyle name="20% - Accent6 3 2 3 4 2 2" xfId="28555" xr:uid="{00000000-0005-0000-0000-000092240000}"/>
    <cellStyle name="20% - Accent6 3 2 3 4 3" xfId="19713" xr:uid="{00000000-0005-0000-0000-000093240000}"/>
    <cellStyle name="20% - Accent6 3 2 3 5" xfId="2390" xr:uid="{00000000-0005-0000-0000-000094240000}"/>
    <cellStyle name="20% - Accent6 3 2 3 5 2" xfId="16659" xr:uid="{00000000-0005-0000-0000-000095240000}"/>
    <cellStyle name="20% - Accent6 3 2 3 5 2 2" xfId="30066" xr:uid="{00000000-0005-0000-0000-000096240000}"/>
    <cellStyle name="20% - Accent6 3 2 3 5 3" xfId="19714" xr:uid="{00000000-0005-0000-0000-000097240000}"/>
    <cellStyle name="20% - Accent6 3 2 3 6" xfId="9161" xr:uid="{00000000-0005-0000-0000-000098240000}"/>
    <cellStyle name="20% - Accent6 3 2 3 6 2" xfId="23636" xr:uid="{00000000-0005-0000-0000-000099240000}"/>
    <cellStyle name="20% - Accent6 3 2 3 7" xfId="19710" xr:uid="{00000000-0005-0000-0000-00009A240000}"/>
    <cellStyle name="20% - Accent6 3 2 4" xfId="2391" xr:uid="{00000000-0005-0000-0000-00009B240000}"/>
    <cellStyle name="20% - Accent6 3 2 4 2" xfId="2392" xr:uid="{00000000-0005-0000-0000-00009C240000}"/>
    <cellStyle name="20% - Accent6 3 2 4 2 2" xfId="15007" xr:uid="{00000000-0005-0000-0000-00009D240000}"/>
    <cellStyle name="20% - Accent6 3 2 4 2 2 2" xfId="28556" xr:uid="{00000000-0005-0000-0000-00009E240000}"/>
    <cellStyle name="20% - Accent6 3 2 4 2 3" xfId="19716" xr:uid="{00000000-0005-0000-0000-00009F240000}"/>
    <cellStyle name="20% - Accent6 3 2 4 3" xfId="10884" xr:uid="{00000000-0005-0000-0000-0000A0240000}"/>
    <cellStyle name="20% - Accent6 3 2 4 3 2" xfId="24826" xr:uid="{00000000-0005-0000-0000-0000A1240000}"/>
    <cellStyle name="20% - Accent6 3 2 4 4" xfId="19715" xr:uid="{00000000-0005-0000-0000-0000A2240000}"/>
    <cellStyle name="20% - Accent6 3 2 5" xfId="2393" xr:uid="{00000000-0005-0000-0000-0000A3240000}"/>
    <cellStyle name="20% - Accent6 3 2 5 2" xfId="12036" xr:uid="{00000000-0005-0000-0000-0000A4240000}"/>
    <cellStyle name="20% - Accent6 3 2 5 2 2" xfId="25751" xr:uid="{00000000-0005-0000-0000-0000A5240000}"/>
    <cellStyle name="20% - Accent6 3 2 5 3" xfId="19717" xr:uid="{00000000-0005-0000-0000-0000A6240000}"/>
    <cellStyle name="20% - Accent6 3 2 6" xfId="2394" xr:uid="{00000000-0005-0000-0000-0000A7240000}"/>
    <cellStyle name="20% - Accent6 3 2 6 2" xfId="11780" xr:uid="{00000000-0005-0000-0000-0000A8240000}"/>
    <cellStyle name="20% - Accent6 3 2 6 2 2" xfId="25495" xr:uid="{00000000-0005-0000-0000-0000A9240000}"/>
    <cellStyle name="20% - Accent6 3 2 6 3" xfId="19718" xr:uid="{00000000-0005-0000-0000-0000AA240000}"/>
    <cellStyle name="20% - Accent6 3 2 7" xfId="2395" xr:uid="{00000000-0005-0000-0000-0000AB240000}"/>
    <cellStyle name="20% - Accent6 3 2 7 2" xfId="13611" xr:uid="{00000000-0005-0000-0000-0000AC240000}"/>
    <cellStyle name="20% - Accent6 3 2 7 2 2" xfId="27160" xr:uid="{00000000-0005-0000-0000-0000AD240000}"/>
    <cellStyle name="20% - Accent6 3 2 7 3" xfId="19719" xr:uid="{00000000-0005-0000-0000-0000AE240000}"/>
    <cellStyle name="20% - Accent6 3 2 8" xfId="2396" xr:uid="{00000000-0005-0000-0000-0000AF240000}"/>
    <cellStyle name="20% - Accent6 3 2 8 2" xfId="14192" xr:uid="{00000000-0005-0000-0000-0000B0240000}"/>
    <cellStyle name="20% - Accent6 3 2 8 2 2" xfId="27741" xr:uid="{00000000-0005-0000-0000-0000B1240000}"/>
    <cellStyle name="20% - Accent6 3 2 8 3" xfId="19720" xr:uid="{00000000-0005-0000-0000-0000B2240000}"/>
    <cellStyle name="20% - Accent6 3 2 9" xfId="2397" xr:uid="{00000000-0005-0000-0000-0000B3240000}"/>
    <cellStyle name="20% - Accent6 3 2 9 2" xfId="15002" xr:uid="{00000000-0005-0000-0000-0000B4240000}"/>
    <cellStyle name="20% - Accent6 3 2 9 2 2" xfId="28551" xr:uid="{00000000-0005-0000-0000-0000B5240000}"/>
    <cellStyle name="20% - Accent6 3 2 9 3" xfId="19721" xr:uid="{00000000-0005-0000-0000-0000B6240000}"/>
    <cellStyle name="20% - Accent6 3 3" xfId="2398" xr:uid="{00000000-0005-0000-0000-0000B7240000}"/>
    <cellStyle name="20% - Accent6 3 3 10" xfId="9162" xr:uid="{00000000-0005-0000-0000-0000B8240000}"/>
    <cellStyle name="20% - Accent6 3 3 10 2" xfId="23637" xr:uid="{00000000-0005-0000-0000-0000B9240000}"/>
    <cellStyle name="20% - Accent6 3 3 11" xfId="19722" xr:uid="{00000000-0005-0000-0000-0000BA240000}"/>
    <cellStyle name="20% - Accent6 3 3 2" xfId="2399" xr:uid="{00000000-0005-0000-0000-0000BB240000}"/>
    <cellStyle name="20% - Accent6 3 3 2 2" xfId="2400" xr:uid="{00000000-0005-0000-0000-0000BC240000}"/>
    <cellStyle name="20% - Accent6 3 3 2 2 2" xfId="10889" xr:uid="{00000000-0005-0000-0000-0000BD240000}"/>
    <cellStyle name="20% - Accent6 3 3 2 2 2 2" xfId="24831" xr:uid="{00000000-0005-0000-0000-0000BE240000}"/>
    <cellStyle name="20% - Accent6 3 3 2 2 3" xfId="19724" xr:uid="{00000000-0005-0000-0000-0000BF240000}"/>
    <cellStyle name="20% - Accent6 3 3 2 3" xfId="2401" xr:uid="{00000000-0005-0000-0000-0000C0240000}"/>
    <cellStyle name="20% - Accent6 3 3 2 3 2" xfId="12467" xr:uid="{00000000-0005-0000-0000-0000C1240000}"/>
    <cellStyle name="20% - Accent6 3 3 2 3 2 2" xfId="26179" xr:uid="{00000000-0005-0000-0000-0000C2240000}"/>
    <cellStyle name="20% - Accent6 3 3 2 3 3" xfId="19725" xr:uid="{00000000-0005-0000-0000-0000C3240000}"/>
    <cellStyle name="20% - Accent6 3 3 2 4" xfId="2402" xr:uid="{00000000-0005-0000-0000-0000C4240000}"/>
    <cellStyle name="20% - Accent6 3 3 2 4 2" xfId="15009" xr:uid="{00000000-0005-0000-0000-0000C5240000}"/>
    <cellStyle name="20% - Accent6 3 3 2 4 2 2" xfId="28558" xr:uid="{00000000-0005-0000-0000-0000C6240000}"/>
    <cellStyle name="20% - Accent6 3 3 2 4 3" xfId="19726" xr:uid="{00000000-0005-0000-0000-0000C7240000}"/>
    <cellStyle name="20% - Accent6 3 3 2 5" xfId="2403" xr:uid="{00000000-0005-0000-0000-0000C8240000}"/>
    <cellStyle name="20% - Accent6 3 3 2 5 2" xfId="16805" xr:uid="{00000000-0005-0000-0000-0000C9240000}"/>
    <cellStyle name="20% - Accent6 3 3 2 5 2 2" xfId="30212" xr:uid="{00000000-0005-0000-0000-0000CA240000}"/>
    <cellStyle name="20% - Accent6 3 3 2 5 3" xfId="19727" xr:uid="{00000000-0005-0000-0000-0000CB240000}"/>
    <cellStyle name="20% - Accent6 3 3 2 6" xfId="9163" xr:uid="{00000000-0005-0000-0000-0000CC240000}"/>
    <cellStyle name="20% - Accent6 3 3 2 6 2" xfId="23638" xr:uid="{00000000-0005-0000-0000-0000CD240000}"/>
    <cellStyle name="20% - Accent6 3 3 2 7" xfId="19723" xr:uid="{00000000-0005-0000-0000-0000CE240000}"/>
    <cellStyle name="20% - Accent6 3 3 3" xfId="2404" xr:uid="{00000000-0005-0000-0000-0000CF240000}"/>
    <cellStyle name="20% - Accent6 3 3 3 2" xfId="2405" xr:uid="{00000000-0005-0000-0000-0000D0240000}"/>
    <cellStyle name="20% - Accent6 3 3 3 2 2" xfId="15010" xr:uid="{00000000-0005-0000-0000-0000D1240000}"/>
    <cellStyle name="20% - Accent6 3 3 3 2 2 2" xfId="28559" xr:uid="{00000000-0005-0000-0000-0000D2240000}"/>
    <cellStyle name="20% - Accent6 3 3 3 2 3" xfId="19729" xr:uid="{00000000-0005-0000-0000-0000D3240000}"/>
    <cellStyle name="20% - Accent6 3 3 3 3" xfId="10888" xr:uid="{00000000-0005-0000-0000-0000D4240000}"/>
    <cellStyle name="20% - Accent6 3 3 3 3 2" xfId="24830" xr:uid="{00000000-0005-0000-0000-0000D5240000}"/>
    <cellStyle name="20% - Accent6 3 3 3 4" xfId="19728" xr:uid="{00000000-0005-0000-0000-0000D6240000}"/>
    <cellStyle name="20% - Accent6 3 3 4" xfId="2406" xr:uid="{00000000-0005-0000-0000-0000D7240000}"/>
    <cellStyle name="20% - Accent6 3 3 4 2" xfId="12193" xr:uid="{00000000-0005-0000-0000-0000D8240000}"/>
    <cellStyle name="20% - Accent6 3 3 4 2 2" xfId="25905" xr:uid="{00000000-0005-0000-0000-0000D9240000}"/>
    <cellStyle name="20% - Accent6 3 3 4 3" xfId="19730" xr:uid="{00000000-0005-0000-0000-0000DA240000}"/>
    <cellStyle name="20% - Accent6 3 3 5" xfId="2407" xr:uid="{00000000-0005-0000-0000-0000DB240000}"/>
    <cellStyle name="20% - Accent6 3 3 5 2" xfId="12722" xr:uid="{00000000-0005-0000-0000-0000DC240000}"/>
    <cellStyle name="20% - Accent6 3 3 5 2 2" xfId="26434" xr:uid="{00000000-0005-0000-0000-0000DD240000}"/>
    <cellStyle name="20% - Accent6 3 3 5 3" xfId="19731" xr:uid="{00000000-0005-0000-0000-0000DE240000}"/>
    <cellStyle name="20% - Accent6 3 3 6" xfId="2408" xr:uid="{00000000-0005-0000-0000-0000DF240000}"/>
    <cellStyle name="20% - Accent6 3 3 6 2" xfId="13757" xr:uid="{00000000-0005-0000-0000-0000E0240000}"/>
    <cellStyle name="20% - Accent6 3 3 6 2 2" xfId="27306" xr:uid="{00000000-0005-0000-0000-0000E1240000}"/>
    <cellStyle name="20% - Accent6 3 3 6 3" xfId="19732" xr:uid="{00000000-0005-0000-0000-0000E2240000}"/>
    <cellStyle name="20% - Accent6 3 3 7" xfId="2409" xr:uid="{00000000-0005-0000-0000-0000E3240000}"/>
    <cellStyle name="20% - Accent6 3 3 7 2" xfId="14338" xr:uid="{00000000-0005-0000-0000-0000E4240000}"/>
    <cellStyle name="20% - Accent6 3 3 7 2 2" xfId="27887" xr:uid="{00000000-0005-0000-0000-0000E5240000}"/>
    <cellStyle name="20% - Accent6 3 3 7 3" xfId="19733" xr:uid="{00000000-0005-0000-0000-0000E6240000}"/>
    <cellStyle name="20% - Accent6 3 3 8" xfId="2410" xr:uid="{00000000-0005-0000-0000-0000E7240000}"/>
    <cellStyle name="20% - Accent6 3 3 8 2" xfId="15008" xr:uid="{00000000-0005-0000-0000-0000E8240000}"/>
    <cellStyle name="20% - Accent6 3 3 8 2 2" xfId="28557" xr:uid="{00000000-0005-0000-0000-0000E9240000}"/>
    <cellStyle name="20% - Accent6 3 3 8 3" xfId="19734" xr:uid="{00000000-0005-0000-0000-0000EA240000}"/>
    <cellStyle name="20% - Accent6 3 3 9" xfId="2411" xr:uid="{00000000-0005-0000-0000-0000EB240000}"/>
    <cellStyle name="20% - Accent6 3 3 9 2" xfId="16224" xr:uid="{00000000-0005-0000-0000-0000EC240000}"/>
    <cellStyle name="20% - Accent6 3 3 9 2 2" xfId="29631" xr:uid="{00000000-0005-0000-0000-0000ED240000}"/>
    <cellStyle name="20% - Accent6 3 3 9 3" xfId="19735" xr:uid="{00000000-0005-0000-0000-0000EE240000}"/>
    <cellStyle name="20% - Accent6 3 4" xfId="2412" xr:uid="{00000000-0005-0000-0000-0000EF240000}"/>
    <cellStyle name="20% - Accent6 3 4 2" xfId="2413" xr:uid="{00000000-0005-0000-0000-0000F0240000}"/>
    <cellStyle name="20% - Accent6 3 4 2 2" xfId="10890" xr:uid="{00000000-0005-0000-0000-0000F1240000}"/>
    <cellStyle name="20% - Accent6 3 4 2 2 2" xfId="24832" xr:uid="{00000000-0005-0000-0000-0000F2240000}"/>
    <cellStyle name="20% - Accent6 3 4 2 3" xfId="19737" xr:uid="{00000000-0005-0000-0000-0000F3240000}"/>
    <cellStyle name="20% - Accent6 3 4 3" xfId="2414" xr:uid="{00000000-0005-0000-0000-0000F4240000}"/>
    <cellStyle name="20% - Accent6 3 4 3 2" xfId="11837" xr:uid="{00000000-0005-0000-0000-0000F5240000}"/>
    <cellStyle name="20% - Accent6 3 4 3 2 2" xfId="25552" xr:uid="{00000000-0005-0000-0000-0000F6240000}"/>
    <cellStyle name="20% - Accent6 3 4 3 3" xfId="19738" xr:uid="{00000000-0005-0000-0000-0000F7240000}"/>
    <cellStyle name="20% - Accent6 3 4 4" xfId="2415" xr:uid="{00000000-0005-0000-0000-0000F8240000}"/>
    <cellStyle name="20% - Accent6 3 4 4 2" xfId="15011" xr:uid="{00000000-0005-0000-0000-0000F9240000}"/>
    <cellStyle name="20% - Accent6 3 4 4 2 2" xfId="28560" xr:uid="{00000000-0005-0000-0000-0000FA240000}"/>
    <cellStyle name="20% - Accent6 3 4 4 3" xfId="19739" xr:uid="{00000000-0005-0000-0000-0000FB240000}"/>
    <cellStyle name="20% - Accent6 3 4 5" xfId="2416" xr:uid="{00000000-0005-0000-0000-0000FC240000}"/>
    <cellStyle name="20% - Accent6 3 4 5 2" xfId="17152" xr:uid="{00000000-0005-0000-0000-0000FD240000}"/>
    <cellStyle name="20% - Accent6 3 4 5 2 2" xfId="30511" xr:uid="{00000000-0005-0000-0000-0000FE240000}"/>
    <cellStyle name="20% - Accent6 3 4 5 3" xfId="19740" xr:uid="{00000000-0005-0000-0000-0000FF240000}"/>
    <cellStyle name="20% - Accent6 3 4 6" xfId="9164" xr:uid="{00000000-0005-0000-0000-000000250000}"/>
    <cellStyle name="20% - Accent6 3 4 6 2" xfId="23639" xr:uid="{00000000-0005-0000-0000-000001250000}"/>
    <cellStyle name="20% - Accent6 3 4 7" xfId="19736" xr:uid="{00000000-0005-0000-0000-000002250000}"/>
    <cellStyle name="20% - Accent6 3 5" xfId="2417" xr:uid="{00000000-0005-0000-0000-000003250000}"/>
    <cellStyle name="20% - Accent6 3 5 2" xfId="2418" xr:uid="{00000000-0005-0000-0000-000004250000}"/>
    <cellStyle name="20% - Accent6 3 5 2 2" xfId="10891" xr:uid="{00000000-0005-0000-0000-000005250000}"/>
    <cellStyle name="20% - Accent6 3 5 2 2 2" xfId="24833" xr:uid="{00000000-0005-0000-0000-000006250000}"/>
    <cellStyle name="20% - Accent6 3 5 2 3" xfId="19742" xr:uid="{00000000-0005-0000-0000-000007250000}"/>
    <cellStyle name="20% - Accent6 3 5 3" xfId="2419" xr:uid="{00000000-0005-0000-0000-000008250000}"/>
    <cellStyle name="20% - Accent6 3 5 3 2" xfId="12504" xr:uid="{00000000-0005-0000-0000-000009250000}"/>
    <cellStyle name="20% - Accent6 3 5 3 2 2" xfId="26216" xr:uid="{00000000-0005-0000-0000-00000A250000}"/>
    <cellStyle name="20% - Accent6 3 5 3 3" xfId="19743" xr:uid="{00000000-0005-0000-0000-00000B250000}"/>
    <cellStyle name="20% - Accent6 3 5 4" xfId="2420" xr:uid="{00000000-0005-0000-0000-00000C250000}"/>
    <cellStyle name="20% - Accent6 3 5 4 2" xfId="15012" xr:uid="{00000000-0005-0000-0000-00000D250000}"/>
    <cellStyle name="20% - Accent6 3 5 4 2 2" xfId="28561" xr:uid="{00000000-0005-0000-0000-00000E250000}"/>
    <cellStyle name="20% - Accent6 3 5 4 3" xfId="19744" xr:uid="{00000000-0005-0000-0000-00000F250000}"/>
    <cellStyle name="20% - Accent6 3 5 5" xfId="2421" xr:uid="{00000000-0005-0000-0000-000010250000}"/>
    <cellStyle name="20% - Accent6 3 5 5 2" xfId="17241" xr:uid="{00000000-0005-0000-0000-000011250000}"/>
    <cellStyle name="20% - Accent6 3 5 5 2 2" xfId="30600" xr:uid="{00000000-0005-0000-0000-000012250000}"/>
    <cellStyle name="20% - Accent6 3 5 5 3" xfId="19745" xr:uid="{00000000-0005-0000-0000-000013250000}"/>
    <cellStyle name="20% - Accent6 3 5 6" xfId="9165" xr:uid="{00000000-0005-0000-0000-000014250000}"/>
    <cellStyle name="20% - Accent6 3 5 6 2" xfId="23640" xr:uid="{00000000-0005-0000-0000-000015250000}"/>
    <cellStyle name="20% - Accent6 3 5 7" xfId="19741" xr:uid="{00000000-0005-0000-0000-000016250000}"/>
    <cellStyle name="20% - Accent6 3 6" xfId="2422" xr:uid="{00000000-0005-0000-0000-000017250000}"/>
    <cellStyle name="20% - Accent6 3 6 2" xfId="2423" xr:uid="{00000000-0005-0000-0000-000018250000}"/>
    <cellStyle name="20% - Accent6 3 6 2 2" xfId="15013" xr:uid="{00000000-0005-0000-0000-000019250000}"/>
    <cellStyle name="20% - Accent6 3 6 2 2 2" xfId="28562" xr:uid="{00000000-0005-0000-0000-00001A250000}"/>
    <cellStyle name="20% - Accent6 3 6 2 3" xfId="19747" xr:uid="{00000000-0005-0000-0000-00001B250000}"/>
    <cellStyle name="20% - Accent6 3 6 3" xfId="2424" xr:uid="{00000000-0005-0000-0000-00001C250000}"/>
    <cellStyle name="20% - Accent6 3 6 3 2" xfId="16516" xr:uid="{00000000-0005-0000-0000-00001D250000}"/>
    <cellStyle name="20% - Accent6 3 6 3 2 2" xfId="29923" xr:uid="{00000000-0005-0000-0000-00001E250000}"/>
    <cellStyle name="20% - Accent6 3 6 3 3" xfId="19748" xr:uid="{00000000-0005-0000-0000-00001F250000}"/>
    <cellStyle name="20% - Accent6 3 6 4" xfId="10883" xr:uid="{00000000-0005-0000-0000-000020250000}"/>
    <cellStyle name="20% - Accent6 3 6 4 2" xfId="24825" xr:uid="{00000000-0005-0000-0000-000021250000}"/>
    <cellStyle name="20% - Accent6 3 6 5" xfId="19746" xr:uid="{00000000-0005-0000-0000-000022250000}"/>
    <cellStyle name="20% - Accent6 3 7" xfId="2425" xr:uid="{00000000-0005-0000-0000-000023250000}"/>
    <cellStyle name="20% - Accent6 3 7 2" xfId="11888" xr:uid="{00000000-0005-0000-0000-000024250000}"/>
    <cellStyle name="20% - Accent6 3 7 2 2" xfId="25603" xr:uid="{00000000-0005-0000-0000-000025250000}"/>
    <cellStyle name="20% - Accent6 3 7 3" xfId="19749" xr:uid="{00000000-0005-0000-0000-000026250000}"/>
    <cellStyle name="20% - Accent6 3 8" xfId="2426" xr:uid="{00000000-0005-0000-0000-000027250000}"/>
    <cellStyle name="20% - Accent6 3 8 2" xfId="12783" xr:uid="{00000000-0005-0000-0000-000028250000}"/>
    <cellStyle name="20% - Accent6 3 8 2 2" xfId="26495" xr:uid="{00000000-0005-0000-0000-000029250000}"/>
    <cellStyle name="20% - Accent6 3 8 3" xfId="19750" xr:uid="{00000000-0005-0000-0000-00002A250000}"/>
    <cellStyle name="20% - Accent6 3 9" xfId="2427" xr:uid="{00000000-0005-0000-0000-00002B250000}"/>
    <cellStyle name="20% - Accent6 3 9 2" xfId="13468" xr:uid="{00000000-0005-0000-0000-00002C250000}"/>
    <cellStyle name="20% - Accent6 3 9 2 2" xfId="27017" xr:uid="{00000000-0005-0000-0000-00002D250000}"/>
    <cellStyle name="20% - Accent6 3 9 3" xfId="19751" xr:uid="{00000000-0005-0000-0000-00002E250000}"/>
    <cellStyle name="20% - Accent6 30" xfId="23263" xr:uid="{00000000-0005-0000-0000-00002F250000}"/>
    <cellStyle name="20% - Accent6 4" xfId="2428" xr:uid="{00000000-0005-0000-0000-000030250000}"/>
    <cellStyle name="20% - Accent6 4 10" xfId="2429" xr:uid="{00000000-0005-0000-0000-000031250000}"/>
    <cellStyle name="20% - Accent6 4 10 2" xfId="15014" xr:uid="{00000000-0005-0000-0000-000032250000}"/>
    <cellStyle name="20% - Accent6 4 10 2 2" xfId="28563" xr:uid="{00000000-0005-0000-0000-000033250000}"/>
    <cellStyle name="20% - Accent6 4 10 3" xfId="19753" xr:uid="{00000000-0005-0000-0000-000034250000}"/>
    <cellStyle name="20% - Accent6 4 11" xfId="2430" xr:uid="{00000000-0005-0000-0000-000035250000}"/>
    <cellStyle name="20% - Accent6 4 11 2" xfId="15884" xr:uid="{00000000-0005-0000-0000-000036250000}"/>
    <cellStyle name="20% - Accent6 4 11 2 2" xfId="29291" xr:uid="{00000000-0005-0000-0000-000037250000}"/>
    <cellStyle name="20% - Accent6 4 11 3" xfId="19754" xr:uid="{00000000-0005-0000-0000-000038250000}"/>
    <cellStyle name="20% - Accent6 4 12" xfId="9166" xr:uid="{00000000-0005-0000-0000-000039250000}"/>
    <cellStyle name="20% - Accent6 4 12 2" xfId="23641" xr:uid="{00000000-0005-0000-0000-00003A250000}"/>
    <cellStyle name="20% - Accent6 4 13" xfId="19752" xr:uid="{00000000-0005-0000-0000-00003B250000}"/>
    <cellStyle name="20% - Accent6 4 2" xfId="2431" xr:uid="{00000000-0005-0000-0000-00003C250000}"/>
    <cellStyle name="20% - Accent6 4 2 10" xfId="2432" xr:uid="{00000000-0005-0000-0000-00003D250000}"/>
    <cellStyle name="20% - Accent6 4 2 10 2" xfId="16027" xr:uid="{00000000-0005-0000-0000-00003E250000}"/>
    <cellStyle name="20% - Accent6 4 2 10 2 2" xfId="29434" xr:uid="{00000000-0005-0000-0000-00003F250000}"/>
    <cellStyle name="20% - Accent6 4 2 10 3" xfId="19756" xr:uid="{00000000-0005-0000-0000-000040250000}"/>
    <cellStyle name="20% - Accent6 4 2 11" xfId="9167" xr:uid="{00000000-0005-0000-0000-000041250000}"/>
    <cellStyle name="20% - Accent6 4 2 11 2" xfId="23642" xr:uid="{00000000-0005-0000-0000-000042250000}"/>
    <cellStyle name="20% - Accent6 4 2 12" xfId="19755" xr:uid="{00000000-0005-0000-0000-000043250000}"/>
    <cellStyle name="20% - Accent6 4 2 2" xfId="2433" xr:uid="{00000000-0005-0000-0000-000044250000}"/>
    <cellStyle name="20% - Accent6 4 2 2 10" xfId="9168" xr:uid="{00000000-0005-0000-0000-000045250000}"/>
    <cellStyle name="20% - Accent6 4 2 2 10 2" xfId="23643" xr:uid="{00000000-0005-0000-0000-000046250000}"/>
    <cellStyle name="20% - Accent6 4 2 2 11" xfId="19757" xr:uid="{00000000-0005-0000-0000-000047250000}"/>
    <cellStyle name="20% - Accent6 4 2 2 2" xfId="2434" xr:uid="{00000000-0005-0000-0000-000048250000}"/>
    <cellStyle name="20% - Accent6 4 2 2 2 2" xfId="2435" xr:uid="{00000000-0005-0000-0000-000049250000}"/>
    <cellStyle name="20% - Accent6 4 2 2 2 2 2" xfId="10895" xr:uid="{00000000-0005-0000-0000-00004A250000}"/>
    <cellStyle name="20% - Accent6 4 2 2 2 2 2 2" xfId="24837" xr:uid="{00000000-0005-0000-0000-00004B250000}"/>
    <cellStyle name="20% - Accent6 4 2 2 2 2 3" xfId="19759" xr:uid="{00000000-0005-0000-0000-00004C250000}"/>
    <cellStyle name="20% - Accent6 4 2 2 2 3" xfId="2436" xr:uid="{00000000-0005-0000-0000-00004D250000}"/>
    <cellStyle name="20% - Accent6 4 2 2 2 3 2" xfId="12497" xr:uid="{00000000-0005-0000-0000-00004E250000}"/>
    <cellStyle name="20% - Accent6 4 2 2 2 3 2 2" xfId="26209" xr:uid="{00000000-0005-0000-0000-00004F250000}"/>
    <cellStyle name="20% - Accent6 4 2 2 2 3 3" xfId="19760" xr:uid="{00000000-0005-0000-0000-000050250000}"/>
    <cellStyle name="20% - Accent6 4 2 2 2 4" xfId="2437" xr:uid="{00000000-0005-0000-0000-000051250000}"/>
    <cellStyle name="20% - Accent6 4 2 2 2 4 2" xfId="15017" xr:uid="{00000000-0005-0000-0000-000052250000}"/>
    <cellStyle name="20% - Accent6 4 2 2 2 4 2 2" xfId="28566" xr:uid="{00000000-0005-0000-0000-000053250000}"/>
    <cellStyle name="20% - Accent6 4 2 2 2 4 3" xfId="19761" xr:uid="{00000000-0005-0000-0000-000054250000}"/>
    <cellStyle name="20% - Accent6 4 2 2 2 5" xfId="2438" xr:uid="{00000000-0005-0000-0000-000055250000}"/>
    <cellStyle name="20% - Accent6 4 2 2 2 5 2" xfId="16897" xr:uid="{00000000-0005-0000-0000-000056250000}"/>
    <cellStyle name="20% - Accent6 4 2 2 2 5 2 2" xfId="30304" xr:uid="{00000000-0005-0000-0000-000057250000}"/>
    <cellStyle name="20% - Accent6 4 2 2 2 5 3" xfId="19762" xr:uid="{00000000-0005-0000-0000-000058250000}"/>
    <cellStyle name="20% - Accent6 4 2 2 2 6" xfId="9169" xr:uid="{00000000-0005-0000-0000-000059250000}"/>
    <cellStyle name="20% - Accent6 4 2 2 2 6 2" xfId="23644" xr:uid="{00000000-0005-0000-0000-00005A250000}"/>
    <cellStyle name="20% - Accent6 4 2 2 2 7" xfId="19758" xr:uid="{00000000-0005-0000-0000-00005B250000}"/>
    <cellStyle name="20% - Accent6 4 2 2 3" xfId="2439" xr:uid="{00000000-0005-0000-0000-00005C250000}"/>
    <cellStyle name="20% - Accent6 4 2 2 3 2" xfId="2440" xr:uid="{00000000-0005-0000-0000-00005D250000}"/>
    <cellStyle name="20% - Accent6 4 2 2 3 2 2" xfId="15018" xr:uid="{00000000-0005-0000-0000-00005E250000}"/>
    <cellStyle name="20% - Accent6 4 2 2 3 2 2 2" xfId="28567" xr:uid="{00000000-0005-0000-0000-00005F250000}"/>
    <cellStyle name="20% - Accent6 4 2 2 3 2 3" xfId="19764" xr:uid="{00000000-0005-0000-0000-000060250000}"/>
    <cellStyle name="20% - Accent6 4 2 2 3 3" xfId="10894" xr:uid="{00000000-0005-0000-0000-000061250000}"/>
    <cellStyle name="20% - Accent6 4 2 2 3 3 2" xfId="24836" xr:uid="{00000000-0005-0000-0000-000062250000}"/>
    <cellStyle name="20% - Accent6 4 2 2 3 4" xfId="19763" xr:uid="{00000000-0005-0000-0000-000063250000}"/>
    <cellStyle name="20% - Accent6 4 2 2 4" xfId="2441" xr:uid="{00000000-0005-0000-0000-000064250000}"/>
    <cellStyle name="20% - Accent6 4 2 2 4 2" xfId="12285" xr:uid="{00000000-0005-0000-0000-000065250000}"/>
    <cellStyle name="20% - Accent6 4 2 2 4 2 2" xfId="25997" xr:uid="{00000000-0005-0000-0000-000066250000}"/>
    <cellStyle name="20% - Accent6 4 2 2 4 3" xfId="19765" xr:uid="{00000000-0005-0000-0000-000067250000}"/>
    <cellStyle name="20% - Accent6 4 2 2 5" xfId="2442" xr:uid="{00000000-0005-0000-0000-000068250000}"/>
    <cellStyle name="20% - Accent6 4 2 2 5 2" xfId="12474" xr:uid="{00000000-0005-0000-0000-000069250000}"/>
    <cellStyle name="20% - Accent6 4 2 2 5 2 2" xfId="26186" xr:uid="{00000000-0005-0000-0000-00006A250000}"/>
    <cellStyle name="20% - Accent6 4 2 2 5 3" xfId="19766" xr:uid="{00000000-0005-0000-0000-00006B250000}"/>
    <cellStyle name="20% - Accent6 4 2 2 6" xfId="2443" xr:uid="{00000000-0005-0000-0000-00006C250000}"/>
    <cellStyle name="20% - Accent6 4 2 2 6 2" xfId="13849" xr:uid="{00000000-0005-0000-0000-00006D250000}"/>
    <cellStyle name="20% - Accent6 4 2 2 6 2 2" xfId="27398" xr:uid="{00000000-0005-0000-0000-00006E250000}"/>
    <cellStyle name="20% - Accent6 4 2 2 6 3" xfId="19767" xr:uid="{00000000-0005-0000-0000-00006F250000}"/>
    <cellStyle name="20% - Accent6 4 2 2 7" xfId="2444" xr:uid="{00000000-0005-0000-0000-000070250000}"/>
    <cellStyle name="20% - Accent6 4 2 2 7 2" xfId="14430" xr:uid="{00000000-0005-0000-0000-000071250000}"/>
    <cellStyle name="20% - Accent6 4 2 2 7 2 2" xfId="27979" xr:uid="{00000000-0005-0000-0000-000072250000}"/>
    <cellStyle name="20% - Accent6 4 2 2 7 3" xfId="19768" xr:uid="{00000000-0005-0000-0000-000073250000}"/>
    <cellStyle name="20% - Accent6 4 2 2 8" xfId="2445" xr:uid="{00000000-0005-0000-0000-000074250000}"/>
    <cellStyle name="20% - Accent6 4 2 2 8 2" xfId="15016" xr:uid="{00000000-0005-0000-0000-000075250000}"/>
    <cellStyle name="20% - Accent6 4 2 2 8 2 2" xfId="28565" xr:uid="{00000000-0005-0000-0000-000076250000}"/>
    <cellStyle name="20% - Accent6 4 2 2 8 3" xfId="19769" xr:uid="{00000000-0005-0000-0000-000077250000}"/>
    <cellStyle name="20% - Accent6 4 2 2 9" xfId="2446" xr:uid="{00000000-0005-0000-0000-000078250000}"/>
    <cellStyle name="20% - Accent6 4 2 2 9 2" xfId="16316" xr:uid="{00000000-0005-0000-0000-000079250000}"/>
    <cellStyle name="20% - Accent6 4 2 2 9 2 2" xfId="29723" xr:uid="{00000000-0005-0000-0000-00007A250000}"/>
    <cellStyle name="20% - Accent6 4 2 2 9 3" xfId="19770" xr:uid="{00000000-0005-0000-0000-00007B250000}"/>
    <cellStyle name="20% - Accent6 4 2 3" xfId="2447" xr:uid="{00000000-0005-0000-0000-00007C250000}"/>
    <cellStyle name="20% - Accent6 4 2 3 2" xfId="2448" xr:uid="{00000000-0005-0000-0000-00007D250000}"/>
    <cellStyle name="20% - Accent6 4 2 3 2 2" xfId="10896" xr:uid="{00000000-0005-0000-0000-00007E250000}"/>
    <cellStyle name="20% - Accent6 4 2 3 2 2 2" xfId="24838" xr:uid="{00000000-0005-0000-0000-00007F250000}"/>
    <cellStyle name="20% - Accent6 4 2 3 2 3" xfId="19772" xr:uid="{00000000-0005-0000-0000-000080250000}"/>
    <cellStyle name="20% - Accent6 4 2 3 3" xfId="2449" xr:uid="{00000000-0005-0000-0000-000081250000}"/>
    <cellStyle name="20% - Accent6 4 2 3 3 2" xfId="12769" xr:uid="{00000000-0005-0000-0000-000082250000}"/>
    <cellStyle name="20% - Accent6 4 2 3 3 2 2" xfId="26481" xr:uid="{00000000-0005-0000-0000-000083250000}"/>
    <cellStyle name="20% - Accent6 4 2 3 3 3" xfId="19773" xr:uid="{00000000-0005-0000-0000-000084250000}"/>
    <cellStyle name="20% - Accent6 4 2 3 4" xfId="2450" xr:uid="{00000000-0005-0000-0000-000085250000}"/>
    <cellStyle name="20% - Accent6 4 2 3 4 2" xfId="15019" xr:uid="{00000000-0005-0000-0000-000086250000}"/>
    <cellStyle name="20% - Accent6 4 2 3 4 2 2" xfId="28568" xr:uid="{00000000-0005-0000-0000-000087250000}"/>
    <cellStyle name="20% - Accent6 4 2 3 4 3" xfId="19774" xr:uid="{00000000-0005-0000-0000-000088250000}"/>
    <cellStyle name="20% - Accent6 4 2 3 5" xfId="2451" xr:uid="{00000000-0005-0000-0000-000089250000}"/>
    <cellStyle name="20% - Accent6 4 2 3 5 2" xfId="16608" xr:uid="{00000000-0005-0000-0000-00008A250000}"/>
    <cellStyle name="20% - Accent6 4 2 3 5 2 2" xfId="30015" xr:uid="{00000000-0005-0000-0000-00008B250000}"/>
    <cellStyle name="20% - Accent6 4 2 3 5 3" xfId="19775" xr:uid="{00000000-0005-0000-0000-00008C250000}"/>
    <cellStyle name="20% - Accent6 4 2 3 6" xfId="9170" xr:uid="{00000000-0005-0000-0000-00008D250000}"/>
    <cellStyle name="20% - Accent6 4 2 3 6 2" xfId="23645" xr:uid="{00000000-0005-0000-0000-00008E250000}"/>
    <cellStyle name="20% - Accent6 4 2 3 7" xfId="19771" xr:uid="{00000000-0005-0000-0000-00008F250000}"/>
    <cellStyle name="20% - Accent6 4 2 4" xfId="2452" xr:uid="{00000000-0005-0000-0000-000090250000}"/>
    <cellStyle name="20% - Accent6 4 2 4 2" xfId="2453" xr:uid="{00000000-0005-0000-0000-000091250000}"/>
    <cellStyle name="20% - Accent6 4 2 4 2 2" xfId="15020" xr:uid="{00000000-0005-0000-0000-000092250000}"/>
    <cellStyle name="20% - Accent6 4 2 4 2 2 2" xfId="28569" xr:uid="{00000000-0005-0000-0000-000093250000}"/>
    <cellStyle name="20% - Accent6 4 2 4 2 3" xfId="19777" xr:uid="{00000000-0005-0000-0000-000094250000}"/>
    <cellStyle name="20% - Accent6 4 2 4 3" xfId="10893" xr:uid="{00000000-0005-0000-0000-000095250000}"/>
    <cellStyle name="20% - Accent6 4 2 4 3 2" xfId="24835" xr:uid="{00000000-0005-0000-0000-000096250000}"/>
    <cellStyle name="20% - Accent6 4 2 4 4" xfId="19776" xr:uid="{00000000-0005-0000-0000-000097250000}"/>
    <cellStyle name="20% - Accent6 4 2 5" xfId="2454" xr:uid="{00000000-0005-0000-0000-000098250000}"/>
    <cellStyle name="20% - Accent6 4 2 5 2" xfId="11985" xr:uid="{00000000-0005-0000-0000-000099250000}"/>
    <cellStyle name="20% - Accent6 4 2 5 2 2" xfId="25700" xr:uid="{00000000-0005-0000-0000-00009A250000}"/>
    <cellStyle name="20% - Accent6 4 2 5 3" xfId="19778" xr:uid="{00000000-0005-0000-0000-00009B250000}"/>
    <cellStyle name="20% - Accent6 4 2 6" xfId="2455" xr:uid="{00000000-0005-0000-0000-00009C250000}"/>
    <cellStyle name="20% - Accent6 4 2 6 2" xfId="11872" xr:uid="{00000000-0005-0000-0000-00009D250000}"/>
    <cellStyle name="20% - Accent6 4 2 6 2 2" xfId="25587" xr:uid="{00000000-0005-0000-0000-00009E250000}"/>
    <cellStyle name="20% - Accent6 4 2 6 3" xfId="19779" xr:uid="{00000000-0005-0000-0000-00009F250000}"/>
    <cellStyle name="20% - Accent6 4 2 7" xfId="2456" xr:uid="{00000000-0005-0000-0000-0000A0250000}"/>
    <cellStyle name="20% - Accent6 4 2 7 2" xfId="13560" xr:uid="{00000000-0005-0000-0000-0000A1250000}"/>
    <cellStyle name="20% - Accent6 4 2 7 2 2" xfId="27109" xr:uid="{00000000-0005-0000-0000-0000A2250000}"/>
    <cellStyle name="20% - Accent6 4 2 7 3" xfId="19780" xr:uid="{00000000-0005-0000-0000-0000A3250000}"/>
    <cellStyle name="20% - Accent6 4 2 8" xfId="2457" xr:uid="{00000000-0005-0000-0000-0000A4250000}"/>
    <cellStyle name="20% - Accent6 4 2 8 2" xfId="14141" xr:uid="{00000000-0005-0000-0000-0000A5250000}"/>
    <cellStyle name="20% - Accent6 4 2 8 2 2" xfId="27690" xr:uid="{00000000-0005-0000-0000-0000A6250000}"/>
    <cellStyle name="20% - Accent6 4 2 8 3" xfId="19781" xr:uid="{00000000-0005-0000-0000-0000A7250000}"/>
    <cellStyle name="20% - Accent6 4 2 9" xfId="2458" xr:uid="{00000000-0005-0000-0000-0000A8250000}"/>
    <cellStyle name="20% - Accent6 4 2 9 2" xfId="15015" xr:uid="{00000000-0005-0000-0000-0000A9250000}"/>
    <cellStyle name="20% - Accent6 4 2 9 2 2" xfId="28564" xr:uid="{00000000-0005-0000-0000-0000AA250000}"/>
    <cellStyle name="20% - Accent6 4 2 9 3" xfId="19782" xr:uid="{00000000-0005-0000-0000-0000AB250000}"/>
    <cellStyle name="20% - Accent6 4 3" xfId="2459" xr:uid="{00000000-0005-0000-0000-0000AC250000}"/>
    <cellStyle name="20% - Accent6 4 3 10" xfId="9171" xr:uid="{00000000-0005-0000-0000-0000AD250000}"/>
    <cellStyle name="20% - Accent6 4 3 10 2" xfId="23646" xr:uid="{00000000-0005-0000-0000-0000AE250000}"/>
    <cellStyle name="20% - Accent6 4 3 11" xfId="19783" xr:uid="{00000000-0005-0000-0000-0000AF250000}"/>
    <cellStyle name="20% - Accent6 4 3 2" xfId="2460" xr:uid="{00000000-0005-0000-0000-0000B0250000}"/>
    <cellStyle name="20% - Accent6 4 3 2 2" xfId="2461" xr:uid="{00000000-0005-0000-0000-0000B1250000}"/>
    <cellStyle name="20% - Accent6 4 3 2 2 2" xfId="10898" xr:uid="{00000000-0005-0000-0000-0000B2250000}"/>
    <cellStyle name="20% - Accent6 4 3 2 2 2 2" xfId="24840" xr:uid="{00000000-0005-0000-0000-0000B3250000}"/>
    <cellStyle name="20% - Accent6 4 3 2 2 3" xfId="19785" xr:uid="{00000000-0005-0000-0000-0000B4250000}"/>
    <cellStyle name="20% - Accent6 4 3 2 3" xfId="2462" xr:uid="{00000000-0005-0000-0000-0000B5250000}"/>
    <cellStyle name="20% - Accent6 4 3 2 3 2" xfId="12653" xr:uid="{00000000-0005-0000-0000-0000B6250000}"/>
    <cellStyle name="20% - Accent6 4 3 2 3 2 2" xfId="26365" xr:uid="{00000000-0005-0000-0000-0000B7250000}"/>
    <cellStyle name="20% - Accent6 4 3 2 3 3" xfId="19786" xr:uid="{00000000-0005-0000-0000-0000B8250000}"/>
    <cellStyle name="20% - Accent6 4 3 2 4" xfId="2463" xr:uid="{00000000-0005-0000-0000-0000B9250000}"/>
    <cellStyle name="20% - Accent6 4 3 2 4 2" xfId="15022" xr:uid="{00000000-0005-0000-0000-0000BA250000}"/>
    <cellStyle name="20% - Accent6 4 3 2 4 2 2" xfId="28571" xr:uid="{00000000-0005-0000-0000-0000BB250000}"/>
    <cellStyle name="20% - Accent6 4 3 2 4 3" xfId="19787" xr:uid="{00000000-0005-0000-0000-0000BC250000}"/>
    <cellStyle name="20% - Accent6 4 3 2 5" xfId="2464" xr:uid="{00000000-0005-0000-0000-0000BD250000}"/>
    <cellStyle name="20% - Accent6 4 3 2 5 2" xfId="16757" xr:uid="{00000000-0005-0000-0000-0000BE250000}"/>
    <cellStyle name="20% - Accent6 4 3 2 5 2 2" xfId="30164" xr:uid="{00000000-0005-0000-0000-0000BF250000}"/>
    <cellStyle name="20% - Accent6 4 3 2 5 3" xfId="19788" xr:uid="{00000000-0005-0000-0000-0000C0250000}"/>
    <cellStyle name="20% - Accent6 4 3 2 6" xfId="9172" xr:uid="{00000000-0005-0000-0000-0000C1250000}"/>
    <cellStyle name="20% - Accent6 4 3 2 6 2" xfId="23647" xr:uid="{00000000-0005-0000-0000-0000C2250000}"/>
    <cellStyle name="20% - Accent6 4 3 2 7" xfId="19784" xr:uid="{00000000-0005-0000-0000-0000C3250000}"/>
    <cellStyle name="20% - Accent6 4 3 3" xfId="2465" xr:uid="{00000000-0005-0000-0000-0000C4250000}"/>
    <cellStyle name="20% - Accent6 4 3 3 2" xfId="2466" xr:uid="{00000000-0005-0000-0000-0000C5250000}"/>
    <cellStyle name="20% - Accent6 4 3 3 2 2" xfId="15023" xr:uid="{00000000-0005-0000-0000-0000C6250000}"/>
    <cellStyle name="20% - Accent6 4 3 3 2 2 2" xfId="28572" xr:uid="{00000000-0005-0000-0000-0000C7250000}"/>
    <cellStyle name="20% - Accent6 4 3 3 2 3" xfId="19790" xr:uid="{00000000-0005-0000-0000-0000C8250000}"/>
    <cellStyle name="20% - Accent6 4 3 3 3" xfId="10897" xr:uid="{00000000-0005-0000-0000-0000C9250000}"/>
    <cellStyle name="20% - Accent6 4 3 3 3 2" xfId="24839" xr:uid="{00000000-0005-0000-0000-0000CA250000}"/>
    <cellStyle name="20% - Accent6 4 3 3 4" xfId="19789" xr:uid="{00000000-0005-0000-0000-0000CB250000}"/>
    <cellStyle name="20% - Accent6 4 3 4" xfId="2467" xr:uid="{00000000-0005-0000-0000-0000CC250000}"/>
    <cellStyle name="20% - Accent6 4 3 4 2" xfId="12145" xr:uid="{00000000-0005-0000-0000-0000CD250000}"/>
    <cellStyle name="20% - Accent6 4 3 4 2 2" xfId="25857" xr:uid="{00000000-0005-0000-0000-0000CE250000}"/>
    <cellStyle name="20% - Accent6 4 3 4 3" xfId="19791" xr:uid="{00000000-0005-0000-0000-0000CF250000}"/>
    <cellStyle name="20% - Accent6 4 3 5" xfId="2468" xr:uid="{00000000-0005-0000-0000-0000D0250000}"/>
    <cellStyle name="20% - Accent6 4 3 5 2" xfId="11773" xr:uid="{00000000-0005-0000-0000-0000D1250000}"/>
    <cellStyle name="20% - Accent6 4 3 5 2 2" xfId="25488" xr:uid="{00000000-0005-0000-0000-0000D2250000}"/>
    <cellStyle name="20% - Accent6 4 3 5 3" xfId="19792" xr:uid="{00000000-0005-0000-0000-0000D3250000}"/>
    <cellStyle name="20% - Accent6 4 3 6" xfId="2469" xr:uid="{00000000-0005-0000-0000-0000D4250000}"/>
    <cellStyle name="20% - Accent6 4 3 6 2" xfId="13709" xr:uid="{00000000-0005-0000-0000-0000D5250000}"/>
    <cellStyle name="20% - Accent6 4 3 6 2 2" xfId="27258" xr:uid="{00000000-0005-0000-0000-0000D6250000}"/>
    <cellStyle name="20% - Accent6 4 3 6 3" xfId="19793" xr:uid="{00000000-0005-0000-0000-0000D7250000}"/>
    <cellStyle name="20% - Accent6 4 3 7" xfId="2470" xr:uid="{00000000-0005-0000-0000-0000D8250000}"/>
    <cellStyle name="20% - Accent6 4 3 7 2" xfId="14290" xr:uid="{00000000-0005-0000-0000-0000D9250000}"/>
    <cellStyle name="20% - Accent6 4 3 7 2 2" xfId="27839" xr:uid="{00000000-0005-0000-0000-0000DA250000}"/>
    <cellStyle name="20% - Accent6 4 3 7 3" xfId="19794" xr:uid="{00000000-0005-0000-0000-0000DB250000}"/>
    <cellStyle name="20% - Accent6 4 3 8" xfId="2471" xr:uid="{00000000-0005-0000-0000-0000DC250000}"/>
    <cellStyle name="20% - Accent6 4 3 8 2" xfId="15021" xr:uid="{00000000-0005-0000-0000-0000DD250000}"/>
    <cellStyle name="20% - Accent6 4 3 8 2 2" xfId="28570" xr:uid="{00000000-0005-0000-0000-0000DE250000}"/>
    <cellStyle name="20% - Accent6 4 3 8 3" xfId="19795" xr:uid="{00000000-0005-0000-0000-0000DF250000}"/>
    <cellStyle name="20% - Accent6 4 3 9" xfId="2472" xr:uid="{00000000-0005-0000-0000-0000E0250000}"/>
    <cellStyle name="20% - Accent6 4 3 9 2" xfId="16176" xr:uid="{00000000-0005-0000-0000-0000E1250000}"/>
    <cellStyle name="20% - Accent6 4 3 9 2 2" xfId="29583" xr:uid="{00000000-0005-0000-0000-0000E2250000}"/>
    <cellStyle name="20% - Accent6 4 3 9 3" xfId="19796" xr:uid="{00000000-0005-0000-0000-0000E3250000}"/>
    <cellStyle name="20% - Accent6 4 4" xfId="2473" xr:uid="{00000000-0005-0000-0000-0000E4250000}"/>
    <cellStyle name="20% - Accent6 4 4 2" xfId="2474" xr:uid="{00000000-0005-0000-0000-0000E5250000}"/>
    <cellStyle name="20% - Accent6 4 4 2 2" xfId="10899" xr:uid="{00000000-0005-0000-0000-0000E6250000}"/>
    <cellStyle name="20% - Accent6 4 4 2 2 2" xfId="24841" xr:uid="{00000000-0005-0000-0000-0000E7250000}"/>
    <cellStyle name="20% - Accent6 4 4 2 3" xfId="19798" xr:uid="{00000000-0005-0000-0000-0000E8250000}"/>
    <cellStyle name="20% - Accent6 4 4 3" xfId="2475" xr:uid="{00000000-0005-0000-0000-0000E9250000}"/>
    <cellStyle name="20% - Accent6 4 4 3 2" xfId="12654" xr:uid="{00000000-0005-0000-0000-0000EA250000}"/>
    <cellStyle name="20% - Accent6 4 4 3 2 2" xfId="26366" xr:uid="{00000000-0005-0000-0000-0000EB250000}"/>
    <cellStyle name="20% - Accent6 4 4 3 3" xfId="19799" xr:uid="{00000000-0005-0000-0000-0000EC250000}"/>
    <cellStyle name="20% - Accent6 4 4 4" xfId="2476" xr:uid="{00000000-0005-0000-0000-0000ED250000}"/>
    <cellStyle name="20% - Accent6 4 4 4 2" xfId="15024" xr:uid="{00000000-0005-0000-0000-0000EE250000}"/>
    <cellStyle name="20% - Accent6 4 4 4 2 2" xfId="28573" xr:uid="{00000000-0005-0000-0000-0000EF250000}"/>
    <cellStyle name="20% - Accent6 4 4 4 3" xfId="19800" xr:uid="{00000000-0005-0000-0000-0000F0250000}"/>
    <cellStyle name="20% - Accent6 4 4 5" xfId="2477" xr:uid="{00000000-0005-0000-0000-0000F1250000}"/>
    <cellStyle name="20% - Accent6 4 4 5 2" xfId="16465" xr:uid="{00000000-0005-0000-0000-0000F2250000}"/>
    <cellStyle name="20% - Accent6 4 4 5 2 2" xfId="29872" xr:uid="{00000000-0005-0000-0000-0000F3250000}"/>
    <cellStyle name="20% - Accent6 4 4 5 3" xfId="19801" xr:uid="{00000000-0005-0000-0000-0000F4250000}"/>
    <cellStyle name="20% - Accent6 4 4 6" xfId="9173" xr:uid="{00000000-0005-0000-0000-0000F5250000}"/>
    <cellStyle name="20% - Accent6 4 4 6 2" xfId="23648" xr:uid="{00000000-0005-0000-0000-0000F6250000}"/>
    <cellStyle name="20% - Accent6 4 4 7" xfId="19797" xr:uid="{00000000-0005-0000-0000-0000F7250000}"/>
    <cellStyle name="20% - Accent6 4 5" xfId="2478" xr:uid="{00000000-0005-0000-0000-0000F8250000}"/>
    <cellStyle name="20% - Accent6 4 5 2" xfId="2479" xr:uid="{00000000-0005-0000-0000-0000F9250000}"/>
    <cellStyle name="20% - Accent6 4 5 2 2" xfId="15025" xr:uid="{00000000-0005-0000-0000-0000FA250000}"/>
    <cellStyle name="20% - Accent6 4 5 2 2 2" xfId="28574" xr:uid="{00000000-0005-0000-0000-0000FB250000}"/>
    <cellStyle name="20% - Accent6 4 5 2 3" xfId="19803" xr:uid="{00000000-0005-0000-0000-0000FC250000}"/>
    <cellStyle name="20% - Accent6 4 5 3" xfId="10892" xr:uid="{00000000-0005-0000-0000-0000FD250000}"/>
    <cellStyle name="20% - Accent6 4 5 3 2" xfId="24834" xr:uid="{00000000-0005-0000-0000-0000FE250000}"/>
    <cellStyle name="20% - Accent6 4 5 4" xfId="19802" xr:uid="{00000000-0005-0000-0000-0000FF250000}"/>
    <cellStyle name="20% - Accent6 4 6" xfId="2480" xr:uid="{00000000-0005-0000-0000-000000260000}"/>
    <cellStyle name="20% - Accent6 4 6 2" xfId="11816" xr:uid="{00000000-0005-0000-0000-000001260000}"/>
    <cellStyle name="20% - Accent6 4 6 2 2" xfId="25531" xr:uid="{00000000-0005-0000-0000-000002260000}"/>
    <cellStyle name="20% - Accent6 4 6 3" xfId="19804" xr:uid="{00000000-0005-0000-0000-000003260000}"/>
    <cellStyle name="20% - Accent6 4 7" xfId="2481" xr:uid="{00000000-0005-0000-0000-000004260000}"/>
    <cellStyle name="20% - Accent6 4 7 2" xfId="12685" xr:uid="{00000000-0005-0000-0000-000005260000}"/>
    <cellStyle name="20% - Accent6 4 7 2 2" xfId="26397" xr:uid="{00000000-0005-0000-0000-000006260000}"/>
    <cellStyle name="20% - Accent6 4 7 3" xfId="19805" xr:uid="{00000000-0005-0000-0000-000007260000}"/>
    <cellStyle name="20% - Accent6 4 8" xfId="2482" xr:uid="{00000000-0005-0000-0000-000008260000}"/>
    <cellStyle name="20% - Accent6 4 8 2" xfId="13417" xr:uid="{00000000-0005-0000-0000-000009260000}"/>
    <cellStyle name="20% - Accent6 4 8 2 2" xfId="26966" xr:uid="{00000000-0005-0000-0000-00000A260000}"/>
    <cellStyle name="20% - Accent6 4 8 3" xfId="19806" xr:uid="{00000000-0005-0000-0000-00000B260000}"/>
    <cellStyle name="20% - Accent6 4 9" xfId="2483" xr:uid="{00000000-0005-0000-0000-00000C260000}"/>
    <cellStyle name="20% - Accent6 4 9 2" xfId="13998" xr:uid="{00000000-0005-0000-0000-00000D260000}"/>
    <cellStyle name="20% - Accent6 4 9 2 2" xfId="27547" xr:uid="{00000000-0005-0000-0000-00000E260000}"/>
    <cellStyle name="20% - Accent6 4 9 3" xfId="19807" xr:uid="{00000000-0005-0000-0000-00000F260000}"/>
    <cellStyle name="20% - Accent6 5" xfId="2484" xr:uid="{00000000-0005-0000-0000-000010260000}"/>
    <cellStyle name="20% - Accent6 5 10" xfId="2485" xr:uid="{00000000-0005-0000-0000-000011260000}"/>
    <cellStyle name="20% - Accent6 5 10 2" xfId="15026" xr:uid="{00000000-0005-0000-0000-000012260000}"/>
    <cellStyle name="20% - Accent6 5 10 2 2" xfId="28575" xr:uid="{00000000-0005-0000-0000-000013260000}"/>
    <cellStyle name="20% - Accent6 5 10 3" xfId="19809" xr:uid="{00000000-0005-0000-0000-000014260000}"/>
    <cellStyle name="20% - Accent6 5 11" xfId="2486" xr:uid="{00000000-0005-0000-0000-000015260000}"/>
    <cellStyle name="20% - Accent6 5 11 2" xfId="15867" xr:uid="{00000000-0005-0000-0000-000016260000}"/>
    <cellStyle name="20% - Accent6 5 11 2 2" xfId="29274" xr:uid="{00000000-0005-0000-0000-000017260000}"/>
    <cellStyle name="20% - Accent6 5 11 3" xfId="19810" xr:uid="{00000000-0005-0000-0000-000018260000}"/>
    <cellStyle name="20% - Accent6 5 12" xfId="9174" xr:uid="{00000000-0005-0000-0000-000019260000}"/>
    <cellStyle name="20% - Accent6 5 12 2" xfId="23649" xr:uid="{00000000-0005-0000-0000-00001A260000}"/>
    <cellStyle name="20% - Accent6 5 13" xfId="19808" xr:uid="{00000000-0005-0000-0000-00001B260000}"/>
    <cellStyle name="20% - Accent6 5 2" xfId="2487" xr:uid="{00000000-0005-0000-0000-00001C260000}"/>
    <cellStyle name="20% - Accent6 5 2 10" xfId="2488" xr:uid="{00000000-0005-0000-0000-00001D260000}"/>
    <cellStyle name="20% - Accent6 5 2 10 2" xfId="16010" xr:uid="{00000000-0005-0000-0000-00001E260000}"/>
    <cellStyle name="20% - Accent6 5 2 10 2 2" xfId="29417" xr:uid="{00000000-0005-0000-0000-00001F260000}"/>
    <cellStyle name="20% - Accent6 5 2 10 3" xfId="19812" xr:uid="{00000000-0005-0000-0000-000020260000}"/>
    <cellStyle name="20% - Accent6 5 2 11" xfId="9175" xr:uid="{00000000-0005-0000-0000-000021260000}"/>
    <cellStyle name="20% - Accent6 5 2 11 2" xfId="23650" xr:uid="{00000000-0005-0000-0000-000022260000}"/>
    <cellStyle name="20% - Accent6 5 2 12" xfId="19811" xr:uid="{00000000-0005-0000-0000-000023260000}"/>
    <cellStyle name="20% - Accent6 5 2 2" xfId="2489" xr:uid="{00000000-0005-0000-0000-000024260000}"/>
    <cellStyle name="20% - Accent6 5 2 2 10" xfId="9176" xr:uid="{00000000-0005-0000-0000-000025260000}"/>
    <cellStyle name="20% - Accent6 5 2 2 10 2" xfId="23651" xr:uid="{00000000-0005-0000-0000-000026260000}"/>
    <cellStyle name="20% - Accent6 5 2 2 11" xfId="19813" xr:uid="{00000000-0005-0000-0000-000027260000}"/>
    <cellStyle name="20% - Accent6 5 2 2 2" xfId="2490" xr:uid="{00000000-0005-0000-0000-000028260000}"/>
    <cellStyle name="20% - Accent6 5 2 2 2 2" xfId="2491" xr:uid="{00000000-0005-0000-0000-000029260000}"/>
    <cellStyle name="20% - Accent6 5 2 2 2 2 2" xfId="10903" xr:uid="{00000000-0005-0000-0000-00002A260000}"/>
    <cellStyle name="20% - Accent6 5 2 2 2 2 2 2" xfId="24845" xr:uid="{00000000-0005-0000-0000-00002B260000}"/>
    <cellStyle name="20% - Accent6 5 2 2 2 2 3" xfId="19815" xr:uid="{00000000-0005-0000-0000-00002C260000}"/>
    <cellStyle name="20% - Accent6 5 2 2 2 3" xfId="2492" xr:uid="{00000000-0005-0000-0000-00002D260000}"/>
    <cellStyle name="20% - Accent6 5 2 2 2 3 2" xfId="12794" xr:uid="{00000000-0005-0000-0000-00002E260000}"/>
    <cellStyle name="20% - Accent6 5 2 2 2 3 2 2" xfId="26506" xr:uid="{00000000-0005-0000-0000-00002F260000}"/>
    <cellStyle name="20% - Accent6 5 2 2 2 3 3" xfId="19816" xr:uid="{00000000-0005-0000-0000-000030260000}"/>
    <cellStyle name="20% - Accent6 5 2 2 2 4" xfId="2493" xr:uid="{00000000-0005-0000-0000-000031260000}"/>
    <cellStyle name="20% - Accent6 5 2 2 2 4 2" xfId="15029" xr:uid="{00000000-0005-0000-0000-000032260000}"/>
    <cellStyle name="20% - Accent6 5 2 2 2 4 2 2" xfId="28578" xr:uid="{00000000-0005-0000-0000-000033260000}"/>
    <cellStyle name="20% - Accent6 5 2 2 2 4 3" xfId="19817" xr:uid="{00000000-0005-0000-0000-000034260000}"/>
    <cellStyle name="20% - Accent6 5 2 2 2 5" xfId="2494" xr:uid="{00000000-0005-0000-0000-000035260000}"/>
    <cellStyle name="20% - Accent6 5 2 2 2 5 2" xfId="16880" xr:uid="{00000000-0005-0000-0000-000036260000}"/>
    <cellStyle name="20% - Accent6 5 2 2 2 5 2 2" xfId="30287" xr:uid="{00000000-0005-0000-0000-000037260000}"/>
    <cellStyle name="20% - Accent6 5 2 2 2 5 3" xfId="19818" xr:uid="{00000000-0005-0000-0000-000038260000}"/>
    <cellStyle name="20% - Accent6 5 2 2 2 6" xfId="9177" xr:uid="{00000000-0005-0000-0000-000039260000}"/>
    <cellStyle name="20% - Accent6 5 2 2 2 6 2" xfId="23652" xr:uid="{00000000-0005-0000-0000-00003A260000}"/>
    <cellStyle name="20% - Accent6 5 2 2 2 7" xfId="19814" xr:uid="{00000000-0005-0000-0000-00003B260000}"/>
    <cellStyle name="20% - Accent6 5 2 2 3" xfId="2495" xr:uid="{00000000-0005-0000-0000-00003C260000}"/>
    <cellStyle name="20% - Accent6 5 2 2 3 2" xfId="2496" xr:uid="{00000000-0005-0000-0000-00003D260000}"/>
    <cellStyle name="20% - Accent6 5 2 2 3 2 2" xfId="15030" xr:uid="{00000000-0005-0000-0000-00003E260000}"/>
    <cellStyle name="20% - Accent6 5 2 2 3 2 2 2" xfId="28579" xr:uid="{00000000-0005-0000-0000-00003F260000}"/>
    <cellStyle name="20% - Accent6 5 2 2 3 2 3" xfId="19820" xr:uid="{00000000-0005-0000-0000-000040260000}"/>
    <cellStyle name="20% - Accent6 5 2 2 3 3" xfId="10902" xr:uid="{00000000-0005-0000-0000-000041260000}"/>
    <cellStyle name="20% - Accent6 5 2 2 3 3 2" xfId="24844" xr:uid="{00000000-0005-0000-0000-000042260000}"/>
    <cellStyle name="20% - Accent6 5 2 2 3 4" xfId="19819" xr:uid="{00000000-0005-0000-0000-000043260000}"/>
    <cellStyle name="20% - Accent6 5 2 2 4" xfId="2497" xr:uid="{00000000-0005-0000-0000-000044260000}"/>
    <cellStyle name="20% - Accent6 5 2 2 4 2" xfId="12268" xr:uid="{00000000-0005-0000-0000-000045260000}"/>
    <cellStyle name="20% - Accent6 5 2 2 4 2 2" xfId="25980" xr:uid="{00000000-0005-0000-0000-000046260000}"/>
    <cellStyle name="20% - Accent6 5 2 2 4 3" xfId="19821" xr:uid="{00000000-0005-0000-0000-000047260000}"/>
    <cellStyle name="20% - Accent6 5 2 2 5" xfId="2498" xr:uid="{00000000-0005-0000-0000-000048260000}"/>
    <cellStyle name="20% - Accent6 5 2 2 5 2" xfId="12798" xr:uid="{00000000-0005-0000-0000-000049260000}"/>
    <cellStyle name="20% - Accent6 5 2 2 5 2 2" xfId="26510" xr:uid="{00000000-0005-0000-0000-00004A260000}"/>
    <cellStyle name="20% - Accent6 5 2 2 5 3" xfId="19822" xr:uid="{00000000-0005-0000-0000-00004B260000}"/>
    <cellStyle name="20% - Accent6 5 2 2 6" xfId="2499" xr:uid="{00000000-0005-0000-0000-00004C260000}"/>
    <cellStyle name="20% - Accent6 5 2 2 6 2" xfId="13832" xr:uid="{00000000-0005-0000-0000-00004D260000}"/>
    <cellStyle name="20% - Accent6 5 2 2 6 2 2" xfId="27381" xr:uid="{00000000-0005-0000-0000-00004E260000}"/>
    <cellStyle name="20% - Accent6 5 2 2 6 3" xfId="19823" xr:uid="{00000000-0005-0000-0000-00004F260000}"/>
    <cellStyle name="20% - Accent6 5 2 2 7" xfId="2500" xr:uid="{00000000-0005-0000-0000-000050260000}"/>
    <cellStyle name="20% - Accent6 5 2 2 7 2" xfId="14413" xr:uid="{00000000-0005-0000-0000-000051260000}"/>
    <cellStyle name="20% - Accent6 5 2 2 7 2 2" xfId="27962" xr:uid="{00000000-0005-0000-0000-000052260000}"/>
    <cellStyle name="20% - Accent6 5 2 2 7 3" xfId="19824" xr:uid="{00000000-0005-0000-0000-000053260000}"/>
    <cellStyle name="20% - Accent6 5 2 2 8" xfId="2501" xr:uid="{00000000-0005-0000-0000-000054260000}"/>
    <cellStyle name="20% - Accent6 5 2 2 8 2" xfId="15028" xr:uid="{00000000-0005-0000-0000-000055260000}"/>
    <cellStyle name="20% - Accent6 5 2 2 8 2 2" xfId="28577" xr:uid="{00000000-0005-0000-0000-000056260000}"/>
    <cellStyle name="20% - Accent6 5 2 2 8 3" xfId="19825" xr:uid="{00000000-0005-0000-0000-000057260000}"/>
    <cellStyle name="20% - Accent6 5 2 2 9" xfId="2502" xr:uid="{00000000-0005-0000-0000-000058260000}"/>
    <cellStyle name="20% - Accent6 5 2 2 9 2" xfId="16299" xr:uid="{00000000-0005-0000-0000-000059260000}"/>
    <cellStyle name="20% - Accent6 5 2 2 9 2 2" xfId="29706" xr:uid="{00000000-0005-0000-0000-00005A260000}"/>
    <cellStyle name="20% - Accent6 5 2 2 9 3" xfId="19826" xr:uid="{00000000-0005-0000-0000-00005B260000}"/>
    <cellStyle name="20% - Accent6 5 2 3" xfId="2503" xr:uid="{00000000-0005-0000-0000-00005C260000}"/>
    <cellStyle name="20% - Accent6 5 2 3 2" xfId="2504" xr:uid="{00000000-0005-0000-0000-00005D260000}"/>
    <cellStyle name="20% - Accent6 5 2 3 2 2" xfId="10904" xr:uid="{00000000-0005-0000-0000-00005E260000}"/>
    <cellStyle name="20% - Accent6 5 2 3 2 2 2" xfId="24846" xr:uid="{00000000-0005-0000-0000-00005F260000}"/>
    <cellStyle name="20% - Accent6 5 2 3 2 3" xfId="19828" xr:uid="{00000000-0005-0000-0000-000060260000}"/>
    <cellStyle name="20% - Accent6 5 2 3 3" xfId="2505" xr:uid="{00000000-0005-0000-0000-000061260000}"/>
    <cellStyle name="20% - Accent6 5 2 3 3 2" xfId="12735" xr:uid="{00000000-0005-0000-0000-000062260000}"/>
    <cellStyle name="20% - Accent6 5 2 3 3 2 2" xfId="26447" xr:uid="{00000000-0005-0000-0000-000063260000}"/>
    <cellStyle name="20% - Accent6 5 2 3 3 3" xfId="19829" xr:uid="{00000000-0005-0000-0000-000064260000}"/>
    <cellStyle name="20% - Accent6 5 2 3 4" xfId="2506" xr:uid="{00000000-0005-0000-0000-000065260000}"/>
    <cellStyle name="20% - Accent6 5 2 3 4 2" xfId="15031" xr:uid="{00000000-0005-0000-0000-000066260000}"/>
    <cellStyle name="20% - Accent6 5 2 3 4 2 2" xfId="28580" xr:uid="{00000000-0005-0000-0000-000067260000}"/>
    <cellStyle name="20% - Accent6 5 2 3 4 3" xfId="19830" xr:uid="{00000000-0005-0000-0000-000068260000}"/>
    <cellStyle name="20% - Accent6 5 2 3 5" xfId="2507" xr:uid="{00000000-0005-0000-0000-000069260000}"/>
    <cellStyle name="20% - Accent6 5 2 3 5 2" xfId="16591" xr:uid="{00000000-0005-0000-0000-00006A260000}"/>
    <cellStyle name="20% - Accent6 5 2 3 5 2 2" xfId="29998" xr:uid="{00000000-0005-0000-0000-00006B260000}"/>
    <cellStyle name="20% - Accent6 5 2 3 5 3" xfId="19831" xr:uid="{00000000-0005-0000-0000-00006C260000}"/>
    <cellStyle name="20% - Accent6 5 2 3 6" xfId="9178" xr:uid="{00000000-0005-0000-0000-00006D260000}"/>
    <cellStyle name="20% - Accent6 5 2 3 6 2" xfId="23653" xr:uid="{00000000-0005-0000-0000-00006E260000}"/>
    <cellStyle name="20% - Accent6 5 2 3 7" xfId="19827" xr:uid="{00000000-0005-0000-0000-00006F260000}"/>
    <cellStyle name="20% - Accent6 5 2 4" xfId="2508" xr:uid="{00000000-0005-0000-0000-000070260000}"/>
    <cellStyle name="20% - Accent6 5 2 4 2" xfId="2509" xr:uid="{00000000-0005-0000-0000-000071260000}"/>
    <cellStyle name="20% - Accent6 5 2 4 2 2" xfId="15032" xr:uid="{00000000-0005-0000-0000-000072260000}"/>
    <cellStyle name="20% - Accent6 5 2 4 2 2 2" xfId="28581" xr:uid="{00000000-0005-0000-0000-000073260000}"/>
    <cellStyle name="20% - Accent6 5 2 4 2 3" xfId="19833" xr:uid="{00000000-0005-0000-0000-000074260000}"/>
    <cellStyle name="20% - Accent6 5 2 4 3" xfId="10901" xr:uid="{00000000-0005-0000-0000-000075260000}"/>
    <cellStyle name="20% - Accent6 5 2 4 3 2" xfId="24843" xr:uid="{00000000-0005-0000-0000-000076260000}"/>
    <cellStyle name="20% - Accent6 5 2 4 4" xfId="19832" xr:uid="{00000000-0005-0000-0000-000077260000}"/>
    <cellStyle name="20% - Accent6 5 2 5" xfId="2510" xr:uid="{00000000-0005-0000-0000-000078260000}"/>
    <cellStyle name="20% - Accent6 5 2 5 2" xfId="11968" xr:uid="{00000000-0005-0000-0000-000079260000}"/>
    <cellStyle name="20% - Accent6 5 2 5 2 2" xfId="25683" xr:uid="{00000000-0005-0000-0000-00007A260000}"/>
    <cellStyle name="20% - Accent6 5 2 5 3" xfId="19834" xr:uid="{00000000-0005-0000-0000-00007B260000}"/>
    <cellStyle name="20% - Accent6 5 2 6" xfId="2511" xr:uid="{00000000-0005-0000-0000-00007C260000}"/>
    <cellStyle name="20% - Accent6 5 2 6 2" xfId="11767" xr:uid="{00000000-0005-0000-0000-00007D260000}"/>
    <cellStyle name="20% - Accent6 5 2 6 2 2" xfId="25482" xr:uid="{00000000-0005-0000-0000-00007E260000}"/>
    <cellStyle name="20% - Accent6 5 2 6 3" xfId="19835" xr:uid="{00000000-0005-0000-0000-00007F260000}"/>
    <cellStyle name="20% - Accent6 5 2 7" xfId="2512" xr:uid="{00000000-0005-0000-0000-000080260000}"/>
    <cellStyle name="20% - Accent6 5 2 7 2" xfId="13543" xr:uid="{00000000-0005-0000-0000-000081260000}"/>
    <cellStyle name="20% - Accent6 5 2 7 2 2" xfId="27092" xr:uid="{00000000-0005-0000-0000-000082260000}"/>
    <cellStyle name="20% - Accent6 5 2 7 3" xfId="19836" xr:uid="{00000000-0005-0000-0000-000083260000}"/>
    <cellStyle name="20% - Accent6 5 2 8" xfId="2513" xr:uid="{00000000-0005-0000-0000-000084260000}"/>
    <cellStyle name="20% - Accent6 5 2 8 2" xfId="14124" xr:uid="{00000000-0005-0000-0000-000085260000}"/>
    <cellStyle name="20% - Accent6 5 2 8 2 2" xfId="27673" xr:uid="{00000000-0005-0000-0000-000086260000}"/>
    <cellStyle name="20% - Accent6 5 2 8 3" xfId="19837" xr:uid="{00000000-0005-0000-0000-000087260000}"/>
    <cellStyle name="20% - Accent6 5 2 9" xfId="2514" xr:uid="{00000000-0005-0000-0000-000088260000}"/>
    <cellStyle name="20% - Accent6 5 2 9 2" xfId="15027" xr:uid="{00000000-0005-0000-0000-000089260000}"/>
    <cellStyle name="20% - Accent6 5 2 9 2 2" xfId="28576" xr:uid="{00000000-0005-0000-0000-00008A260000}"/>
    <cellStyle name="20% - Accent6 5 2 9 3" xfId="19838" xr:uid="{00000000-0005-0000-0000-00008B260000}"/>
    <cellStyle name="20% - Accent6 5 3" xfId="2515" xr:uid="{00000000-0005-0000-0000-00008C260000}"/>
    <cellStyle name="20% - Accent6 5 3 10" xfId="9179" xr:uid="{00000000-0005-0000-0000-00008D260000}"/>
    <cellStyle name="20% - Accent6 5 3 10 2" xfId="23654" xr:uid="{00000000-0005-0000-0000-00008E260000}"/>
    <cellStyle name="20% - Accent6 5 3 11" xfId="19839" xr:uid="{00000000-0005-0000-0000-00008F260000}"/>
    <cellStyle name="20% - Accent6 5 3 2" xfId="2516" xr:uid="{00000000-0005-0000-0000-000090260000}"/>
    <cellStyle name="20% - Accent6 5 3 2 2" xfId="2517" xr:uid="{00000000-0005-0000-0000-000091260000}"/>
    <cellStyle name="20% - Accent6 5 3 2 2 2" xfId="10906" xr:uid="{00000000-0005-0000-0000-000092260000}"/>
    <cellStyle name="20% - Accent6 5 3 2 2 2 2" xfId="24848" xr:uid="{00000000-0005-0000-0000-000093260000}"/>
    <cellStyle name="20% - Accent6 5 3 2 2 3" xfId="19841" xr:uid="{00000000-0005-0000-0000-000094260000}"/>
    <cellStyle name="20% - Accent6 5 3 2 3" xfId="2518" xr:uid="{00000000-0005-0000-0000-000095260000}"/>
    <cellStyle name="20% - Accent6 5 3 2 3 2" xfId="12562" xr:uid="{00000000-0005-0000-0000-000096260000}"/>
    <cellStyle name="20% - Accent6 5 3 2 3 2 2" xfId="26274" xr:uid="{00000000-0005-0000-0000-000097260000}"/>
    <cellStyle name="20% - Accent6 5 3 2 3 3" xfId="19842" xr:uid="{00000000-0005-0000-0000-000098260000}"/>
    <cellStyle name="20% - Accent6 5 3 2 4" xfId="2519" xr:uid="{00000000-0005-0000-0000-000099260000}"/>
    <cellStyle name="20% - Accent6 5 3 2 4 2" xfId="15034" xr:uid="{00000000-0005-0000-0000-00009A260000}"/>
    <cellStyle name="20% - Accent6 5 3 2 4 2 2" xfId="28583" xr:uid="{00000000-0005-0000-0000-00009B260000}"/>
    <cellStyle name="20% - Accent6 5 3 2 4 3" xfId="19843" xr:uid="{00000000-0005-0000-0000-00009C260000}"/>
    <cellStyle name="20% - Accent6 5 3 2 5" xfId="2520" xr:uid="{00000000-0005-0000-0000-00009D260000}"/>
    <cellStyle name="20% - Accent6 5 3 2 5 2" xfId="16740" xr:uid="{00000000-0005-0000-0000-00009E260000}"/>
    <cellStyle name="20% - Accent6 5 3 2 5 2 2" xfId="30147" xr:uid="{00000000-0005-0000-0000-00009F260000}"/>
    <cellStyle name="20% - Accent6 5 3 2 5 3" xfId="19844" xr:uid="{00000000-0005-0000-0000-0000A0260000}"/>
    <cellStyle name="20% - Accent6 5 3 2 6" xfId="9180" xr:uid="{00000000-0005-0000-0000-0000A1260000}"/>
    <cellStyle name="20% - Accent6 5 3 2 6 2" xfId="23655" xr:uid="{00000000-0005-0000-0000-0000A2260000}"/>
    <cellStyle name="20% - Accent6 5 3 2 7" xfId="19840" xr:uid="{00000000-0005-0000-0000-0000A3260000}"/>
    <cellStyle name="20% - Accent6 5 3 3" xfId="2521" xr:uid="{00000000-0005-0000-0000-0000A4260000}"/>
    <cellStyle name="20% - Accent6 5 3 3 2" xfId="2522" xr:uid="{00000000-0005-0000-0000-0000A5260000}"/>
    <cellStyle name="20% - Accent6 5 3 3 2 2" xfId="15035" xr:uid="{00000000-0005-0000-0000-0000A6260000}"/>
    <cellStyle name="20% - Accent6 5 3 3 2 2 2" xfId="28584" xr:uid="{00000000-0005-0000-0000-0000A7260000}"/>
    <cellStyle name="20% - Accent6 5 3 3 2 3" xfId="19846" xr:uid="{00000000-0005-0000-0000-0000A8260000}"/>
    <cellStyle name="20% - Accent6 5 3 3 3" xfId="10905" xr:uid="{00000000-0005-0000-0000-0000A9260000}"/>
    <cellStyle name="20% - Accent6 5 3 3 3 2" xfId="24847" xr:uid="{00000000-0005-0000-0000-0000AA260000}"/>
    <cellStyle name="20% - Accent6 5 3 3 4" xfId="19845" xr:uid="{00000000-0005-0000-0000-0000AB260000}"/>
    <cellStyle name="20% - Accent6 5 3 4" xfId="2523" xr:uid="{00000000-0005-0000-0000-0000AC260000}"/>
    <cellStyle name="20% - Accent6 5 3 4 2" xfId="12128" xr:uid="{00000000-0005-0000-0000-0000AD260000}"/>
    <cellStyle name="20% - Accent6 5 3 4 2 2" xfId="25840" xr:uid="{00000000-0005-0000-0000-0000AE260000}"/>
    <cellStyle name="20% - Accent6 5 3 4 3" xfId="19847" xr:uid="{00000000-0005-0000-0000-0000AF260000}"/>
    <cellStyle name="20% - Accent6 5 3 5" xfId="2524" xr:uid="{00000000-0005-0000-0000-0000B0260000}"/>
    <cellStyle name="20% - Accent6 5 3 5 2" xfId="12806" xr:uid="{00000000-0005-0000-0000-0000B1260000}"/>
    <cellStyle name="20% - Accent6 5 3 5 2 2" xfId="26518" xr:uid="{00000000-0005-0000-0000-0000B2260000}"/>
    <cellStyle name="20% - Accent6 5 3 5 3" xfId="19848" xr:uid="{00000000-0005-0000-0000-0000B3260000}"/>
    <cellStyle name="20% - Accent6 5 3 6" xfId="2525" xr:uid="{00000000-0005-0000-0000-0000B4260000}"/>
    <cellStyle name="20% - Accent6 5 3 6 2" xfId="13692" xr:uid="{00000000-0005-0000-0000-0000B5260000}"/>
    <cellStyle name="20% - Accent6 5 3 6 2 2" xfId="27241" xr:uid="{00000000-0005-0000-0000-0000B6260000}"/>
    <cellStyle name="20% - Accent6 5 3 6 3" xfId="19849" xr:uid="{00000000-0005-0000-0000-0000B7260000}"/>
    <cellStyle name="20% - Accent6 5 3 7" xfId="2526" xr:uid="{00000000-0005-0000-0000-0000B8260000}"/>
    <cellStyle name="20% - Accent6 5 3 7 2" xfId="14273" xr:uid="{00000000-0005-0000-0000-0000B9260000}"/>
    <cellStyle name="20% - Accent6 5 3 7 2 2" xfId="27822" xr:uid="{00000000-0005-0000-0000-0000BA260000}"/>
    <cellStyle name="20% - Accent6 5 3 7 3" xfId="19850" xr:uid="{00000000-0005-0000-0000-0000BB260000}"/>
    <cellStyle name="20% - Accent6 5 3 8" xfId="2527" xr:uid="{00000000-0005-0000-0000-0000BC260000}"/>
    <cellStyle name="20% - Accent6 5 3 8 2" xfId="15033" xr:uid="{00000000-0005-0000-0000-0000BD260000}"/>
    <cellStyle name="20% - Accent6 5 3 8 2 2" xfId="28582" xr:uid="{00000000-0005-0000-0000-0000BE260000}"/>
    <cellStyle name="20% - Accent6 5 3 8 3" xfId="19851" xr:uid="{00000000-0005-0000-0000-0000BF260000}"/>
    <cellStyle name="20% - Accent6 5 3 9" xfId="2528" xr:uid="{00000000-0005-0000-0000-0000C0260000}"/>
    <cellStyle name="20% - Accent6 5 3 9 2" xfId="16159" xr:uid="{00000000-0005-0000-0000-0000C1260000}"/>
    <cellStyle name="20% - Accent6 5 3 9 2 2" xfId="29566" xr:uid="{00000000-0005-0000-0000-0000C2260000}"/>
    <cellStyle name="20% - Accent6 5 3 9 3" xfId="19852" xr:uid="{00000000-0005-0000-0000-0000C3260000}"/>
    <cellStyle name="20% - Accent6 5 4" xfId="2529" xr:uid="{00000000-0005-0000-0000-0000C4260000}"/>
    <cellStyle name="20% - Accent6 5 4 2" xfId="2530" xr:uid="{00000000-0005-0000-0000-0000C5260000}"/>
    <cellStyle name="20% - Accent6 5 4 2 2" xfId="10907" xr:uid="{00000000-0005-0000-0000-0000C6260000}"/>
    <cellStyle name="20% - Accent6 5 4 2 2 2" xfId="24849" xr:uid="{00000000-0005-0000-0000-0000C7260000}"/>
    <cellStyle name="20% - Accent6 5 4 2 3" xfId="19854" xr:uid="{00000000-0005-0000-0000-0000C8260000}"/>
    <cellStyle name="20% - Accent6 5 4 3" xfId="2531" xr:uid="{00000000-0005-0000-0000-0000C9260000}"/>
    <cellStyle name="20% - Accent6 5 4 3 2" xfId="12116" xr:uid="{00000000-0005-0000-0000-0000CA260000}"/>
    <cellStyle name="20% - Accent6 5 4 3 2 2" xfId="25828" xr:uid="{00000000-0005-0000-0000-0000CB260000}"/>
    <cellStyle name="20% - Accent6 5 4 3 3" xfId="19855" xr:uid="{00000000-0005-0000-0000-0000CC260000}"/>
    <cellStyle name="20% - Accent6 5 4 4" xfId="2532" xr:uid="{00000000-0005-0000-0000-0000CD260000}"/>
    <cellStyle name="20% - Accent6 5 4 4 2" xfId="15036" xr:uid="{00000000-0005-0000-0000-0000CE260000}"/>
    <cellStyle name="20% - Accent6 5 4 4 2 2" xfId="28585" xr:uid="{00000000-0005-0000-0000-0000CF260000}"/>
    <cellStyle name="20% - Accent6 5 4 4 3" xfId="19856" xr:uid="{00000000-0005-0000-0000-0000D0260000}"/>
    <cellStyle name="20% - Accent6 5 4 5" xfId="2533" xr:uid="{00000000-0005-0000-0000-0000D1260000}"/>
    <cellStyle name="20% - Accent6 5 4 5 2" xfId="16448" xr:uid="{00000000-0005-0000-0000-0000D2260000}"/>
    <cellStyle name="20% - Accent6 5 4 5 2 2" xfId="29855" xr:uid="{00000000-0005-0000-0000-0000D3260000}"/>
    <cellStyle name="20% - Accent6 5 4 5 3" xfId="19857" xr:uid="{00000000-0005-0000-0000-0000D4260000}"/>
    <cellStyle name="20% - Accent6 5 4 6" xfId="9181" xr:uid="{00000000-0005-0000-0000-0000D5260000}"/>
    <cellStyle name="20% - Accent6 5 4 6 2" xfId="23656" xr:uid="{00000000-0005-0000-0000-0000D6260000}"/>
    <cellStyle name="20% - Accent6 5 4 7" xfId="19853" xr:uid="{00000000-0005-0000-0000-0000D7260000}"/>
    <cellStyle name="20% - Accent6 5 5" xfId="2534" xr:uid="{00000000-0005-0000-0000-0000D8260000}"/>
    <cellStyle name="20% - Accent6 5 5 2" xfId="2535" xr:uid="{00000000-0005-0000-0000-0000D9260000}"/>
    <cellStyle name="20% - Accent6 5 5 2 2" xfId="15037" xr:uid="{00000000-0005-0000-0000-0000DA260000}"/>
    <cellStyle name="20% - Accent6 5 5 2 2 2" xfId="28586" xr:uid="{00000000-0005-0000-0000-0000DB260000}"/>
    <cellStyle name="20% - Accent6 5 5 2 3" xfId="19859" xr:uid="{00000000-0005-0000-0000-0000DC260000}"/>
    <cellStyle name="20% - Accent6 5 5 3" xfId="10900" xr:uid="{00000000-0005-0000-0000-0000DD260000}"/>
    <cellStyle name="20% - Accent6 5 5 3 2" xfId="24842" xr:uid="{00000000-0005-0000-0000-0000DE260000}"/>
    <cellStyle name="20% - Accent6 5 5 4" xfId="19858" xr:uid="{00000000-0005-0000-0000-0000DF260000}"/>
    <cellStyle name="20% - Accent6 5 6" xfId="2536" xr:uid="{00000000-0005-0000-0000-0000E0260000}"/>
    <cellStyle name="20% - Accent6 5 6 2" xfId="11799" xr:uid="{00000000-0005-0000-0000-0000E1260000}"/>
    <cellStyle name="20% - Accent6 5 6 2 2" xfId="25514" xr:uid="{00000000-0005-0000-0000-0000E2260000}"/>
    <cellStyle name="20% - Accent6 5 6 3" xfId="19860" xr:uid="{00000000-0005-0000-0000-0000E3260000}"/>
    <cellStyle name="20% - Accent6 5 7" xfId="2537" xr:uid="{00000000-0005-0000-0000-0000E4260000}"/>
    <cellStyle name="20% - Accent6 5 7 2" xfId="12559" xr:uid="{00000000-0005-0000-0000-0000E5260000}"/>
    <cellStyle name="20% - Accent6 5 7 2 2" xfId="26271" xr:uid="{00000000-0005-0000-0000-0000E6260000}"/>
    <cellStyle name="20% - Accent6 5 7 3" xfId="19861" xr:uid="{00000000-0005-0000-0000-0000E7260000}"/>
    <cellStyle name="20% - Accent6 5 8" xfId="2538" xr:uid="{00000000-0005-0000-0000-0000E8260000}"/>
    <cellStyle name="20% - Accent6 5 8 2" xfId="13400" xr:uid="{00000000-0005-0000-0000-0000E9260000}"/>
    <cellStyle name="20% - Accent6 5 8 2 2" xfId="26949" xr:uid="{00000000-0005-0000-0000-0000EA260000}"/>
    <cellStyle name="20% - Accent6 5 8 3" xfId="19862" xr:uid="{00000000-0005-0000-0000-0000EB260000}"/>
    <cellStyle name="20% - Accent6 5 9" xfId="2539" xr:uid="{00000000-0005-0000-0000-0000EC260000}"/>
    <cellStyle name="20% - Accent6 5 9 2" xfId="13981" xr:uid="{00000000-0005-0000-0000-0000ED260000}"/>
    <cellStyle name="20% - Accent6 5 9 2 2" xfId="27530" xr:uid="{00000000-0005-0000-0000-0000EE260000}"/>
    <cellStyle name="20% - Accent6 5 9 3" xfId="19863" xr:uid="{00000000-0005-0000-0000-0000EF260000}"/>
    <cellStyle name="20% - Accent6 6" xfId="2540" xr:uid="{00000000-0005-0000-0000-0000F0260000}"/>
    <cellStyle name="20% - Accent6 6 10" xfId="2541" xr:uid="{00000000-0005-0000-0000-0000F1260000}"/>
    <cellStyle name="20% - Accent6 6 10 2" xfId="15038" xr:uid="{00000000-0005-0000-0000-0000F2260000}"/>
    <cellStyle name="20% - Accent6 6 10 2 2" xfId="28587" xr:uid="{00000000-0005-0000-0000-0000F3260000}"/>
    <cellStyle name="20% - Accent6 6 10 3" xfId="19865" xr:uid="{00000000-0005-0000-0000-0000F4260000}"/>
    <cellStyle name="20% - Accent6 6 11" xfId="2542" xr:uid="{00000000-0005-0000-0000-0000F5260000}"/>
    <cellStyle name="20% - Accent6 6 11 2" xfId="15973" xr:uid="{00000000-0005-0000-0000-0000F6260000}"/>
    <cellStyle name="20% - Accent6 6 11 2 2" xfId="29380" xr:uid="{00000000-0005-0000-0000-0000F7260000}"/>
    <cellStyle name="20% - Accent6 6 11 3" xfId="19866" xr:uid="{00000000-0005-0000-0000-0000F8260000}"/>
    <cellStyle name="20% - Accent6 6 12" xfId="9182" xr:uid="{00000000-0005-0000-0000-0000F9260000}"/>
    <cellStyle name="20% - Accent6 6 12 2" xfId="23657" xr:uid="{00000000-0005-0000-0000-0000FA260000}"/>
    <cellStyle name="20% - Accent6 6 13" xfId="19864" xr:uid="{00000000-0005-0000-0000-0000FB260000}"/>
    <cellStyle name="20% - Accent6 6 2" xfId="2543" xr:uid="{00000000-0005-0000-0000-0000FC260000}"/>
    <cellStyle name="20% - Accent6 6 2 10" xfId="2544" xr:uid="{00000000-0005-0000-0000-0000FD260000}"/>
    <cellStyle name="20% - Accent6 6 2 10 2" xfId="16116" xr:uid="{00000000-0005-0000-0000-0000FE260000}"/>
    <cellStyle name="20% - Accent6 6 2 10 2 2" xfId="29523" xr:uid="{00000000-0005-0000-0000-0000FF260000}"/>
    <cellStyle name="20% - Accent6 6 2 10 3" xfId="19868" xr:uid="{00000000-0005-0000-0000-000000270000}"/>
    <cellStyle name="20% - Accent6 6 2 11" xfId="9183" xr:uid="{00000000-0005-0000-0000-000001270000}"/>
    <cellStyle name="20% - Accent6 6 2 11 2" xfId="23658" xr:uid="{00000000-0005-0000-0000-000002270000}"/>
    <cellStyle name="20% - Accent6 6 2 12" xfId="19867" xr:uid="{00000000-0005-0000-0000-000003270000}"/>
    <cellStyle name="20% - Accent6 6 2 2" xfId="2545" xr:uid="{00000000-0005-0000-0000-000004270000}"/>
    <cellStyle name="20% - Accent6 6 2 2 10" xfId="9184" xr:uid="{00000000-0005-0000-0000-000005270000}"/>
    <cellStyle name="20% - Accent6 6 2 2 10 2" xfId="23659" xr:uid="{00000000-0005-0000-0000-000006270000}"/>
    <cellStyle name="20% - Accent6 6 2 2 11" xfId="19869" xr:uid="{00000000-0005-0000-0000-000007270000}"/>
    <cellStyle name="20% - Accent6 6 2 2 2" xfId="2546" xr:uid="{00000000-0005-0000-0000-000008270000}"/>
    <cellStyle name="20% - Accent6 6 2 2 2 2" xfId="2547" xr:uid="{00000000-0005-0000-0000-000009270000}"/>
    <cellStyle name="20% - Accent6 6 2 2 2 2 2" xfId="10911" xr:uid="{00000000-0005-0000-0000-00000A270000}"/>
    <cellStyle name="20% - Accent6 6 2 2 2 2 2 2" xfId="24853" xr:uid="{00000000-0005-0000-0000-00000B270000}"/>
    <cellStyle name="20% - Accent6 6 2 2 2 2 3" xfId="19871" xr:uid="{00000000-0005-0000-0000-00000C270000}"/>
    <cellStyle name="20% - Accent6 6 2 2 2 3" xfId="2548" xr:uid="{00000000-0005-0000-0000-00000D270000}"/>
    <cellStyle name="20% - Accent6 6 2 2 2 3 2" xfId="12793" xr:uid="{00000000-0005-0000-0000-00000E270000}"/>
    <cellStyle name="20% - Accent6 6 2 2 2 3 2 2" xfId="26505" xr:uid="{00000000-0005-0000-0000-00000F270000}"/>
    <cellStyle name="20% - Accent6 6 2 2 2 3 3" xfId="19872" xr:uid="{00000000-0005-0000-0000-000010270000}"/>
    <cellStyle name="20% - Accent6 6 2 2 2 4" xfId="2549" xr:uid="{00000000-0005-0000-0000-000011270000}"/>
    <cellStyle name="20% - Accent6 6 2 2 2 4 2" xfId="15041" xr:uid="{00000000-0005-0000-0000-000012270000}"/>
    <cellStyle name="20% - Accent6 6 2 2 2 4 2 2" xfId="28590" xr:uid="{00000000-0005-0000-0000-000013270000}"/>
    <cellStyle name="20% - Accent6 6 2 2 2 4 3" xfId="19873" xr:uid="{00000000-0005-0000-0000-000014270000}"/>
    <cellStyle name="20% - Accent6 6 2 2 2 5" xfId="2550" xr:uid="{00000000-0005-0000-0000-000015270000}"/>
    <cellStyle name="20% - Accent6 6 2 2 2 5 2" xfId="16986" xr:uid="{00000000-0005-0000-0000-000016270000}"/>
    <cellStyle name="20% - Accent6 6 2 2 2 5 2 2" xfId="30393" xr:uid="{00000000-0005-0000-0000-000017270000}"/>
    <cellStyle name="20% - Accent6 6 2 2 2 5 3" xfId="19874" xr:uid="{00000000-0005-0000-0000-000018270000}"/>
    <cellStyle name="20% - Accent6 6 2 2 2 6" xfId="9185" xr:uid="{00000000-0005-0000-0000-000019270000}"/>
    <cellStyle name="20% - Accent6 6 2 2 2 6 2" xfId="23660" xr:uid="{00000000-0005-0000-0000-00001A270000}"/>
    <cellStyle name="20% - Accent6 6 2 2 2 7" xfId="19870" xr:uid="{00000000-0005-0000-0000-00001B270000}"/>
    <cellStyle name="20% - Accent6 6 2 2 3" xfId="2551" xr:uid="{00000000-0005-0000-0000-00001C270000}"/>
    <cellStyle name="20% - Accent6 6 2 2 3 2" xfId="2552" xr:uid="{00000000-0005-0000-0000-00001D270000}"/>
    <cellStyle name="20% - Accent6 6 2 2 3 2 2" xfId="15042" xr:uid="{00000000-0005-0000-0000-00001E270000}"/>
    <cellStyle name="20% - Accent6 6 2 2 3 2 2 2" xfId="28591" xr:uid="{00000000-0005-0000-0000-00001F270000}"/>
    <cellStyle name="20% - Accent6 6 2 2 3 2 3" xfId="19876" xr:uid="{00000000-0005-0000-0000-000020270000}"/>
    <cellStyle name="20% - Accent6 6 2 2 3 3" xfId="10910" xr:uid="{00000000-0005-0000-0000-000021270000}"/>
    <cellStyle name="20% - Accent6 6 2 2 3 3 2" xfId="24852" xr:uid="{00000000-0005-0000-0000-000022270000}"/>
    <cellStyle name="20% - Accent6 6 2 2 3 4" xfId="19875" xr:uid="{00000000-0005-0000-0000-000023270000}"/>
    <cellStyle name="20% - Accent6 6 2 2 4" xfId="2553" xr:uid="{00000000-0005-0000-0000-000024270000}"/>
    <cellStyle name="20% - Accent6 6 2 2 4 2" xfId="12374" xr:uid="{00000000-0005-0000-0000-000025270000}"/>
    <cellStyle name="20% - Accent6 6 2 2 4 2 2" xfId="26086" xr:uid="{00000000-0005-0000-0000-000026270000}"/>
    <cellStyle name="20% - Accent6 6 2 2 4 3" xfId="19877" xr:uid="{00000000-0005-0000-0000-000027270000}"/>
    <cellStyle name="20% - Accent6 6 2 2 5" xfId="2554" xr:uid="{00000000-0005-0000-0000-000028270000}"/>
    <cellStyle name="20% - Accent6 6 2 2 5 2" xfId="12701" xr:uid="{00000000-0005-0000-0000-000029270000}"/>
    <cellStyle name="20% - Accent6 6 2 2 5 2 2" xfId="26413" xr:uid="{00000000-0005-0000-0000-00002A270000}"/>
    <cellStyle name="20% - Accent6 6 2 2 5 3" xfId="19878" xr:uid="{00000000-0005-0000-0000-00002B270000}"/>
    <cellStyle name="20% - Accent6 6 2 2 6" xfId="2555" xr:uid="{00000000-0005-0000-0000-00002C270000}"/>
    <cellStyle name="20% - Accent6 6 2 2 6 2" xfId="13938" xr:uid="{00000000-0005-0000-0000-00002D270000}"/>
    <cellStyle name="20% - Accent6 6 2 2 6 2 2" xfId="27487" xr:uid="{00000000-0005-0000-0000-00002E270000}"/>
    <cellStyle name="20% - Accent6 6 2 2 6 3" xfId="19879" xr:uid="{00000000-0005-0000-0000-00002F270000}"/>
    <cellStyle name="20% - Accent6 6 2 2 7" xfId="2556" xr:uid="{00000000-0005-0000-0000-000030270000}"/>
    <cellStyle name="20% - Accent6 6 2 2 7 2" xfId="14519" xr:uid="{00000000-0005-0000-0000-000031270000}"/>
    <cellStyle name="20% - Accent6 6 2 2 7 2 2" xfId="28068" xr:uid="{00000000-0005-0000-0000-000032270000}"/>
    <cellStyle name="20% - Accent6 6 2 2 7 3" xfId="19880" xr:uid="{00000000-0005-0000-0000-000033270000}"/>
    <cellStyle name="20% - Accent6 6 2 2 8" xfId="2557" xr:uid="{00000000-0005-0000-0000-000034270000}"/>
    <cellStyle name="20% - Accent6 6 2 2 8 2" xfId="15040" xr:uid="{00000000-0005-0000-0000-000035270000}"/>
    <cellStyle name="20% - Accent6 6 2 2 8 2 2" xfId="28589" xr:uid="{00000000-0005-0000-0000-000036270000}"/>
    <cellStyle name="20% - Accent6 6 2 2 8 3" xfId="19881" xr:uid="{00000000-0005-0000-0000-000037270000}"/>
    <cellStyle name="20% - Accent6 6 2 2 9" xfId="2558" xr:uid="{00000000-0005-0000-0000-000038270000}"/>
    <cellStyle name="20% - Accent6 6 2 2 9 2" xfId="16405" xr:uid="{00000000-0005-0000-0000-000039270000}"/>
    <cellStyle name="20% - Accent6 6 2 2 9 2 2" xfId="29812" xr:uid="{00000000-0005-0000-0000-00003A270000}"/>
    <cellStyle name="20% - Accent6 6 2 2 9 3" xfId="19882" xr:uid="{00000000-0005-0000-0000-00003B270000}"/>
    <cellStyle name="20% - Accent6 6 2 3" xfId="2559" xr:uid="{00000000-0005-0000-0000-00003C270000}"/>
    <cellStyle name="20% - Accent6 6 2 3 2" xfId="2560" xr:uid="{00000000-0005-0000-0000-00003D270000}"/>
    <cellStyle name="20% - Accent6 6 2 3 2 2" xfId="10912" xr:uid="{00000000-0005-0000-0000-00003E270000}"/>
    <cellStyle name="20% - Accent6 6 2 3 2 2 2" xfId="24854" xr:uid="{00000000-0005-0000-0000-00003F270000}"/>
    <cellStyle name="20% - Accent6 6 2 3 2 3" xfId="19884" xr:uid="{00000000-0005-0000-0000-000040270000}"/>
    <cellStyle name="20% - Accent6 6 2 3 3" xfId="2561" xr:uid="{00000000-0005-0000-0000-000041270000}"/>
    <cellStyle name="20% - Accent6 6 2 3 3 2" xfId="12708" xr:uid="{00000000-0005-0000-0000-000042270000}"/>
    <cellStyle name="20% - Accent6 6 2 3 3 2 2" xfId="26420" xr:uid="{00000000-0005-0000-0000-000043270000}"/>
    <cellStyle name="20% - Accent6 6 2 3 3 3" xfId="19885" xr:uid="{00000000-0005-0000-0000-000044270000}"/>
    <cellStyle name="20% - Accent6 6 2 3 4" xfId="2562" xr:uid="{00000000-0005-0000-0000-000045270000}"/>
    <cellStyle name="20% - Accent6 6 2 3 4 2" xfId="15043" xr:uid="{00000000-0005-0000-0000-000046270000}"/>
    <cellStyle name="20% - Accent6 6 2 3 4 2 2" xfId="28592" xr:uid="{00000000-0005-0000-0000-000047270000}"/>
    <cellStyle name="20% - Accent6 6 2 3 4 3" xfId="19886" xr:uid="{00000000-0005-0000-0000-000048270000}"/>
    <cellStyle name="20% - Accent6 6 2 3 5" xfId="2563" xr:uid="{00000000-0005-0000-0000-000049270000}"/>
    <cellStyle name="20% - Accent6 6 2 3 5 2" xfId="16697" xr:uid="{00000000-0005-0000-0000-00004A270000}"/>
    <cellStyle name="20% - Accent6 6 2 3 5 2 2" xfId="30104" xr:uid="{00000000-0005-0000-0000-00004B270000}"/>
    <cellStyle name="20% - Accent6 6 2 3 5 3" xfId="19887" xr:uid="{00000000-0005-0000-0000-00004C270000}"/>
    <cellStyle name="20% - Accent6 6 2 3 6" xfId="9186" xr:uid="{00000000-0005-0000-0000-00004D270000}"/>
    <cellStyle name="20% - Accent6 6 2 3 6 2" xfId="23661" xr:uid="{00000000-0005-0000-0000-00004E270000}"/>
    <cellStyle name="20% - Accent6 6 2 3 7" xfId="19883" xr:uid="{00000000-0005-0000-0000-00004F270000}"/>
    <cellStyle name="20% - Accent6 6 2 4" xfId="2564" xr:uid="{00000000-0005-0000-0000-000050270000}"/>
    <cellStyle name="20% - Accent6 6 2 4 2" xfId="2565" xr:uid="{00000000-0005-0000-0000-000051270000}"/>
    <cellStyle name="20% - Accent6 6 2 4 2 2" xfId="15044" xr:uid="{00000000-0005-0000-0000-000052270000}"/>
    <cellStyle name="20% - Accent6 6 2 4 2 2 2" xfId="28593" xr:uid="{00000000-0005-0000-0000-000053270000}"/>
    <cellStyle name="20% - Accent6 6 2 4 2 3" xfId="19889" xr:uid="{00000000-0005-0000-0000-000054270000}"/>
    <cellStyle name="20% - Accent6 6 2 4 3" xfId="10909" xr:uid="{00000000-0005-0000-0000-000055270000}"/>
    <cellStyle name="20% - Accent6 6 2 4 3 2" xfId="24851" xr:uid="{00000000-0005-0000-0000-000056270000}"/>
    <cellStyle name="20% - Accent6 6 2 4 4" xfId="19888" xr:uid="{00000000-0005-0000-0000-000057270000}"/>
    <cellStyle name="20% - Accent6 6 2 5" xfId="2566" xr:uid="{00000000-0005-0000-0000-000058270000}"/>
    <cellStyle name="20% - Accent6 6 2 5 2" xfId="12074" xr:uid="{00000000-0005-0000-0000-000059270000}"/>
    <cellStyle name="20% - Accent6 6 2 5 2 2" xfId="25789" xr:uid="{00000000-0005-0000-0000-00005A270000}"/>
    <cellStyle name="20% - Accent6 6 2 5 3" xfId="19890" xr:uid="{00000000-0005-0000-0000-00005B270000}"/>
    <cellStyle name="20% - Accent6 6 2 6" xfId="2567" xr:uid="{00000000-0005-0000-0000-00005C270000}"/>
    <cellStyle name="20% - Accent6 6 2 6 2" xfId="12661" xr:uid="{00000000-0005-0000-0000-00005D270000}"/>
    <cellStyle name="20% - Accent6 6 2 6 2 2" xfId="26373" xr:uid="{00000000-0005-0000-0000-00005E270000}"/>
    <cellStyle name="20% - Accent6 6 2 6 3" xfId="19891" xr:uid="{00000000-0005-0000-0000-00005F270000}"/>
    <cellStyle name="20% - Accent6 6 2 7" xfId="2568" xr:uid="{00000000-0005-0000-0000-000060270000}"/>
    <cellStyle name="20% - Accent6 6 2 7 2" xfId="13649" xr:uid="{00000000-0005-0000-0000-000061270000}"/>
    <cellStyle name="20% - Accent6 6 2 7 2 2" xfId="27198" xr:uid="{00000000-0005-0000-0000-000062270000}"/>
    <cellStyle name="20% - Accent6 6 2 7 3" xfId="19892" xr:uid="{00000000-0005-0000-0000-000063270000}"/>
    <cellStyle name="20% - Accent6 6 2 8" xfId="2569" xr:uid="{00000000-0005-0000-0000-000064270000}"/>
    <cellStyle name="20% - Accent6 6 2 8 2" xfId="14230" xr:uid="{00000000-0005-0000-0000-000065270000}"/>
    <cellStyle name="20% - Accent6 6 2 8 2 2" xfId="27779" xr:uid="{00000000-0005-0000-0000-000066270000}"/>
    <cellStyle name="20% - Accent6 6 2 8 3" xfId="19893" xr:uid="{00000000-0005-0000-0000-000067270000}"/>
    <cellStyle name="20% - Accent6 6 2 9" xfId="2570" xr:uid="{00000000-0005-0000-0000-000068270000}"/>
    <cellStyle name="20% - Accent6 6 2 9 2" xfId="15039" xr:uid="{00000000-0005-0000-0000-000069270000}"/>
    <cellStyle name="20% - Accent6 6 2 9 2 2" xfId="28588" xr:uid="{00000000-0005-0000-0000-00006A270000}"/>
    <cellStyle name="20% - Accent6 6 2 9 3" xfId="19894" xr:uid="{00000000-0005-0000-0000-00006B270000}"/>
    <cellStyle name="20% - Accent6 6 3" xfId="2571" xr:uid="{00000000-0005-0000-0000-00006C270000}"/>
    <cellStyle name="20% - Accent6 6 3 10" xfId="9187" xr:uid="{00000000-0005-0000-0000-00006D270000}"/>
    <cellStyle name="20% - Accent6 6 3 10 2" xfId="23662" xr:uid="{00000000-0005-0000-0000-00006E270000}"/>
    <cellStyle name="20% - Accent6 6 3 11" xfId="19895" xr:uid="{00000000-0005-0000-0000-00006F270000}"/>
    <cellStyle name="20% - Accent6 6 3 2" xfId="2572" xr:uid="{00000000-0005-0000-0000-000070270000}"/>
    <cellStyle name="20% - Accent6 6 3 2 2" xfId="2573" xr:uid="{00000000-0005-0000-0000-000071270000}"/>
    <cellStyle name="20% - Accent6 6 3 2 2 2" xfId="10914" xr:uid="{00000000-0005-0000-0000-000072270000}"/>
    <cellStyle name="20% - Accent6 6 3 2 2 2 2" xfId="24856" xr:uid="{00000000-0005-0000-0000-000073270000}"/>
    <cellStyle name="20% - Accent6 6 3 2 2 3" xfId="19897" xr:uid="{00000000-0005-0000-0000-000074270000}"/>
    <cellStyle name="20% - Accent6 6 3 2 3" xfId="2574" xr:uid="{00000000-0005-0000-0000-000075270000}"/>
    <cellStyle name="20% - Accent6 6 3 2 3 2" xfId="12667" xr:uid="{00000000-0005-0000-0000-000076270000}"/>
    <cellStyle name="20% - Accent6 6 3 2 3 2 2" xfId="26379" xr:uid="{00000000-0005-0000-0000-000077270000}"/>
    <cellStyle name="20% - Accent6 6 3 2 3 3" xfId="19898" xr:uid="{00000000-0005-0000-0000-000078270000}"/>
    <cellStyle name="20% - Accent6 6 3 2 4" xfId="2575" xr:uid="{00000000-0005-0000-0000-000079270000}"/>
    <cellStyle name="20% - Accent6 6 3 2 4 2" xfId="15046" xr:uid="{00000000-0005-0000-0000-00007A270000}"/>
    <cellStyle name="20% - Accent6 6 3 2 4 2 2" xfId="28595" xr:uid="{00000000-0005-0000-0000-00007B270000}"/>
    <cellStyle name="20% - Accent6 6 3 2 4 3" xfId="19899" xr:uid="{00000000-0005-0000-0000-00007C270000}"/>
    <cellStyle name="20% - Accent6 6 3 2 5" xfId="2576" xr:uid="{00000000-0005-0000-0000-00007D270000}"/>
    <cellStyle name="20% - Accent6 6 3 2 5 2" xfId="16843" xr:uid="{00000000-0005-0000-0000-00007E270000}"/>
    <cellStyle name="20% - Accent6 6 3 2 5 2 2" xfId="30250" xr:uid="{00000000-0005-0000-0000-00007F270000}"/>
    <cellStyle name="20% - Accent6 6 3 2 5 3" xfId="19900" xr:uid="{00000000-0005-0000-0000-000080270000}"/>
    <cellStyle name="20% - Accent6 6 3 2 6" xfId="9188" xr:uid="{00000000-0005-0000-0000-000081270000}"/>
    <cellStyle name="20% - Accent6 6 3 2 6 2" xfId="23663" xr:uid="{00000000-0005-0000-0000-000082270000}"/>
    <cellStyle name="20% - Accent6 6 3 2 7" xfId="19896" xr:uid="{00000000-0005-0000-0000-000083270000}"/>
    <cellStyle name="20% - Accent6 6 3 3" xfId="2577" xr:uid="{00000000-0005-0000-0000-000084270000}"/>
    <cellStyle name="20% - Accent6 6 3 3 2" xfId="2578" xr:uid="{00000000-0005-0000-0000-000085270000}"/>
    <cellStyle name="20% - Accent6 6 3 3 2 2" xfId="15047" xr:uid="{00000000-0005-0000-0000-000086270000}"/>
    <cellStyle name="20% - Accent6 6 3 3 2 2 2" xfId="28596" xr:uid="{00000000-0005-0000-0000-000087270000}"/>
    <cellStyle name="20% - Accent6 6 3 3 2 3" xfId="19902" xr:uid="{00000000-0005-0000-0000-000088270000}"/>
    <cellStyle name="20% - Accent6 6 3 3 3" xfId="10913" xr:uid="{00000000-0005-0000-0000-000089270000}"/>
    <cellStyle name="20% - Accent6 6 3 3 3 2" xfId="24855" xr:uid="{00000000-0005-0000-0000-00008A270000}"/>
    <cellStyle name="20% - Accent6 6 3 3 4" xfId="19901" xr:uid="{00000000-0005-0000-0000-00008B270000}"/>
    <cellStyle name="20% - Accent6 6 3 4" xfId="2579" xr:uid="{00000000-0005-0000-0000-00008C270000}"/>
    <cellStyle name="20% - Accent6 6 3 4 2" xfId="12231" xr:uid="{00000000-0005-0000-0000-00008D270000}"/>
    <cellStyle name="20% - Accent6 6 3 4 2 2" xfId="25943" xr:uid="{00000000-0005-0000-0000-00008E270000}"/>
    <cellStyle name="20% - Accent6 6 3 4 3" xfId="19903" xr:uid="{00000000-0005-0000-0000-00008F270000}"/>
    <cellStyle name="20% - Accent6 6 3 5" xfId="2580" xr:uid="{00000000-0005-0000-0000-000090270000}"/>
    <cellStyle name="20% - Accent6 6 3 5 2" xfId="12631" xr:uid="{00000000-0005-0000-0000-000091270000}"/>
    <cellStyle name="20% - Accent6 6 3 5 2 2" xfId="26343" xr:uid="{00000000-0005-0000-0000-000092270000}"/>
    <cellStyle name="20% - Accent6 6 3 5 3" xfId="19904" xr:uid="{00000000-0005-0000-0000-000093270000}"/>
    <cellStyle name="20% - Accent6 6 3 6" xfId="2581" xr:uid="{00000000-0005-0000-0000-000094270000}"/>
    <cellStyle name="20% - Accent6 6 3 6 2" xfId="13795" xr:uid="{00000000-0005-0000-0000-000095270000}"/>
    <cellStyle name="20% - Accent6 6 3 6 2 2" xfId="27344" xr:uid="{00000000-0005-0000-0000-000096270000}"/>
    <cellStyle name="20% - Accent6 6 3 6 3" xfId="19905" xr:uid="{00000000-0005-0000-0000-000097270000}"/>
    <cellStyle name="20% - Accent6 6 3 7" xfId="2582" xr:uid="{00000000-0005-0000-0000-000098270000}"/>
    <cellStyle name="20% - Accent6 6 3 7 2" xfId="14376" xr:uid="{00000000-0005-0000-0000-000099270000}"/>
    <cellStyle name="20% - Accent6 6 3 7 2 2" xfId="27925" xr:uid="{00000000-0005-0000-0000-00009A270000}"/>
    <cellStyle name="20% - Accent6 6 3 7 3" xfId="19906" xr:uid="{00000000-0005-0000-0000-00009B270000}"/>
    <cellStyle name="20% - Accent6 6 3 8" xfId="2583" xr:uid="{00000000-0005-0000-0000-00009C270000}"/>
    <cellStyle name="20% - Accent6 6 3 8 2" xfId="15045" xr:uid="{00000000-0005-0000-0000-00009D270000}"/>
    <cellStyle name="20% - Accent6 6 3 8 2 2" xfId="28594" xr:uid="{00000000-0005-0000-0000-00009E270000}"/>
    <cellStyle name="20% - Accent6 6 3 8 3" xfId="19907" xr:uid="{00000000-0005-0000-0000-00009F270000}"/>
    <cellStyle name="20% - Accent6 6 3 9" xfId="2584" xr:uid="{00000000-0005-0000-0000-0000A0270000}"/>
    <cellStyle name="20% - Accent6 6 3 9 2" xfId="16262" xr:uid="{00000000-0005-0000-0000-0000A1270000}"/>
    <cellStyle name="20% - Accent6 6 3 9 2 2" xfId="29669" xr:uid="{00000000-0005-0000-0000-0000A2270000}"/>
    <cellStyle name="20% - Accent6 6 3 9 3" xfId="19908" xr:uid="{00000000-0005-0000-0000-0000A3270000}"/>
    <cellStyle name="20% - Accent6 6 4" xfId="2585" xr:uid="{00000000-0005-0000-0000-0000A4270000}"/>
    <cellStyle name="20% - Accent6 6 4 2" xfId="2586" xr:uid="{00000000-0005-0000-0000-0000A5270000}"/>
    <cellStyle name="20% - Accent6 6 4 2 2" xfId="10915" xr:uid="{00000000-0005-0000-0000-0000A6270000}"/>
    <cellStyle name="20% - Accent6 6 4 2 2 2" xfId="24857" xr:uid="{00000000-0005-0000-0000-0000A7270000}"/>
    <cellStyle name="20% - Accent6 6 4 2 3" xfId="19910" xr:uid="{00000000-0005-0000-0000-0000A8270000}"/>
    <cellStyle name="20% - Accent6 6 4 3" xfId="2587" xr:uid="{00000000-0005-0000-0000-0000A9270000}"/>
    <cellStyle name="20% - Accent6 6 4 3 2" xfId="12707" xr:uid="{00000000-0005-0000-0000-0000AA270000}"/>
    <cellStyle name="20% - Accent6 6 4 3 2 2" xfId="26419" xr:uid="{00000000-0005-0000-0000-0000AB270000}"/>
    <cellStyle name="20% - Accent6 6 4 3 3" xfId="19911" xr:uid="{00000000-0005-0000-0000-0000AC270000}"/>
    <cellStyle name="20% - Accent6 6 4 4" xfId="2588" xr:uid="{00000000-0005-0000-0000-0000AD270000}"/>
    <cellStyle name="20% - Accent6 6 4 4 2" xfId="15048" xr:uid="{00000000-0005-0000-0000-0000AE270000}"/>
    <cellStyle name="20% - Accent6 6 4 4 2 2" xfId="28597" xr:uid="{00000000-0005-0000-0000-0000AF270000}"/>
    <cellStyle name="20% - Accent6 6 4 4 3" xfId="19912" xr:uid="{00000000-0005-0000-0000-0000B0270000}"/>
    <cellStyle name="20% - Accent6 6 4 5" xfId="2589" xr:uid="{00000000-0005-0000-0000-0000B1270000}"/>
    <cellStyle name="20% - Accent6 6 4 5 2" xfId="16554" xr:uid="{00000000-0005-0000-0000-0000B2270000}"/>
    <cellStyle name="20% - Accent6 6 4 5 2 2" xfId="29961" xr:uid="{00000000-0005-0000-0000-0000B3270000}"/>
    <cellStyle name="20% - Accent6 6 4 5 3" xfId="19913" xr:uid="{00000000-0005-0000-0000-0000B4270000}"/>
    <cellStyle name="20% - Accent6 6 4 6" xfId="9189" xr:uid="{00000000-0005-0000-0000-0000B5270000}"/>
    <cellStyle name="20% - Accent6 6 4 6 2" xfId="23664" xr:uid="{00000000-0005-0000-0000-0000B6270000}"/>
    <cellStyle name="20% - Accent6 6 4 7" xfId="19909" xr:uid="{00000000-0005-0000-0000-0000B7270000}"/>
    <cellStyle name="20% - Accent6 6 5" xfId="2590" xr:uid="{00000000-0005-0000-0000-0000B8270000}"/>
    <cellStyle name="20% - Accent6 6 5 2" xfId="2591" xr:uid="{00000000-0005-0000-0000-0000B9270000}"/>
    <cellStyle name="20% - Accent6 6 5 2 2" xfId="15049" xr:uid="{00000000-0005-0000-0000-0000BA270000}"/>
    <cellStyle name="20% - Accent6 6 5 2 2 2" xfId="28598" xr:uid="{00000000-0005-0000-0000-0000BB270000}"/>
    <cellStyle name="20% - Accent6 6 5 2 3" xfId="19915" xr:uid="{00000000-0005-0000-0000-0000BC270000}"/>
    <cellStyle name="20% - Accent6 6 5 3" xfId="10908" xr:uid="{00000000-0005-0000-0000-0000BD270000}"/>
    <cellStyle name="20% - Accent6 6 5 3 2" xfId="24850" xr:uid="{00000000-0005-0000-0000-0000BE270000}"/>
    <cellStyle name="20% - Accent6 6 5 4" xfId="19914" xr:uid="{00000000-0005-0000-0000-0000BF270000}"/>
    <cellStyle name="20% - Accent6 6 6" xfId="2592" xr:uid="{00000000-0005-0000-0000-0000C0270000}"/>
    <cellStyle name="20% - Accent6 6 6 2" xfId="11929" xr:uid="{00000000-0005-0000-0000-0000C1270000}"/>
    <cellStyle name="20% - Accent6 6 6 2 2" xfId="25644" xr:uid="{00000000-0005-0000-0000-0000C2270000}"/>
    <cellStyle name="20% - Accent6 6 6 3" xfId="19916" xr:uid="{00000000-0005-0000-0000-0000C3270000}"/>
    <cellStyle name="20% - Accent6 6 7" xfId="2593" xr:uid="{00000000-0005-0000-0000-0000C4270000}"/>
    <cellStyle name="20% - Accent6 6 7 2" xfId="12568" xr:uid="{00000000-0005-0000-0000-0000C5270000}"/>
    <cellStyle name="20% - Accent6 6 7 2 2" xfId="26280" xr:uid="{00000000-0005-0000-0000-0000C6270000}"/>
    <cellStyle name="20% - Accent6 6 7 3" xfId="19917" xr:uid="{00000000-0005-0000-0000-0000C7270000}"/>
    <cellStyle name="20% - Accent6 6 8" xfId="2594" xr:uid="{00000000-0005-0000-0000-0000C8270000}"/>
    <cellStyle name="20% - Accent6 6 8 2" xfId="13506" xr:uid="{00000000-0005-0000-0000-0000C9270000}"/>
    <cellStyle name="20% - Accent6 6 8 2 2" xfId="27055" xr:uid="{00000000-0005-0000-0000-0000CA270000}"/>
    <cellStyle name="20% - Accent6 6 8 3" xfId="19918" xr:uid="{00000000-0005-0000-0000-0000CB270000}"/>
    <cellStyle name="20% - Accent6 6 9" xfId="2595" xr:uid="{00000000-0005-0000-0000-0000CC270000}"/>
    <cellStyle name="20% - Accent6 6 9 2" xfId="14087" xr:uid="{00000000-0005-0000-0000-0000CD270000}"/>
    <cellStyle name="20% - Accent6 6 9 2 2" xfId="27636" xr:uid="{00000000-0005-0000-0000-0000CE270000}"/>
    <cellStyle name="20% - Accent6 6 9 3" xfId="19919" xr:uid="{00000000-0005-0000-0000-0000CF270000}"/>
    <cellStyle name="20% - Accent6 7" xfId="2596" xr:uid="{00000000-0005-0000-0000-0000D0270000}"/>
    <cellStyle name="20% - Accent6 7 10" xfId="2597" xr:uid="{00000000-0005-0000-0000-0000D1270000}"/>
    <cellStyle name="20% - Accent6 7 10 2" xfId="15998" xr:uid="{00000000-0005-0000-0000-0000D2270000}"/>
    <cellStyle name="20% - Accent6 7 10 2 2" xfId="29405" xr:uid="{00000000-0005-0000-0000-0000D3270000}"/>
    <cellStyle name="20% - Accent6 7 10 3" xfId="19921" xr:uid="{00000000-0005-0000-0000-0000D4270000}"/>
    <cellStyle name="20% - Accent6 7 11" xfId="9190" xr:uid="{00000000-0005-0000-0000-0000D5270000}"/>
    <cellStyle name="20% - Accent6 7 11 2" xfId="23665" xr:uid="{00000000-0005-0000-0000-0000D6270000}"/>
    <cellStyle name="20% - Accent6 7 12" xfId="19920" xr:uid="{00000000-0005-0000-0000-0000D7270000}"/>
    <cellStyle name="20% - Accent6 7 2" xfId="2598" xr:uid="{00000000-0005-0000-0000-0000D8270000}"/>
    <cellStyle name="20% - Accent6 7 2 10" xfId="9191" xr:uid="{00000000-0005-0000-0000-0000D9270000}"/>
    <cellStyle name="20% - Accent6 7 2 10 2" xfId="23666" xr:uid="{00000000-0005-0000-0000-0000DA270000}"/>
    <cellStyle name="20% - Accent6 7 2 11" xfId="19922" xr:uid="{00000000-0005-0000-0000-0000DB270000}"/>
    <cellStyle name="20% - Accent6 7 2 2" xfId="2599" xr:uid="{00000000-0005-0000-0000-0000DC270000}"/>
    <cellStyle name="20% - Accent6 7 2 2 2" xfId="2600" xr:uid="{00000000-0005-0000-0000-0000DD270000}"/>
    <cellStyle name="20% - Accent6 7 2 2 2 2" xfId="10918" xr:uid="{00000000-0005-0000-0000-0000DE270000}"/>
    <cellStyle name="20% - Accent6 7 2 2 2 2 2" xfId="24860" xr:uid="{00000000-0005-0000-0000-0000DF270000}"/>
    <cellStyle name="20% - Accent6 7 2 2 2 3" xfId="19924" xr:uid="{00000000-0005-0000-0000-0000E0270000}"/>
    <cellStyle name="20% - Accent6 7 2 2 3" xfId="2601" xr:uid="{00000000-0005-0000-0000-0000E1270000}"/>
    <cellStyle name="20% - Accent6 7 2 2 3 2" xfId="11854" xr:uid="{00000000-0005-0000-0000-0000E2270000}"/>
    <cellStyle name="20% - Accent6 7 2 2 3 2 2" xfId="25569" xr:uid="{00000000-0005-0000-0000-0000E3270000}"/>
    <cellStyle name="20% - Accent6 7 2 2 3 3" xfId="19925" xr:uid="{00000000-0005-0000-0000-0000E4270000}"/>
    <cellStyle name="20% - Accent6 7 2 2 4" xfId="2602" xr:uid="{00000000-0005-0000-0000-0000E5270000}"/>
    <cellStyle name="20% - Accent6 7 2 2 4 2" xfId="15052" xr:uid="{00000000-0005-0000-0000-0000E6270000}"/>
    <cellStyle name="20% - Accent6 7 2 2 4 2 2" xfId="28601" xr:uid="{00000000-0005-0000-0000-0000E7270000}"/>
    <cellStyle name="20% - Accent6 7 2 2 4 3" xfId="19926" xr:uid="{00000000-0005-0000-0000-0000E8270000}"/>
    <cellStyle name="20% - Accent6 7 2 2 5" xfId="2603" xr:uid="{00000000-0005-0000-0000-0000E9270000}"/>
    <cellStyle name="20% - Accent6 7 2 2 5 2" xfId="16868" xr:uid="{00000000-0005-0000-0000-0000EA270000}"/>
    <cellStyle name="20% - Accent6 7 2 2 5 2 2" xfId="30275" xr:uid="{00000000-0005-0000-0000-0000EB270000}"/>
    <cellStyle name="20% - Accent6 7 2 2 5 3" xfId="19927" xr:uid="{00000000-0005-0000-0000-0000EC270000}"/>
    <cellStyle name="20% - Accent6 7 2 2 6" xfId="9192" xr:uid="{00000000-0005-0000-0000-0000ED270000}"/>
    <cellStyle name="20% - Accent6 7 2 2 6 2" xfId="23667" xr:uid="{00000000-0005-0000-0000-0000EE270000}"/>
    <cellStyle name="20% - Accent6 7 2 2 7" xfId="19923" xr:uid="{00000000-0005-0000-0000-0000EF270000}"/>
    <cellStyle name="20% - Accent6 7 2 3" xfId="2604" xr:uid="{00000000-0005-0000-0000-0000F0270000}"/>
    <cellStyle name="20% - Accent6 7 2 3 2" xfId="2605" xr:uid="{00000000-0005-0000-0000-0000F1270000}"/>
    <cellStyle name="20% - Accent6 7 2 3 2 2" xfId="15053" xr:uid="{00000000-0005-0000-0000-0000F2270000}"/>
    <cellStyle name="20% - Accent6 7 2 3 2 2 2" xfId="28602" xr:uid="{00000000-0005-0000-0000-0000F3270000}"/>
    <cellStyle name="20% - Accent6 7 2 3 2 3" xfId="19929" xr:uid="{00000000-0005-0000-0000-0000F4270000}"/>
    <cellStyle name="20% - Accent6 7 2 3 3" xfId="10917" xr:uid="{00000000-0005-0000-0000-0000F5270000}"/>
    <cellStyle name="20% - Accent6 7 2 3 3 2" xfId="24859" xr:uid="{00000000-0005-0000-0000-0000F6270000}"/>
    <cellStyle name="20% - Accent6 7 2 3 4" xfId="19928" xr:uid="{00000000-0005-0000-0000-0000F7270000}"/>
    <cellStyle name="20% - Accent6 7 2 4" xfId="2606" xr:uid="{00000000-0005-0000-0000-0000F8270000}"/>
    <cellStyle name="20% - Accent6 7 2 4 2" xfId="12256" xr:uid="{00000000-0005-0000-0000-0000F9270000}"/>
    <cellStyle name="20% - Accent6 7 2 4 2 2" xfId="25968" xr:uid="{00000000-0005-0000-0000-0000FA270000}"/>
    <cellStyle name="20% - Accent6 7 2 4 3" xfId="19930" xr:uid="{00000000-0005-0000-0000-0000FB270000}"/>
    <cellStyle name="20% - Accent6 7 2 5" xfId="2607" xr:uid="{00000000-0005-0000-0000-0000FC270000}"/>
    <cellStyle name="20% - Accent6 7 2 5 2" xfId="12759" xr:uid="{00000000-0005-0000-0000-0000FD270000}"/>
    <cellStyle name="20% - Accent6 7 2 5 2 2" xfId="26471" xr:uid="{00000000-0005-0000-0000-0000FE270000}"/>
    <cellStyle name="20% - Accent6 7 2 5 3" xfId="19931" xr:uid="{00000000-0005-0000-0000-0000FF270000}"/>
    <cellStyle name="20% - Accent6 7 2 6" xfId="2608" xr:uid="{00000000-0005-0000-0000-000000280000}"/>
    <cellStyle name="20% - Accent6 7 2 6 2" xfId="13820" xr:uid="{00000000-0005-0000-0000-000001280000}"/>
    <cellStyle name="20% - Accent6 7 2 6 2 2" xfId="27369" xr:uid="{00000000-0005-0000-0000-000002280000}"/>
    <cellStyle name="20% - Accent6 7 2 6 3" xfId="19932" xr:uid="{00000000-0005-0000-0000-000003280000}"/>
    <cellStyle name="20% - Accent6 7 2 7" xfId="2609" xr:uid="{00000000-0005-0000-0000-000004280000}"/>
    <cellStyle name="20% - Accent6 7 2 7 2" xfId="14401" xr:uid="{00000000-0005-0000-0000-000005280000}"/>
    <cellStyle name="20% - Accent6 7 2 7 2 2" xfId="27950" xr:uid="{00000000-0005-0000-0000-000006280000}"/>
    <cellStyle name="20% - Accent6 7 2 7 3" xfId="19933" xr:uid="{00000000-0005-0000-0000-000007280000}"/>
    <cellStyle name="20% - Accent6 7 2 8" xfId="2610" xr:uid="{00000000-0005-0000-0000-000008280000}"/>
    <cellStyle name="20% - Accent6 7 2 8 2" xfId="15051" xr:uid="{00000000-0005-0000-0000-000009280000}"/>
    <cellStyle name="20% - Accent6 7 2 8 2 2" xfId="28600" xr:uid="{00000000-0005-0000-0000-00000A280000}"/>
    <cellStyle name="20% - Accent6 7 2 8 3" xfId="19934" xr:uid="{00000000-0005-0000-0000-00000B280000}"/>
    <cellStyle name="20% - Accent6 7 2 9" xfId="2611" xr:uid="{00000000-0005-0000-0000-00000C280000}"/>
    <cellStyle name="20% - Accent6 7 2 9 2" xfId="16287" xr:uid="{00000000-0005-0000-0000-00000D280000}"/>
    <cellStyle name="20% - Accent6 7 2 9 2 2" xfId="29694" xr:uid="{00000000-0005-0000-0000-00000E280000}"/>
    <cellStyle name="20% - Accent6 7 2 9 3" xfId="19935" xr:uid="{00000000-0005-0000-0000-00000F280000}"/>
    <cellStyle name="20% - Accent6 7 3" xfId="2612" xr:uid="{00000000-0005-0000-0000-000010280000}"/>
    <cellStyle name="20% - Accent6 7 3 2" xfId="2613" xr:uid="{00000000-0005-0000-0000-000011280000}"/>
    <cellStyle name="20% - Accent6 7 3 2 2" xfId="10919" xr:uid="{00000000-0005-0000-0000-000012280000}"/>
    <cellStyle name="20% - Accent6 7 3 2 2 2" xfId="24861" xr:uid="{00000000-0005-0000-0000-000013280000}"/>
    <cellStyle name="20% - Accent6 7 3 2 3" xfId="19937" xr:uid="{00000000-0005-0000-0000-000014280000}"/>
    <cellStyle name="20% - Accent6 7 3 3" xfId="2614" xr:uid="{00000000-0005-0000-0000-000015280000}"/>
    <cellStyle name="20% - Accent6 7 3 3 2" xfId="12719" xr:uid="{00000000-0005-0000-0000-000016280000}"/>
    <cellStyle name="20% - Accent6 7 3 3 2 2" xfId="26431" xr:uid="{00000000-0005-0000-0000-000017280000}"/>
    <cellStyle name="20% - Accent6 7 3 3 3" xfId="19938" xr:uid="{00000000-0005-0000-0000-000018280000}"/>
    <cellStyle name="20% - Accent6 7 3 4" xfId="2615" xr:uid="{00000000-0005-0000-0000-000019280000}"/>
    <cellStyle name="20% - Accent6 7 3 4 2" xfId="15054" xr:uid="{00000000-0005-0000-0000-00001A280000}"/>
    <cellStyle name="20% - Accent6 7 3 4 2 2" xfId="28603" xr:uid="{00000000-0005-0000-0000-00001B280000}"/>
    <cellStyle name="20% - Accent6 7 3 4 3" xfId="19939" xr:uid="{00000000-0005-0000-0000-00001C280000}"/>
    <cellStyle name="20% - Accent6 7 3 5" xfId="2616" xr:uid="{00000000-0005-0000-0000-00001D280000}"/>
    <cellStyle name="20% - Accent6 7 3 5 2" xfId="16579" xr:uid="{00000000-0005-0000-0000-00001E280000}"/>
    <cellStyle name="20% - Accent6 7 3 5 2 2" xfId="29986" xr:uid="{00000000-0005-0000-0000-00001F280000}"/>
    <cellStyle name="20% - Accent6 7 3 5 3" xfId="19940" xr:uid="{00000000-0005-0000-0000-000020280000}"/>
    <cellStyle name="20% - Accent6 7 3 6" xfId="9193" xr:uid="{00000000-0005-0000-0000-000021280000}"/>
    <cellStyle name="20% - Accent6 7 3 6 2" xfId="23668" xr:uid="{00000000-0005-0000-0000-000022280000}"/>
    <cellStyle name="20% - Accent6 7 3 7" xfId="19936" xr:uid="{00000000-0005-0000-0000-000023280000}"/>
    <cellStyle name="20% - Accent6 7 4" xfId="2617" xr:uid="{00000000-0005-0000-0000-000024280000}"/>
    <cellStyle name="20% - Accent6 7 4 2" xfId="2618" xr:uid="{00000000-0005-0000-0000-000025280000}"/>
    <cellStyle name="20% - Accent6 7 4 2 2" xfId="15055" xr:uid="{00000000-0005-0000-0000-000026280000}"/>
    <cellStyle name="20% - Accent6 7 4 2 2 2" xfId="28604" xr:uid="{00000000-0005-0000-0000-000027280000}"/>
    <cellStyle name="20% - Accent6 7 4 2 3" xfId="19942" xr:uid="{00000000-0005-0000-0000-000028280000}"/>
    <cellStyle name="20% - Accent6 7 4 3" xfId="10916" xr:uid="{00000000-0005-0000-0000-000029280000}"/>
    <cellStyle name="20% - Accent6 7 4 3 2" xfId="24858" xr:uid="{00000000-0005-0000-0000-00002A280000}"/>
    <cellStyle name="20% - Accent6 7 4 4" xfId="19941" xr:uid="{00000000-0005-0000-0000-00002B280000}"/>
    <cellStyle name="20% - Accent6 7 5" xfId="2619" xr:uid="{00000000-0005-0000-0000-00002C280000}"/>
    <cellStyle name="20% - Accent6 7 5 2" xfId="11954" xr:uid="{00000000-0005-0000-0000-00002D280000}"/>
    <cellStyle name="20% - Accent6 7 5 2 2" xfId="25669" xr:uid="{00000000-0005-0000-0000-00002E280000}"/>
    <cellStyle name="20% - Accent6 7 5 3" xfId="19943" xr:uid="{00000000-0005-0000-0000-00002F280000}"/>
    <cellStyle name="20% - Accent6 7 6" xfId="2620" xr:uid="{00000000-0005-0000-0000-000030280000}"/>
    <cellStyle name="20% - Accent6 7 6 2" xfId="12554" xr:uid="{00000000-0005-0000-0000-000031280000}"/>
    <cellStyle name="20% - Accent6 7 6 2 2" xfId="26266" xr:uid="{00000000-0005-0000-0000-000032280000}"/>
    <cellStyle name="20% - Accent6 7 6 3" xfId="19944" xr:uid="{00000000-0005-0000-0000-000033280000}"/>
    <cellStyle name="20% - Accent6 7 7" xfId="2621" xr:uid="{00000000-0005-0000-0000-000034280000}"/>
    <cellStyle name="20% - Accent6 7 7 2" xfId="13531" xr:uid="{00000000-0005-0000-0000-000035280000}"/>
    <cellStyle name="20% - Accent6 7 7 2 2" xfId="27080" xr:uid="{00000000-0005-0000-0000-000036280000}"/>
    <cellStyle name="20% - Accent6 7 7 3" xfId="19945" xr:uid="{00000000-0005-0000-0000-000037280000}"/>
    <cellStyle name="20% - Accent6 7 8" xfId="2622" xr:uid="{00000000-0005-0000-0000-000038280000}"/>
    <cellStyle name="20% - Accent6 7 8 2" xfId="14112" xr:uid="{00000000-0005-0000-0000-000039280000}"/>
    <cellStyle name="20% - Accent6 7 8 2 2" xfId="27661" xr:uid="{00000000-0005-0000-0000-00003A280000}"/>
    <cellStyle name="20% - Accent6 7 8 3" xfId="19946" xr:uid="{00000000-0005-0000-0000-00003B280000}"/>
    <cellStyle name="20% - Accent6 7 9" xfId="2623" xr:uid="{00000000-0005-0000-0000-00003C280000}"/>
    <cellStyle name="20% - Accent6 7 9 2" xfId="15050" xr:uid="{00000000-0005-0000-0000-00003D280000}"/>
    <cellStyle name="20% - Accent6 7 9 2 2" xfId="28599" xr:uid="{00000000-0005-0000-0000-00003E280000}"/>
    <cellStyle name="20% - Accent6 7 9 3" xfId="19947" xr:uid="{00000000-0005-0000-0000-00003F280000}"/>
    <cellStyle name="20% - Accent6 8" xfId="2624" xr:uid="{00000000-0005-0000-0000-000040280000}"/>
    <cellStyle name="20% - Accent6 8 10" xfId="9194" xr:uid="{00000000-0005-0000-0000-000041280000}"/>
    <cellStyle name="20% - Accent6 8 10 2" xfId="23669" xr:uid="{00000000-0005-0000-0000-000042280000}"/>
    <cellStyle name="20% - Accent6 8 11" xfId="19948" xr:uid="{00000000-0005-0000-0000-000043280000}"/>
    <cellStyle name="20% - Accent6 8 2" xfId="2625" xr:uid="{00000000-0005-0000-0000-000044280000}"/>
    <cellStyle name="20% - Accent6 8 2 2" xfId="2626" xr:uid="{00000000-0005-0000-0000-000045280000}"/>
    <cellStyle name="20% - Accent6 8 2 2 2" xfId="10921" xr:uid="{00000000-0005-0000-0000-000046280000}"/>
    <cellStyle name="20% - Accent6 8 2 2 2 2" xfId="24863" xr:uid="{00000000-0005-0000-0000-000047280000}"/>
    <cellStyle name="20% - Accent6 8 2 2 3" xfId="19950" xr:uid="{00000000-0005-0000-0000-000048280000}"/>
    <cellStyle name="20% - Accent6 8 2 3" xfId="2627" xr:uid="{00000000-0005-0000-0000-000049280000}"/>
    <cellStyle name="20% - Accent6 8 2 3 2" xfId="11874" xr:uid="{00000000-0005-0000-0000-00004A280000}"/>
    <cellStyle name="20% - Accent6 8 2 3 2 2" xfId="25589" xr:uid="{00000000-0005-0000-0000-00004B280000}"/>
    <cellStyle name="20% - Accent6 8 2 3 3" xfId="19951" xr:uid="{00000000-0005-0000-0000-00004C280000}"/>
    <cellStyle name="20% - Accent6 8 2 4" xfId="2628" xr:uid="{00000000-0005-0000-0000-00004D280000}"/>
    <cellStyle name="20% - Accent6 8 2 4 2" xfId="15057" xr:uid="{00000000-0005-0000-0000-00004E280000}"/>
    <cellStyle name="20% - Accent6 8 2 4 2 2" xfId="28606" xr:uid="{00000000-0005-0000-0000-00004F280000}"/>
    <cellStyle name="20% - Accent6 8 2 4 3" xfId="19952" xr:uid="{00000000-0005-0000-0000-000050280000}"/>
    <cellStyle name="20% - Accent6 8 2 5" xfId="2629" xr:uid="{00000000-0005-0000-0000-000051280000}"/>
    <cellStyle name="20% - Accent6 8 2 5 2" xfId="16717" xr:uid="{00000000-0005-0000-0000-000052280000}"/>
    <cellStyle name="20% - Accent6 8 2 5 2 2" xfId="30124" xr:uid="{00000000-0005-0000-0000-000053280000}"/>
    <cellStyle name="20% - Accent6 8 2 5 3" xfId="19953" xr:uid="{00000000-0005-0000-0000-000054280000}"/>
    <cellStyle name="20% - Accent6 8 2 6" xfId="9195" xr:uid="{00000000-0005-0000-0000-000055280000}"/>
    <cellStyle name="20% - Accent6 8 2 6 2" xfId="23670" xr:uid="{00000000-0005-0000-0000-000056280000}"/>
    <cellStyle name="20% - Accent6 8 2 7" xfId="19949" xr:uid="{00000000-0005-0000-0000-000057280000}"/>
    <cellStyle name="20% - Accent6 8 3" xfId="2630" xr:uid="{00000000-0005-0000-0000-000058280000}"/>
    <cellStyle name="20% - Accent6 8 3 2" xfId="2631" xr:uid="{00000000-0005-0000-0000-000059280000}"/>
    <cellStyle name="20% - Accent6 8 3 2 2" xfId="15058" xr:uid="{00000000-0005-0000-0000-00005A280000}"/>
    <cellStyle name="20% - Accent6 8 3 2 2 2" xfId="28607" xr:uid="{00000000-0005-0000-0000-00005B280000}"/>
    <cellStyle name="20% - Accent6 8 3 2 3" xfId="19955" xr:uid="{00000000-0005-0000-0000-00005C280000}"/>
    <cellStyle name="20% - Accent6 8 3 3" xfId="10920" xr:uid="{00000000-0005-0000-0000-00005D280000}"/>
    <cellStyle name="20% - Accent6 8 3 3 2" xfId="24862" xr:uid="{00000000-0005-0000-0000-00005E280000}"/>
    <cellStyle name="20% - Accent6 8 3 4" xfId="19954" xr:uid="{00000000-0005-0000-0000-00005F280000}"/>
    <cellStyle name="20% - Accent6 8 4" xfId="2632" xr:uid="{00000000-0005-0000-0000-000060280000}"/>
    <cellStyle name="20% - Accent6 8 4 2" xfId="12095" xr:uid="{00000000-0005-0000-0000-000061280000}"/>
    <cellStyle name="20% - Accent6 8 4 2 2" xfId="25809" xr:uid="{00000000-0005-0000-0000-000062280000}"/>
    <cellStyle name="20% - Accent6 8 4 3" xfId="19956" xr:uid="{00000000-0005-0000-0000-000063280000}"/>
    <cellStyle name="20% - Accent6 8 5" xfId="2633" xr:uid="{00000000-0005-0000-0000-000064280000}"/>
    <cellStyle name="20% - Accent6 8 5 2" xfId="12705" xr:uid="{00000000-0005-0000-0000-000065280000}"/>
    <cellStyle name="20% - Accent6 8 5 2 2" xfId="26417" xr:uid="{00000000-0005-0000-0000-000066280000}"/>
    <cellStyle name="20% - Accent6 8 5 3" xfId="19957" xr:uid="{00000000-0005-0000-0000-000067280000}"/>
    <cellStyle name="20% - Accent6 8 6" xfId="2634" xr:uid="{00000000-0005-0000-0000-000068280000}"/>
    <cellStyle name="20% - Accent6 8 6 2" xfId="13669" xr:uid="{00000000-0005-0000-0000-000069280000}"/>
    <cellStyle name="20% - Accent6 8 6 2 2" xfId="27218" xr:uid="{00000000-0005-0000-0000-00006A280000}"/>
    <cellStyle name="20% - Accent6 8 6 3" xfId="19958" xr:uid="{00000000-0005-0000-0000-00006B280000}"/>
    <cellStyle name="20% - Accent6 8 7" xfId="2635" xr:uid="{00000000-0005-0000-0000-00006C280000}"/>
    <cellStyle name="20% - Accent6 8 7 2" xfId="14250" xr:uid="{00000000-0005-0000-0000-00006D280000}"/>
    <cellStyle name="20% - Accent6 8 7 2 2" xfId="27799" xr:uid="{00000000-0005-0000-0000-00006E280000}"/>
    <cellStyle name="20% - Accent6 8 7 3" xfId="19959" xr:uid="{00000000-0005-0000-0000-00006F280000}"/>
    <cellStyle name="20% - Accent6 8 8" xfId="2636" xr:uid="{00000000-0005-0000-0000-000070280000}"/>
    <cellStyle name="20% - Accent6 8 8 2" xfId="15056" xr:uid="{00000000-0005-0000-0000-000071280000}"/>
    <cellStyle name="20% - Accent6 8 8 2 2" xfId="28605" xr:uid="{00000000-0005-0000-0000-000072280000}"/>
    <cellStyle name="20% - Accent6 8 8 3" xfId="19960" xr:uid="{00000000-0005-0000-0000-000073280000}"/>
    <cellStyle name="20% - Accent6 8 9" xfId="2637" xr:uid="{00000000-0005-0000-0000-000074280000}"/>
    <cellStyle name="20% - Accent6 8 9 2" xfId="16136" xr:uid="{00000000-0005-0000-0000-000075280000}"/>
    <cellStyle name="20% - Accent6 8 9 2 2" xfId="29543" xr:uid="{00000000-0005-0000-0000-000076280000}"/>
    <cellStyle name="20% - Accent6 8 9 3" xfId="19961" xr:uid="{00000000-0005-0000-0000-000077280000}"/>
    <cellStyle name="20% - Accent6 9" xfId="2638" xr:uid="{00000000-0005-0000-0000-000078280000}"/>
    <cellStyle name="20% - Accent6 9 2" xfId="2639" xr:uid="{00000000-0005-0000-0000-000079280000}"/>
    <cellStyle name="20% - Accent6 9 2 2" xfId="10922" xr:uid="{00000000-0005-0000-0000-00007A280000}"/>
    <cellStyle name="20% - Accent6 9 2 2 2" xfId="24864" xr:uid="{00000000-0005-0000-0000-00007B280000}"/>
    <cellStyle name="20% - Accent6 9 2 3" xfId="19963" xr:uid="{00000000-0005-0000-0000-00007C280000}"/>
    <cellStyle name="20% - Accent6 9 3" xfId="2640" xr:uid="{00000000-0005-0000-0000-00007D280000}"/>
    <cellStyle name="20% - Accent6 9 3 2" xfId="12578" xr:uid="{00000000-0005-0000-0000-00007E280000}"/>
    <cellStyle name="20% - Accent6 9 3 2 2" xfId="26290" xr:uid="{00000000-0005-0000-0000-00007F280000}"/>
    <cellStyle name="20% - Accent6 9 3 3" xfId="19964" xr:uid="{00000000-0005-0000-0000-000080280000}"/>
    <cellStyle name="20% - Accent6 9 4" xfId="2641" xr:uid="{00000000-0005-0000-0000-000081280000}"/>
    <cellStyle name="20% - Accent6 9 4 2" xfId="15059" xr:uid="{00000000-0005-0000-0000-000082280000}"/>
    <cellStyle name="20% - Accent6 9 4 2 2" xfId="28608" xr:uid="{00000000-0005-0000-0000-000083280000}"/>
    <cellStyle name="20% - Accent6 9 4 3" xfId="19965" xr:uid="{00000000-0005-0000-0000-000084280000}"/>
    <cellStyle name="20% - Accent6 9 5" xfId="2642" xr:uid="{00000000-0005-0000-0000-000085280000}"/>
    <cellStyle name="20% - Accent6 9 5 2" xfId="17101" xr:uid="{00000000-0005-0000-0000-000086280000}"/>
    <cellStyle name="20% - Accent6 9 5 2 2" xfId="30460" xr:uid="{00000000-0005-0000-0000-000087280000}"/>
    <cellStyle name="20% - Accent6 9 5 3" xfId="19966" xr:uid="{00000000-0005-0000-0000-000088280000}"/>
    <cellStyle name="20% - Accent6 9 6" xfId="9196" xr:uid="{00000000-0005-0000-0000-000089280000}"/>
    <cellStyle name="20% - Accent6 9 6 2" xfId="23671" xr:uid="{00000000-0005-0000-0000-00008A280000}"/>
    <cellStyle name="20% - Accent6 9 7" xfId="19962" xr:uid="{00000000-0005-0000-0000-00008B280000}"/>
    <cellStyle name="40% - Accent1" xfId="29" builtinId="31" customBuiltin="1"/>
    <cellStyle name="40% - Accent1 10" xfId="2643" xr:uid="{00000000-0005-0000-0000-00008D280000}"/>
    <cellStyle name="40% - Accent1 10 2" xfId="2644" xr:uid="{00000000-0005-0000-0000-00008E280000}"/>
    <cellStyle name="40% - Accent1 10 2 2" xfId="2645" xr:uid="{00000000-0005-0000-0000-00008F280000}"/>
    <cellStyle name="40% - Accent1 10 2 2 2" xfId="11856" xr:uid="{00000000-0005-0000-0000-000090280000}"/>
    <cellStyle name="40% - Accent1 10 2 2 2 2" xfId="25571" xr:uid="{00000000-0005-0000-0000-000091280000}"/>
    <cellStyle name="40% - Accent1 10 2 2 3" xfId="19969" xr:uid="{00000000-0005-0000-0000-000092280000}"/>
    <cellStyle name="40% - Accent1 10 2 3" xfId="2646" xr:uid="{00000000-0005-0000-0000-000093280000}"/>
    <cellStyle name="40% - Accent1 10 2 3 2" xfId="15062" xr:uid="{00000000-0005-0000-0000-000094280000}"/>
    <cellStyle name="40% - Accent1 10 2 3 2 2" xfId="28611" xr:uid="{00000000-0005-0000-0000-000095280000}"/>
    <cellStyle name="40% - Accent1 10 2 3 3" xfId="19970" xr:uid="{00000000-0005-0000-0000-000096280000}"/>
    <cellStyle name="40% - Accent1 10 2 4" xfId="10924" xr:uid="{00000000-0005-0000-0000-000097280000}"/>
    <cellStyle name="40% - Accent1 10 2 4 2" xfId="24866" xr:uid="{00000000-0005-0000-0000-000098280000}"/>
    <cellStyle name="40% - Accent1 10 2 5" xfId="19968" xr:uid="{00000000-0005-0000-0000-000099280000}"/>
    <cellStyle name="40% - Accent1 10 3" xfId="2647" xr:uid="{00000000-0005-0000-0000-00009A280000}"/>
    <cellStyle name="40% - Accent1 10 3 2" xfId="12657" xr:uid="{00000000-0005-0000-0000-00009B280000}"/>
    <cellStyle name="40% - Accent1 10 3 2 2" xfId="26369" xr:uid="{00000000-0005-0000-0000-00009C280000}"/>
    <cellStyle name="40% - Accent1 10 3 3" xfId="19971" xr:uid="{00000000-0005-0000-0000-00009D280000}"/>
    <cellStyle name="40% - Accent1 10 4" xfId="2648" xr:uid="{00000000-0005-0000-0000-00009E280000}"/>
    <cellStyle name="40% - Accent1 10 4 2" xfId="15061" xr:uid="{00000000-0005-0000-0000-00009F280000}"/>
    <cellStyle name="40% - Accent1 10 4 2 2" xfId="28610" xr:uid="{00000000-0005-0000-0000-0000A0280000}"/>
    <cellStyle name="40% - Accent1 10 4 3" xfId="19972" xr:uid="{00000000-0005-0000-0000-0000A1280000}"/>
    <cellStyle name="40% - Accent1 10 5" xfId="2649" xr:uid="{00000000-0005-0000-0000-0000A2280000}"/>
    <cellStyle name="40% - Accent1 10 5 2" xfId="17191" xr:uid="{00000000-0005-0000-0000-0000A3280000}"/>
    <cellStyle name="40% - Accent1 10 5 2 2" xfId="30550" xr:uid="{00000000-0005-0000-0000-0000A4280000}"/>
    <cellStyle name="40% - Accent1 10 5 3" xfId="19973" xr:uid="{00000000-0005-0000-0000-0000A5280000}"/>
    <cellStyle name="40% - Accent1 10 6" xfId="9198" xr:uid="{00000000-0005-0000-0000-0000A6280000}"/>
    <cellStyle name="40% - Accent1 10 6 2" xfId="23673" xr:uid="{00000000-0005-0000-0000-0000A7280000}"/>
    <cellStyle name="40% - Accent1 10 7" xfId="19967" xr:uid="{00000000-0005-0000-0000-0000A8280000}"/>
    <cellStyle name="40% - Accent1 11" xfId="2650" xr:uid="{00000000-0005-0000-0000-0000A9280000}"/>
    <cellStyle name="40% - Accent1 11 2" xfId="2651" xr:uid="{00000000-0005-0000-0000-0000AA280000}"/>
    <cellStyle name="40% - Accent1 11 2 2" xfId="10925" xr:uid="{00000000-0005-0000-0000-0000AB280000}"/>
    <cellStyle name="40% - Accent1 11 2 2 2" xfId="24867" xr:uid="{00000000-0005-0000-0000-0000AC280000}"/>
    <cellStyle name="40% - Accent1 11 2 3" xfId="19975" xr:uid="{00000000-0005-0000-0000-0000AD280000}"/>
    <cellStyle name="40% - Accent1 11 3" xfId="2652" xr:uid="{00000000-0005-0000-0000-0000AE280000}"/>
    <cellStyle name="40% - Accent1 11 3 2" xfId="12396" xr:uid="{00000000-0005-0000-0000-0000AF280000}"/>
    <cellStyle name="40% - Accent1 11 3 2 2" xfId="26108" xr:uid="{00000000-0005-0000-0000-0000B0280000}"/>
    <cellStyle name="40% - Accent1 11 3 3" xfId="19976" xr:uid="{00000000-0005-0000-0000-0000B1280000}"/>
    <cellStyle name="40% - Accent1 11 4" xfId="2653" xr:uid="{00000000-0005-0000-0000-0000B2280000}"/>
    <cellStyle name="40% - Accent1 11 4 2" xfId="15063" xr:uid="{00000000-0005-0000-0000-0000B3280000}"/>
    <cellStyle name="40% - Accent1 11 4 2 2" xfId="28612" xr:uid="{00000000-0005-0000-0000-0000B4280000}"/>
    <cellStyle name="40% - Accent1 11 4 3" xfId="19977" xr:uid="{00000000-0005-0000-0000-0000B5280000}"/>
    <cellStyle name="40% - Accent1 11 5" xfId="2654" xr:uid="{00000000-0005-0000-0000-0000B6280000}"/>
    <cellStyle name="40% - Accent1 11 5 2" xfId="17280" xr:uid="{00000000-0005-0000-0000-0000B7280000}"/>
    <cellStyle name="40% - Accent1 11 5 2 2" xfId="30639" xr:uid="{00000000-0005-0000-0000-0000B8280000}"/>
    <cellStyle name="40% - Accent1 11 5 3" xfId="19978" xr:uid="{00000000-0005-0000-0000-0000B9280000}"/>
    <cellStyle name="40% - Accent1 11 6" xfId="9199" xr:uid="{00000000-0005-0000-0000-0000BA280000}"/>
    <cellStyle name="40% - Accent1 11 6 2" xfId="23674" xr:uid="{00000000-0005-0000-0000-0000BB280000}"/>
    <cellStyle name="40% - Accent1 11 7" xfId="19974" xr:uid="{00000000-0005-0000-0000-0000BC280000}"/>
    <cellStyle name="40% - Accent1 12" xfId="2655" xr:uid="{00000000-0005-0000-0000-0000BD280000}"/>
    <cellStyle name="40% - Accent1 12 2" xfId="2656" xr:uid="{00000000-0005-0000-0000-0000BE280000}"/>
    <cellStyle name="40% - Accent1 12 2 2" xfId="2657" xr:uid="{00000000-0005-0000-0000-0000BF280000}"/>
    <cellStyle name="40% - Accent1 12 2 2 2" xfId="10927" xr:uid="{00000000-0005-0000-0000-0000C0280000}"/>
    <cellStyle name="40% - Accent1 12 2 2 2 2" xfId="24869" xr:uid="{00000000-0005-0000-0000-0000C1280000}"/>
    <cellStyle name="40% - Accent1 12 2 2 3" xfId="19981" xr:uid="{00000000-0005-0000-0000-0000C2280000}"/>
    <cellStyle name="40% - Accent1 12 2 3" xfId="2658" xr:uid="{00000000-0005-0000-0000-0000C3280000}"/>
    <cellStyle name="40% - Accent1 12 2 3 2" xfId="12775" xr:uid="{00000000-0005-0000-0000-0000C4280000}"/>
    <cellStyle name="40% - Accent1 12 2 3 2 2" xfId="26487" xr:uid="{00000000-0005-0000-0000-0000C5280000}"/>
    <cellStyle name="40% - Accent1 12 2 3 3" xfId="19982" xr:uid="{00000000-0005-0000-0000-0000C6280000}"/>
    <cellStyle name="40% - Accent1 12 2 4" xfId="2659" xr:uid="{00000000-0005-0000-0000-0000C7280000}"/>
    <cellStyle name="40% - Accent1 12 2 4 2" xfId="15065" xr:uid="{00000000-0005-0000-0000-0000C8280000}"/>
    <cellStyle name="40% - Accent1 12 2 4 2 2" xfId="28614" xr:uid="{00000000-0005-0000-0000-0000C9280000}"/>
    <cellStyle name="40% - Accent1 12 2 4 3" xfId="19983" xr:uid="{00000000-0005-0000-0000-0000CA280000}"/>
    <cellStyle name="40% - Accent1 12 2 5" xfId="9201" xr:uid="{00000000-0005-0000-0000-0000CB280000}"/>
    <cellStyle name="40% - Accent1 12 2 5 2" xfId="23676" xr:uid="{00000000-0005-0000-0000-0000CC280000}"/>
    <cellStyle name="40% - Accent1 12 2 6" xfId="19980" xr:uid="{00000000-0005-0000-0000-0000CD280000}"/>
    <cellStyle name="40% - Accent1 12 3" xfId="2660" xr:uid="{00000000-0005-0000-0000-0000CE280000}"/>
    <cellStyle name="40% - Accent1 12 3 2" xfId="10926" xr:uid="{00000000-0005-0000-0000-0000CF280000}"/>
    <cellStyle name="40% - Accent1 12 3 2 2" xfId="24868" xr:uid="{00000000-0005-0000-0000-0000D0280000}"/>
    <cellStyle name="40% - Accent1 12 3 3" xfId="19984" xr:uid="{00000000-0005-0000-0000-0000D1280000}"/>
    <cellStyle name="40% - Accent1 12 4" xfId="2661" xr:uid="{00000000-0005-0000-0000-0000D2280000}"/>
    <cellStyle name="40% - Accent1 12 4 2" xfId="11753" xr:uid="{00000000-0005-0000-0000-0000D3280000}"/>
    <cellStyle name="40% - Accent1 12 4 2 2" xfId="25468" xr:uid="{00000000-0005-0000-0000-0000D4280000}"/>
    <cellStyle name="40% - Accent1 12 4 3" xfId="19985" xr:uid="{00000000-0005-0000-0000-0000D5280000}"/>
    <cellStyle name="40% - Accent1 12 5" xfId="2662" xr:uid="{00000000-0005-0000-0000-0000D6280000}"/>
    <cellStyle name="40% - Accent1 12 5 2" xfId="15064" xr:uid="{00000000-0005-0000-0000-0000D7280000}"/>
    <cellStyle name="40% - Accent1 12 5 2 2" xfId="28613" xr:uid="{00000000-0005-0000-0000-0000D8280000}"/>
    <cellStyle name="40% - Accent1 12 5 3" xfId="19986" xr:uid="{00000000-0005-0000-0000-0000D9280000}"/>
    <cellStyle name="40% - Accent1 12 6" xfId="2663" xr:uid="{00000000-0005-0000-0000-0000DA280000}"/>
    <cellStyle name="40% - Accent1 12 6 2" xfId="16432" xr:uid="{00000000-0005-0000-0000-0000DB280000}"/>
    <cellStyle name="40% - Accent1 12 6 2 2" xfId="29839" xr:uid="{00000000-0005-0000-0000-0000DC280000}"/>
    <cellStyle name="40% - Accent1 12 6 3" xfId="19987" xr:uid="{00000000-0005-0000-0000-0000DD280000}"/>
    <cellStyle name="40% - Accent1 12 7" xfId="9200" xr:uid="{00000000-0005-0000-0000-0000DE280000}"/>
    <cellStyle name="40% - Accent1 12 7 2" xfId="23675" xr:uid="{00000000-0005-0000-0000-0000DF280000}"/>
    <cellStyle name="40% - Accent1 12 8" xfId="19979" xr:uid="{00000000-0005-0000-0000-0000E0280000}"/>
    <cellStyle name="40% - Accent1 13" xfId="2664" xr:uid="{00000000-0005-0000-0000-0000E1280000}"/>
    <cellStyle name="40% - Accent1 13 2" xfId="2665" xr:uid="{00000000-0005-0000-0000-0000E2280000}"/>
    <cellStyle name="40% - Accent1 13 2 2" xfId="10928" xr:uid="{00000000-0005-0000-0000-0000E3280000}"/>
    <cellStyle name="40% - Accent1 13 2 2 2" xfId="24870" xr:uid="{00000000-0005-0000-0000-0000E4280000}"/>
    <cellStyle name="40% - Accent1 13 2 3" xfId="19989" xr:uid="{00000000-0005-0000-0000-0000E5280000}"/>
    <cellStyle name="40% - Accent1 13 3" xfId="2666" xr:uid="{00000000-0005-0000-0000-0000E6280000}"/>
    <cellStyle name="40% - Accent1 13 3 2" xfId="11766" xr:uid="{00000000-0005-0000-0000-0000E7280000}"/>
    <cellStyle name="40% - Accent1 13 3 2 2" xfId="25481" xr:uid="{00000000-0005-0000-0000-0000E8280000}"/>
    <cellStyle name="40% - Accent1 13 3 3" xfId="19990" xr:uid="{00000000-0005-0000-0000-0000E9280000}"/>
    <cellStyle name="40% - Accent1 13 4" xfId="2667" xr:uid="{00000000-0005-0000-0000-0000EA280000}"/>
    <cellStyle name="40% - Accent1 13 4 2" xfId="15066" xr:uid="{00000000-0005-0000-0000-0000EB280000}"/>
    <cellStyle name="40% - Accent1 13 4 2 2" xfId="28615" xr:uid="{00000000-0005-0000-0000-0000EC280000}"/>
    <cellStyle name="40% - Accent1 13 4 3" xfId="19991" xr:uid="{00000000-0005-0000-0000-0000ED280000}"/>
    <cellStyle name="40% - Accent1 13 5" xfId="9202" xr:uid="{00000000-0005-0000-0000-0000EE280000}"/>
    <cellStyle name="40% - Accent1 13 5 2" xfId="23677" xr:uid="{00000000-0005-0000-0000-0000EF280000}"/>
    <cellStyle name="40% - Accent1 13 6" xfId="19988" xr:uid="{00000000-0005-0000-0000-0000F0280000}"/>
    <cellStyle name="40% - Accent1 14" xfId="2668" xr:uid="{00000000-0005-0000-0000-0000F1280000}"/>
    <cellStyle name="40% - Accent1 14 2" xfId="2669" xr:uid="{00000000-0005-0000-0000-0000F2280000}"/>
    <cellStyle name="40% - Accent1 14 2 2" xfId="10929" xr:uid="{00000000-0005-0000-0000-0000F3280000}"/>
    <cellStyle name="40% - Accent1 14 2 2 2" xfId="24871" xr:uid="{00000000-0005-0000-0000-0000F4280000}"/>
    <cellStyle name="40% - Accent1 14 2 3" xfId="19993" xr:uid="{00000000-0005-0000-0000-0000F5280000}"/>
    <cellStyle name="40% - Accent1 14 3" xfId="2670" xr:uid="{00000000-0005-0000-0000-0000F6280000}"/>
    <cellStyle name="40% - Accent1 14 3 2" xfId="12689" xr:uid="{00000000-0005-0000-0000-0000F7280000}"/>
    <cellStyle name="40% - Accent1 14 3 2 2" xfId="26401" xr:uid="{00000000-0005-0000-0000-0000F8280000}"/>
    <cellStyle name="40% - Accent1 14 3 3" xfId="19994" xr:uid="{00000000-0005-0000-0000-0000F9280000}"/>
    <cellStyle name="40% - Accent1 14 4" xfId="2671" xr:uid="{00000000-0005-0000-0000-0000FA280000}"/>
    <cellStyle name="40% - Accent1 14 4 2" xfId="15067" xr:uid="{00000000-0005-0000-0000-0000FB280000}"/>
    <cellStyle name="40% - Accent1 14 4 2 2" xfId="28616" xr:uid="{00000000-0005-0000-0000-0000FC280000}"/>
    <cellStyle name="40% - Accent1 14 4 3" xfId="19995" xr:uid="{00000000-0005-0000-0000-0000FD280000}"/>
    <cellStyle name="40% - Accent1 14 5" xfId="9203" xr:uid="{00000000-0005-0000-0000-0000FE280000}"/>
    <cellStyle name="40% - Accent1 14 5 2" xfId="23678" xr:uid="{00000000-0005-0000-0000-0000FF280000}"/>
    <cellStyle name="40% - Accent1 14 6" xfId="19992" xr:uid="{00000000-0005-0000-0000-000000290000}"/>
    <cellStyle name="40% - Accent1 15" xfId="2672" xr:uid="{00000000-0005-0000-0000-000001290000}"/>
    <cellStyle name="40% - Accent1 15 2" xfId="2673" xr:uid="{00000000-0005-0000-0000-000002290000}"/>
    <cellStyle name="40% - Accent1 15 2 2" xfId="10930" xr:uid="{00000000-0005-0000-0000-000003290000}"/>
    <cellStyle name="40% - Accent1 15 2 2 2" xfId="24872" xr:uid="{00000000-0005-0000-0000-000004290000}"/>
    <cellStyle name="40% - Accent1 15 2 3" xfId="19997" xr:uid="{00000000-0005-0000-0000-000005290000}"/>
    <cellStyle name="40% - Accent1 15 3" xfId="2674" xr:uid="{00000000-0005-0000-0000-000006290000}"/>
    <cellStyle name="40% - Accent1 15 3 2" xfId="12684" xr:uid="{00000000-0005-0000-0000-000007290000}"/>
    <cellStyle name="40% - Accent1 15 3 2 2" xfId="26396" xr:uid="{00000000-0005-0000-0000-000008290000}"/>
    <cellStyle name="40% - Accent1 15 3 3" xfId="19998" xr:uid="{00000000-0005-0000-0000-000009290000}"/>
    <cellStyle name="40% - Accent1 15 4" xfId="2675" xr:uid="{00000000-0005-0000-0000-00000A290000}"/>
    <cellStyle name="40% - Accent1 15 4 2" xfId="15068" xr:uid="{00000000-0005-0000-0000-00000B290000}"/>
    <cellStyle name="40% - Accent1 15 4 2 2" xfId="28617" xr:uid="{00000000-0005-0000-0000-00000C290000}"/>
    <cellStyle name="40% - Accent1 15 4 3" xfId="19999" xr:uid="{00000000-0005-0000-0000-00000D290000}"/>
    <cellStyle name="40% - Accent1 15 5" xfId="9204" xr:uid="{00000000-0005-0000-0000-00000E290000}"/>
    <cellStyle name="40% - Accent1 15 5 2" xfId="23679" xr:uid="{00000000-0005-0000-0000-00000F290000}"/>
    <cellStyle name="40% - Accent1 15 6" xfId="19996" xr:uid="{00000000-0005-0000-0000-000010290000}"/>
    <cellStyle name="40% - Accent1 16" xfId="2676" xr:uid="{00000000-0005-0000-0000-000011290000}"/>
    <cellStyle name="40% - Accent1 16 2" xfId="2677" xr:uid="{00000000-0005-0000-0000-000012290000}"/>
    <cellStyle name="40% - Accent1 16 2 2" xfId="10931" xr:uid="{00000000-0005-0000-0000-000013290000}"/>
    <cellStyle name="40% - Accent1 16 2 2 2" xfId="24873" xr:uid="{00000000-0005-0000-0000-000014290000}"/>
    <cellStyle name="40% - Accent1 16 2 3" xfId="20001" xr:uid="{00000000-0005-0000-0000-000015290000}"/>
    <cellStyle name="40% - Accent1 16 3" xfId="2678" xr:uid="{00000000-0005-0000-0000-000016290000}"/>
    <cellStyle name="40% - Accent1 16 3 2" xfId="12626" xr:uid="{00000000-0005-0000-0000-000017290000}"/>
    <cellStyle name="40% - Accent1 16 3 2 2" xfId="26338" xr:uid="{00000000-0005-0000-0000-000018290000}"/>
    <cellStyle name="40% - Accent1 16 3 3" xfId="20002" xr:uid="{00000000-0005-0000-0000-000019290000}"/>
    <cellStyle name="40% - Accent1 16 4" xfId="2679" xr:uid="{00000000-0005-0000-0000-00001A290000}"/>
    <cellStyle name="40% - Accent1 16 4 2" xfId="15069" xr:uid="{00000000-0005-0000-0000-00001B290000}"/>
    <cellStyle name="40% - Accent1 16 4 2 2" xfId="28618" xr:uid="{00000000-0005-0000-0000-00001C290000}"/>
    <cellStyle name="40% - Accent1 16 4 3" xfId="20003" xr:uid="{00000000-0005-0000-0000-00001D290000}"/>
    <cellStyle name="40% - Accent1 16 5" xfId="9205" xr:uid="{00000000-0005-0000-0000-00001E290000}"/>
    <cellStyle name="40% - Accent1 16 5 2" xfId="23680" xr:uid="{00000000-0005-0000-0000-00001F290000}"/>
    <cellStyle name="40% - Accent1 16 6" xfId="20000" xr:uid="{00000000-0005-0000-0000-000020290000}"/>
    <cellStyle name="40% - Accent1 17" xfId="2680" xr:uid="{00000000-0005-0000-0000-000021290000}"/>
    <cellStyle name="40% - Accent1 17 2" xfId="2681" xr:uid="{00000000-0005-0000-0000-000022290000}"/>
    <cellStyle name="40% - Accent1 17 2 2" xfId="10932" xr:uid="{00000000-0005-0000-0000-000023290000}"/>
    <cellStyle name="40% - Accent1 17 2 2 2" xfId="24874" xr:uid="{00000000-0005-0000-0000-000024290000}"/>
    <cellStyle name="40% - Accent1 17 2 3" xfId="20005" xr:uid="{00000000-0005-0000-0000-000025290000}"/>
    <cellStyle name="40% - Accent1 17 3" xfId="2682" xr:uid="{00000000-0005-0000-0000-000026290000}"/>
    <cellStyle name="40% - Accent1 17 3 2" xfId="11959" xr:uid="{00000000-0005-0000-0000-000027290000}"/>
    <cellStyle name="40% - Accent1 17 3 2 2" xfId="25674" xr:uid="{00000000-0005-0000-0000-000028290000}"/>
    <cellStyle name="40% - Accent1 17 3 3" xfId="20006" xr:uid="{00000000-0005-0000-0000-000029290000}"/>
    <cellStyle name="40% - Accent1 17 4" xfId="2683" xr:uid="{00000000-0005-0000-0000-00002A290000}"/>
    <cellStyle name="40% - Accent1 17 4 2" xfId="15070" xr:uid="{00000000-0005-0000-0000-00002B290000}"/>
    <cellStyle name="40% - Accent1 17 4 2 2" xfId="28619" xr:uid="{00000000-0005-0000-0000-00002C290000}"/>
    <cellStyle name="40% - Accent1 17 4 3" xfId="20007" xr:uid="{00000000-0005-0000-0000-00002D290000}"/>
    <cellStyle name="40% - Accent1 17 5" xfId="9206" xr:uid="{00000000-0005-0000-0000-00002E290000}"/>
    <cellStyle name="40% - Accent1 17 5 2" xfId="23681" xr:uid="{00000000-0005-0000-0000-00002F290000}"/>
    <cellStyle name="40% - Accent1 17 6" xfId="20004" xr:uid="{00000000-0005-0000-0000-000030290000}"/>
    <cellStyle name="40% - Accent1 18" xfId="2684" xr:uid="{00000000-0005-0000-0000-000031290000}"/>
    <cellStyle name="40% - Accent1 18 2" xfId="2685" xr:uid="{00000000-0005-0000-0000-000032290000}"/>
    <cellStyle name="40% - Accent1 18 2 2" xfId="10933" xr:uid="{00000000-0005-0000-0000-000033290000}"/>
    <cellStyle name="40% - Accent1 18 2 2 2" xfId="24875" xr:uid="{00000000-0005-0000-0000-000034290000}"/>
    <cellStyle name="40% - Accent1 18 2 3" xfId="20009" xr:uid="{00000000-0005-0000-0000-000035290000}"/>
    <cellStyle name="40% - Accent1 18 3" xfId="2686" xr:uid="{00000000-0005-0000-0000-000036290000}"/>
    <cellStyle name="40% - Accent1 18 3 2" xfId="12668" xr:uid="{00000000-0005-0000-0000-000037290000}"/>
    <cellStyle name="40% - Accent1 18 3 2 2" xfId="26380" xr:uid="{00000000-0005-0000-0000-000038290000}"/>
    <cellStyle name="40% - Accent1 18 3 3" xfId="20010" xr:uid="{00000000-0005-0000-0000-000039290000}"/>
    <cellStyle name="40% - Accent1 18 4" xfId="2687" xr:uid="{00000000-0005-0000-0000-00003A290000}"/>
    <cellStyle name="40% - Accent1 18 4 2" xfId="15071" xr:uid="{00000000-0005-0000-0000-00003B290000}"/>
    <cellStyle name="40% - Accent1 18 4 2 2" xfId="28620" xr:uid="{00000000-0005-0000-0000-00003C290000}"/>
    <cellStyle name="40% - Accent1 18 4 3" xfId="20011" xr:uid="{00000000-0005-0000-0000-00003D290000}"/>
    <cellStyle name="40% - Accent1 18 5" xfId="9207" xr:uid="{00000000-0005-0000-0000-00003E290000}"/>
    <cellStyle name="40% - Accent1 18 5 2" xfId="23682" xr:uid="{00000000-0005-0000-0000-00003F290000}"/>
    <cellStyle name="40% - Accent1 18 6" xfId="20008" xr:uid="{00000000-0005-0000-0000-000040290000}"/>
    <cellStyle name="40% - Accent1 19" xfId="2688" xr:uid="{00000000-0005-0000-0000-000041290000}"/>
    <cellStyle name="40% - Accent1 19 2" xfId="2689" xr:uid="{00000000-0005-0000-0000-000042290000}"/>
    <cellStyle name="40% - Accent1 19 2 2" xfId="11716" xr:uid="{00000000-0005-0000-0000-000043290000}"/>
    <cellStyle name="40% - Accent1 19 2 2 2" xfId="25436" xr:uid="{00000000-0005-0000-0000-000044290000}"/>
    <cellStyle name="40% - Accent1 19 2 3" xfId="20013" xr:uid="{00000000-0005-0000-0000-000045290000}"/>
    <cellStyle name="40% - Accent1 19 3" xfId="2690" xr:uid="{00000000-0005-0000-0000-000046290000}"/>
    <cellStyle name="40% - Accent1 19 3 2" xfId="12459" xr:uid="{00000000-0005-0000-0000-000047290000}"/>
    <cellStyle name="40% - Accent1 19 3 2 2" xfId="26171" xr:uid="{00000000-0005-0000-0000-000048290000}"/>
    <cellStyle name="40% - Accent1 19 3 3" xfId="20014" xr:uid="{00000000-0005-0000-0000-000049290000}"/>
    <cellStyle name="40% - Accent1 19 4" xfId="2691" xr:uid="{00000000-0005-0000-0000-00004A290000}"/>
    <cellStyle name="40% - Accent1 19 4 2" xfId="15072" xr:uid="{00000000-0005-0000-0000-00004B290000}"/>
    <cellStyle name="40% - Accent1 19 4 2 2" xfId="28621" xr:uid="{00000000-0005-0000-0000-00004C290000}"/>
    <cellStyle name="40% - Accent1 19 4 3" xfId="20015" xr:uid="{00000000-0005-0000-0000-00004D290000}"/>
    <cellStyle name="40% - Accent1 19 5" xfId="10468" xr:uid="{00000000-0005-0000-0000-00004E290000}"/>
    <cellStyle name="40% - Accent1 19 5 2" xfId="24427" xr:uid="{00000000-0005-0000-0000-00004F290000}"/>
    <cellStyle name="40% - Accent1 19 6" xfId="20012" xr:uid="{00000000-0005-0000-0000-000050290000}"/>
    <cellStyle name="40% - Accent1 2" xfId="2692" xr:uid="{00000000-0005-0000-0000-000051290000}"/>
    <cellStyle name="40% - Accent1 2 10" xfId="2693" xr:uid="{00000000-0005-0000-0000-000052290000}"/>
    <cellStyle name="40% - Accent1 2 10 2" xfId="2694" xr:uid="{00000000-0005-0000-0000-000053290000}"/>
    <cellStyle name="40% - Accent1 2 10 2 2" xfId="15074" xr:uid="{00000000-0005-0000-0000-000054290000}"/>
    <cellStyle name="40% - Accent1 2 10 2 2 2" xfId="28623" xr:uid="{00000000-0005-0000-0000-000055290000}"/>
    <cellStyle name="40% - Accent1 2 10 2 3" xfId="20018" xr:uid="{00000000-0005-0000-0000-000056290000}"/>
    <cellStyle name="40% - Accent1 2 10 3" xfId="11836" xr:uid="{00000000-0005-0000-0000-000057290000}"/>
    <cellStyle name="40% - Accent1 2 10 3 2" xfId="25551" xr:uid="{00000000-0005-0000-0000-000058290000}"/>
    <cellStyle name="40% - Accent1 2 10 4" xfId="20017" xr:uid="{00000000-0005-0000-0000-000059290000}"/>
    <cellStyle name="40% - Accent1 2 11" xfId="2695" xr:uid="{00000000-0005-0000-0000-00005A290000}"/>
    <cellStyle name="40% - Accent1 2 11 2" xfId="12676" xr:uid="{00000000-0005-0000-0000-00005B290000}"/>
    <cellStyle name="40% - Accent1 2 11 2 2" xfId="26388" xr:uid="{00000000-0005-0000-0000-00005C290000}"/>
    <cellStyle name="40% - Accent1 2 11 3" xfId="20019" xr:uid="{00000000-0005-0000-0000-00005D290000}"/>
    <cellStyle name="40% - Accent1 2 12" xfId="2696" xr:uid="{00000000-0005-0000-0000-00005E290000}"/>
    <cellStyle name="40% - Accent1 2 12 2" xfId="13436" xr:uid="{00000000-0005-0000-0000-00005F290000}"/>
    <cellStyle name="40% - Accent1 2 12 2 2" xfId="26985" xr:uid="{00000000-0005-0000-0000-000060290000}"/>
    <cellStyle name="40% - Accent1 2 12 3" xfId="20020" xr:uid="{00000000-0005-0000-0000-000061290000}"/>
    <cellStyle name="40% - Accent1 2 13" xfId="2697" xr:uid="{00000000-0005-0000-0000-000062290000}"/>
    <cellStyle name="40% - Accent1 2 13 2" xfId="14017" xr:uid="{00000000-0005-0000-0000-000063290000}"/>
    <cellStyle name="40% - Accent1 2 13 2 2" xfId="27566" xr:uid="{00000000-0005-0000-0000-000064290000}"/>
    <cellStyle name="40% - Accent1 2 13 3" xfId="20021" xr:uid="{00000000-0005-0000-0000-000065290000}"/>
    <cellStyle name="40% - Accent1 2 14" xfId="2698" xr:uid="{00000000-0005-0000-0000-000066290000}"/>
    <cellStyle name="40% - Accent1 2 14 2" xfId="15073" xr:uid="{00000000-0005-0000-0000-000067290000}"/>
    <cellStyle name="40% - Accent1 2 14 2 2" xfId="28622" xr:uid="{00000000-0005-0000-0000-000068290000}"/>
    <cellStyle name="40% - Accent1 2 14 3" xfId="20022" xr:uid="{00000000-0005-0000-0000-000069290000}"/>
    <cellStyle name="40% - Accent1 2 15" xfId="2699" xr:uid="{00000000-0005-0000-0000-00006A290000}"/>
    <cellStyle name="40% - Accent1 2 15 2" xfId="15903" xr:uid="{00000000-0005-0000-0000-00006B290000}"/>
    <cellStyle name="40% - Accent1 2 15 2 2" xfId="29310" xr:uid="{00000000-0005-0000-0000-00006C290000}"/>
    <cellStyle name="40% - Accent1 2 15 3" xfId="20023" xr:uid="{00000000-0005-0000-0000-00006D290000}"/>
    <cellStyle name="40% - Accent1 2 16" xfId="9208" xr:uid="{00000000-0005-0000-0000-00006E290000}"/>
    <cellStyle name="40% - Accent1 2 16 2" xfId="23683" xr:uid="{00000000-0005-0000-0000-00006F290000}"/>
    <cellStyle name="40% - Accent1 2 17" xfId="20016" xr:uid="{00000000-0005-0000-0000-000070290000}"/>
    <cellStyle name="40% - Accent1 2 18" xfId="33063" xr:uid="{00000000-0005-0000-0000-000071290000}"/>
    <cellStyle name="40% - Accent1 2 2" xfId="2700" xr:uid="{00000000-0005-0000-0000-000072290000}"/>
    <cellStyle name="40% - Accent1 2 2 10" xfId="2701" xr:uid="{00000000-0005-0000-0000-000073290000}"/>
    <cellStyle name="40% - Accent1 2 2 10 2" xfId="15075" xr:uid="{00000000-0005-0000-0000-000074290000}"/>
    <cellStyle name="40% - Accent1 2 2 10 2 2" xfId="28624" xr:uid="{00000000-0005-0000-0000-000075290000}"/>
    <cellStyle name="40% - Accent1 2 2 10 3" xfId="20025" xr:uid="{00000000-0005-0000-0000-000076290000}"/>
    <cellStyle name="40% - Accent1 2 2 11" xfId="2702" xr:uid="{00000000-0005-0000-0000-000077290000}"/>
    <cellStyle name="40% - Accent1 2 2 11 2" xfId="15949" xr:uid="{00000000-0005-0000-0000-000078290000}"/>
    <cellStyle name="40% - Accent1 2 2 11 2 2" xfId="29356" xr:uid="{00000000-0005-0000-0000-000079290000}"/>
    <cellStyle name="40% - Accent1 2 2 11 3" xfId="20026" xr:uid="{00000000-0005-0000-0000-00007A290000}"/>
    <cellStyle name="40% - Accent1 2 2 12" xfId="9209" xr:uid="{00000000-0005-0000-0000-00007B290000}"/>
    <cellStyle name="40% - Accent1 2 2 12 2" xfId="23684" xr:uid="{00000000-0005-0000-0000-00007C290000}"/>
    <cellStyle name="40% - Accent1 2 2 13" xfId="20024" xr:uid="{00000000-0005-0000-0000-00007D290000}"/>
    <cellStyle name="40% - Accent1 2 2 2" xfId="2703" xr:uid="{00000000-0005-0000-0000-00007E290000}"/>
    <cellStyle name="40% - Accent1 2 2 2 10" xfId="2704" xr:uid="{00000000-0005-0000-0000-00007F290000}"/>
    <cellStyle name="40% - Accent1 2 2 2 10 2" xfId="16092" xr:uid="{00000000-0005-0000-0000-000080290000}"/>
    <cellStyle name="40% - Accent1 2 2 2 10 2 2" xfId="29499" xr:uid="{00000000-0005-0000-0000-000081290000}"/>
    <cellStyle name="40% - Accent1 2 2 2 10 3" xfId="20028" xr:uid="{00000000-0005-0000-0000-000082290000}"/>
    <cellStyle name="40% - Accent1 2 2 2 11" xfId="9210" xr:uid="{00000000-0005-0000-0000-000083290000}"/>
    <cellStyle name="40% - Accent1 2 2 2 11 2" xfId="23685" xr:uid="{00000000-0005-0000-0000-000084290000}"/>
    <cellStyle name="40% - Accent1 2 2 2 12" xfId="20027" xr:uid="{00000000-0005-0000-0000-000085290000}"/>
    <cellStyle name="40% - Accent1 2 2 2 2" xfId="2705" xr:uid="{00000000-0005-0000-0000-000086290000}"/>
    <cellStyle name="40% - Accent1 2 2 2 2 10" xfId="9211" xr:uid="{00000000-0005-0000-0000-000087290000}"/>
    <cellStyle name="40% - Accent1 2 2 2 2 10 2" xfId="23686" xr:uid="{00000000-0005-0000-0000-000088290000}"/>
    <cellStyle name="40% - Accent1 2 2 2 2 11" xfId="20029" xr:uid="{00000000-0005-0000-0000-000089290000}"/>
    <cellStyle name="40% - Accent1 2 2 2 2 2" xfId="2706" xr:uid="{00000000-0005-0000-0000-00008A290000}"/>
    <cellStyle name="40% - Accent1 2 2 2 2 2 2" xfId="2707" xr:uid="{00000000-0005-0000-0000-00008B290000}"/>
    <cellStyle name="40% - Accent1 2 2 2 2 2 2 2" xfId="10938" xr:uid="{00000000-0005-0000-0000-00008C290000}"/>
    <cellStyle name="40% - Accent1 2 2 2 2 2 2 2 2" xfId="24880" xr:uid="{00000000-0005-0000-0000-00008D290000}"/>
    <cellStyle name="40% - Accent1 2 2 2 2 2 2 3" xfId="20031" xr:uid="{00000000-0005-0000-0000-00008E290000}"/>
    <cellStyle name="40% - Accent1 2 2 2 2 2 3" xfId="2708" xr:uid="{00000000-0005-0000-0000-00008F290000}"/>
    <cellStyle name="40% - Accent1 2 2 2 2 2 3 2" xfId="12547" xr:uid="{00000000-0005-0000-0000-000090290000}"/>
    <cellStyle name="40% - Accent1 2 2 2 2 2 3 2 2" xfId="26259" xr:uid="{00000000-0005-0000-0000-000091290000}"/>
    <cellStyle name="40% - Accent1 2 2 2 2 2 3 3" xfId="20032" xr:uid="{00000000-0005-0000-0000-000092290000}"/>
    <cellStyle name="40% - Accent1 2 2 2 2 2 4" xfId="2709" xr:uid="{00000000-0005-0000-0000-000093290000}"/>
    <cellStyle name="40% - Accent1 2 2 2 2 2 4 2" xfId="15078" xr:uid="{00000000-0005-0000-0000-000094290000}"/>
    <cellStyle name="40% - Accent1 2 2 2 2 2 4 2 2" xfId="28627" xr:uid="{00000000-0005-0000-0000-000095290000}"/>
    <cellStyle name="40% - Accent1 2 2 2 2 2 4 3" xfId="20033" xr:uid="{00000000-0005-0000-0000-000096290000}"/>
    <cellStyle name="40% - Accent1 2 2 2 2 2 5" xfId="2710" xr:uid="{00000000-0005-0000-0000-000097290000}"/>
    <cellStyle name="40% - Accent1 2 2 2 2 2 5 2" xfId="16962" xr:uid="{00000000-0005-0000-0000-000098290000}"/>
    <cellStyle name="40% - Accent1 2 2 2 2 2 5 2 2" xfId="30369" xr:uid="{00000000-0005-0000-0000-000099290000}"/>
    <cellStyle name="40% - Accent1 2 2 2 2 2 5 3" xfId="20034" xr:uid="{00000000-0005-0000-0000-00009A290000}"/>
    <cellStyle name="40% - Accent1 2 2 2 2 2 6" xfId="9212" xr:uid="{00000000-0005-0000-0000-00009B290000}"/>
    <cellStyle name="40% - Accent1 2 2 2 2 2 6 2" xfId="23687" xr:uid="{00000000-0005-0000-0000-00009C290000}"/>
    <cellStyle name="40% - Accent1 2 2 2 2 2 7" xfId="20030" xr:uid="{00000000-0005-0000-0000-00009D290000}"/>
    <cellStyle name="40% - Accent1 2 2 2 2 3" xfId="2711" xr:uid="{00000000-0005-0000-0000-00009E290000}"/>
    <cellStyle name="40% - Accent1 2 2 2 2 3 2" xfId="2712" xr:uid="{00000000-0005-0000-0000-00009F290000}"/>
    <cellStyle name="40% - Accent1 2 2 2 2 3 2 2" xfId="15079" xr:uid="{00000000-0005-0000-0000-0000A0290000}"/>
    <cellStyle name="40% - Accent1 2 2 2 2 3 2 2 2" xfId="28628" xr:uid="{00000000-0005-0000-0000-0000A1290000}"/>
    <cellStyle name="40% - Accent1 2 2 2 2 3 2 3" xfId="20036" xr:uid="{00000000-0005-0000-0000-0000A2290000}"/>
    <cellStyle name="40% - Accent1 2 2 2 2 3 3" xfId="10937" xr:uid="{00000000-0005-0000-0000-0000A3290000}"/>
    <cellStyle name="40% - Accent1 2 2 2 2 3 3 2" xfId="24879" xr:uid="{00000000-0005-0000-0000-0000A4290000}"/>
    <cellStyle name="40% - Accent1 2 2 2 2 3 4" xfId="20035" xr:uid="{00000000-0005-0000-0000-0000A5290000}"/>
    <cellStyle name="40% - Accent1 2 2 2 2 4" xfId="2713" xr:uid="{00000000-0005-0000-0000-0000A6290000}"/>
    <cellStyle name="40% - Accent1 2 2 2 2 4 2" xfId="12350" xr:uid="{00000000-0005-0000-0000-0000A7290000}"/>
    <cellStyle name="40% - Accent1 2 2 2 2 4 2 2" xfId="26062" xr:uid="{00000000-0005-0000-0000-0000A8290000}"/>
    <cellStyle name="40% - Accent1 2 2 2 2 4 3" xfId="20037" xr:uid="{00000000-0005-0000-0000-0000A9290000}"/>
    <cellStyle name="40% - Accent1 2 2 2 2 5" xfId="2714" xr:uid="{00000000-0005-0000-0000-0000AA290000}"/>
    <cellStyle name="40% - Accent1 2 2 2 2 5 2" xfId="12598" xr:uid="{00000000-0005-0000-0000-0000AB290000}"/>
    <cellStyle name="40% - Accent1 2 2 2 2 5 2 2" xfId="26310" xr:uid="{00000000-0005-0000-0000-0000AC290000}"/>
    <cellStyle name="40% - Accent1 2 2 2 2 5 3" xfId="20038" xr:uid="{00000000-0005-0000-0000-0000AD290000}"/>
    <cellStyle name="40% - Accent1 2 2 2 2 6" xfId="2715" xr:uid="{00000000-0005-0000-0000-0000AE290000}"/>
    <cellStyle name="40% - Accent1 2 2 2 2 6 2" xfId="13914" xr:uid="{00000000-0005-0000-0000-0000AF290000}"/>
    <cellStyle name="40% - Accent1 2 2 2 2 6 2 2" xfId="27463" xr:uid="{00000000-0005-0000-0000-0000B0290000}"/>
    <cellStyle name="40% - Accent1 2 2 2 2 6 3" xfId="20039" xr:uid="{00000000-0005-0000-0000-0000B1290000}"/>
    <cellStyle name="40% - Accent1 2 2 2 2 7" xfId="2716" xr:uid="{00000000-0005-0000-0000-0000B2290000}"/>
    <cellStyle name="40% - Accent1 2 2 2 2 7 2" xfId="14495" xr:uid="{00000000-0005-0000-0000-0000B3290000}"/>
    <cellStyle name="40% - Accent1 2 2 2 2 7 2 2" xfId="28044" xr:uid="{00000000-0005-0000-0000-0000B4290000}"/>
    <cellStyle name="40% - Accent1 2 2 2 2 7 3" xfId="20040" xr:uid="{00000000-0005-0000-0000-0000B5290000}"/>
    <cellStyle name="40% - Accent1 2 2 2 2 8" xfId="2717" xr:uid="{00000000-0005-0000-0000-0000B6290000}"/>
    <cellStyle name="40% - Accent1 2 2 2 2 8 2" xfId="15077" xr:uid="{00000000-0005-0000-0000-0000B7290000}"/>
    <cellStyle name="40% - Accent1 2 2 2 2 8 2 2" xfId="28626" xr:uid="{00000000-0005-0000-0000-0000B8290000}"/>
    <cellStyle name="40% - Accent1 2 2 2 2 8 3" xfId="20041" xr:uid="{00000000-0005-0000-0000-0000B9290000}"/>
    <cellStyle name="40% - Accent1 2 2 2 2 9" xfId="2718" xr:uid="{00000000-0005-0000-0000-0000BA290000}"/>
    <cellStyle name="40% - Accent1 2 2 2 2 9 2" xfId="16381" xr:uid="{00000000-0005-0000-0000-0000BB290000}"/>
    <cellStyle name="40% - Accent1 2 2 2 2 9 2 2" xfId="29788" xr:uid="{00000000-0005-0000-0000-0000BC290000}"/>
    <cellStyle name="40% - Accent1 2 2 2 2 9 3" xfId="20042" xr:uid="{00000000-0005-0000-0000-0000BD290000}"/>
    <cellStyle name="40% - Accent1 2 2 2 3" xfId="2719" xr:uid="{00000000-0005-0000-0000-0000BE290000}"/>
    <cellStyle name="40% - Accent1 2 2 2 3 2" xfId="2720" xr:uid="{00000000-0005-0000-0000-0000BF290000}"/>
    <cellStyle name="40% - Accent1 2 2 2 3 2 2" xfId="10939" xr:uid="{00000000-0005-0000-0000-0000C0290000}"/>
    <cellStyle name="40% - Accent1 2 2 2 3 2 2 2" xfId="24881" xr:uid="{00000000-0005-0000-0000-0000C1290000}"/>
    <cellStyle name="40% - Accent1 2 2 2 3 2 3" xfId="20044" xr:uid="{00000000-0005-0000-0000-0000C2290000}"/>
    <cellStyle name="40% - Accent1 2 2 2 3 3" xfId="2721" xr:uid="{00000000-0005-0000-0000-0000C3290000}"/>
    <cellStyle name="40% - Accent1 2 2 2 3 3 2" xfId="12742" xr:uid="{00000000-0005-0000-0000-0000C4290000}"/>
    <cellStyle name="40% - Accent1 2 2 2 3 3 2 2" xfId="26454" xr:uid="{00000000-0005-0000-0000-0000C5290000}"/>
    <cellStyle name="40% - Accent1 2 2 2 3 3 3" xfId="20045" xr:uid="{00000000-0005-0000-0000-0000C6290000}"/>
    <cellStyle name="40% - Accent1 2 2 2 3 4" xfId="2722" xr:uid="{00000000-0005-0000-0000-0000C7290000}"/>
    <cellStyle name="40% - Accent1 2 2 2 3 4 2" xfId="15080" xr:uid="{00000000-0005-0000-0000-0000C8290000}"/>
    <cellStyle name="40% - Accent1 2 2 2 3 4 2 2" xfId="28629" xr:uid="{00000000-0005-0000-0000-0000C9290000}"/>
    <cellStyle name="40% - Accent1 2 2 2 3 4 3" xfId="20046" xr:uid="{00000000-0005-0000-0000-0000CA290000}"/>
    <cellStyle name="40% - Accent1 2 2 2 3 5" xfId="2723" xr:uid="{00000000-0005-0000-0000-0000CB290000}"/>
    <cellStyle name="40% - Accent1 2 2 2 3 5 2" xfId="16673" xr:uid="{00000000-0005-0000-0000-0000CC290000}"/>
    <cellStyle name="40% - Accent1 2 2 2 3 5 2 2" xfId="30080" xr:uid="{00000000-0005-0000-0000-0000CD290000}"/>
    <cellStyle name="40% - Accent1 2 2 2 3 5 3" xfId="20047" xr:uid="{00000000-0005-0000-0000-0000CE290000}"/>
    <cellStyle name="40% - Accent1 2 2 2 3 6" xfId="9213" xr:uid="{00000000-0005-0000-0000-0000CF290000}"/>
    <cellStyle name="40% - Accent1 2 2 2 3 6 2" xfId="23688" xr:uid="{00000000-0005-0000-0000-0000D0290000}"/>
    <cellStyle name="40% - Accent1 2 2 2 3 7" xfId="20043" xr:uid="{00000000-0005-0000-0000-0000D1290000}"/>
    <cellStyle name="40% - Accent1 2 2 2 4" xfId="2724" xr:uid="{00000000-0005-0000-0000-0000D2290000}"/>
    <cellStyle name="40% - Accent1 2 2 2 4 2" xfId="2725" xr:uid="{00000000-0005-0000-0000-0000D3290000}"/>
    <cellStyle name="40% - Accent1 2 2 2 4 2 2" xfId="15081" xr:uid="{00000000-0005-0000-0000-0000D4290000}"/>
    <cellStyle name="40% - Accent1 2 2 2 4 2 2 2" xfId="28630" xr:uid="{00000000-0005-0000-0000-0000D5290000}"/>
    <cellStyle name="40% - Accent1 2 2 2 4 2 3" xfId="20049" xr:uid="{00000000-0005-0000-0000-0000D6290000}"/>
    <cellStyle name="40% - Accent1 2 2 2 4 3" xfId="10936" xr:uid="{00000000-0005-0000-0000-0000D7290000}"/>
    <cellStyle name="40% - Accent1 2 2 2 4 3 2" xfId="24878" xr:uid="{00000000-0005-0000-0000-0000D8290000}"/>
    <cellStyle name="40% - Accent1 2 2 2 4 4" xfId="20048" xr:uid="{00000000-0005-0000-0000-0000D9290000}"/>
    <cellStyle name="40% - Accent1 2 2 2 5" xfId="2726" xr:uid="{00000000-0005-0000-0000-0000DA290000}"/>
    <cellStyle name="40% - Accent1 2 2 2 5 2" xfId="12050" xr:uid="{00000000-0005-0000-0000-0000DB290000}"/>
    <cellStyle name="40% - Accent1 2 2 2 5 2 2" xfId="25765" xr:uid="{00000000-0005-0000-0000-0000DC290000}"/>
    <cellStyle name="40% - Accent1 2 2 2 5 3" xfId="20050" xr:uid="{00000000-0005-0000-0000-0000DD290000}"/>
    <cellStyle name="40% - Accent1 2 2 2 6" xfId="2727" xr:uid="{00000000-0005-0000-0000-0000DE290000}"/>
    <cellStyle name="40% - Accent1 2 2 2 6 2" xfId="12485" xr:uid="{00000000-0005-0000-0000-0000DF290000}"/>
    <cellStyle name="40% - Accent1 2 2 2 6 2 2" xfId="26197" xr:uid="{00000000-0005-0000-0000-0000E0290000}"/>
    <cellStyle name="40% - Accent1 2 2 2 6 3" xfId="20051" xr:uid="{00000000-0005-0000-0000-0000E1290000}"/>
    <cellStyle name="40% - Accent1 2 2 2 7" xfId="2728" xr:uid="{00000000-0005-0000-0000-0000E2290000}"/>
    <cellStyle name="40% - Accent1 2 2 2 7 2" xfId="13625" xr:uid="{00000000-0005-0000-0000-0000E3290000}"/>
    <cellStyle name="40% - Accent1 2 2 2 7 2 2" xfId="27174" xr:uid="{00000000-0005-0000-0000-0000E4290000}"/>
    <cellStyle name="40% - Accent1 2 2 2 7 3" xfId="20052" xr:uid="{00000000-0005-0000-0000-0000E5290000}"/>
    <cellStyle name="40% - Accent1 2 2 2 8" xfId="2729" xr:uid="{00000000-0005-0000-0000-0000E6290000}"/>
    <cellStyle name="40% - Accent1 2 2 2 8 2" xfId="14206" xr:uid="{00000000-0005-0000-0000-0000E7290000}"/>
    <cellStyle name="40% - Accent1 2 2 2 8 2 2" xfId="27755" xr:uid="{00000000-0005-0000-0000-0000E8290000}"/>
    <cellStyle name="40% - Accent1 2 2 2 8 3" xfId="20053" xr:uid="{00000000-0005-0000-0000-0000E9290000}"/>
    <cellStyle name="40% - Accent1 2 2 2 9" xfId="2730" xr:uid="{00000000-0005-0000-0000-0000EA290000}"/>
    <cellStyle name="40% - Accent1 2 2 2 9 2" xfId="15076" xr:uid="{00000000-0005-0000-0000-0000EB290000}"/>
    <cellStyle name="40% - Accent1 2 2 2 9 2 2" xfId="28625" xr:uid="{00000000-0005-0000-0000-0000EC290000}"/>
    <cellStyle name="40% - Accent1 2 2 2 9 3" xfId="20054" xr:uid="{00000000-0005-0000-0000-0000ED290000}"/>
    <cellStyle name="40% - Accent1 2 2 3" xfId="2731" xr:uid="{00000000-0005-0000-0000-0000EE290000}"/>
    <cellStyle name="40% - Accent1 2 2 3 10" xfId="9214" xr:uid="{00000000-0005-0000-0000-0000EF290000}"/>
    <cellStyle name="40% - Accent1 2 2 3 10 2" xfId="23689" xr:uid="{00000000-0005-0000-0000-0000F0290000}"/>
    <cellStyle name="40% - Accent1 2 2 3 11" xfId="20055" xr:uid="{00000000-0005-0000-0000-0000F1290000}"/>
    <cellStyle name="40% - Accent1 2 2 3 2" xfId="2732" xr:uid="{00000000-0005-0000-0000-0000F2290000}"/>
    <cellStyle name="40% - Accent1 2 2 3 2 2" xfId="2733" xr:uid="{00000000-0005-0000-0000-0000F3290000}"/>
    <cellStyle name="40% - Accent1 2 2 3 2 2 2" xfId="10941" xr:uid="{00000000-0005-0000-0000-0000F4290000}"/>
    <cellStyle name="40% - Accent1 2 2 3 2 2 2 2" xfId="24883" xr:uid="{00000000-0005-0000-0000-0000F5290000}"/>
    <cellStyle name="40% - Accent1 2 2 3 2 2 3" xfId="20057" xr:uid="{00000000-0005-0000-0000-0000F6290000}"/>
    <cellStyle name="40% - Accent1 2 2 3 2 3" xfId="2734" xr:uid="{00000000-0005-0000-0000-0000F7290000}"/>
    <cellStyle name="40% - Accent1 2 2 3 2 3 2" xfId="12659" xr:uid="{00000000-0005-0000-0000-0000F8290000}"/>
    <cellStyle name="40% - Accent1 2 2 3 2 3 2 2" xfId="26371" xr:uid="{00000000-0005-0000-0000-0000F9290000}"/>
    <cellStyle name="40% - Accent1 2 2 3 2 3 3" xfId="20058" xr:uid="{00000000-0005-0000-0000-0000FA290000}"/>
    <cellStyle name="40% - Accent1 2 2 3 2 4" xfId="2735" xr:uid="{00000000-0005-0000-0000-0000FB290000}"/>
    <cellStyle name="40% - Accent1 2 2 3 2 4 2" xfId="15083" xr:uid="{00000000-0005-0000-0000-0000FC290000}"/>
    <cellStyle name="40% - Accent1 2 2 3 2 4 2 2" xfId="28632" xr:uid="{00000000-0005-0000-0000-0000FD290000}"/>
    <cellStyle name="40% - Accent1 2 2 3 2 4 3" xfId="20059" xr:uid="{00000000-0005-0000-0000-0000FE290000}"/>
    <cellStyle name="40% - Accent1 2 2 3 2 5" xfId="2736" xr:uid="{00000000-0005-0000-0000-0000FF290000}"/>
    <cellStyle name="40% - Accent1 2 2 3 2 5 2" xfId="16819" xr:uid="{00000000-0005-0000-0000-0000002A0000}"/>
    <cellStyle name="40% - Accent1 2 2 3 2 5 2 2" xfId="30226" xr:uid="{00000000-0005-0000-0000-0000012A0000}"/>
    <cellStyle name="40% - Accent1 2 2 3 2 5 3" xfId="20060" xr:uid="{00000000-0005-0000-0000-0000022A0000}"/>
    <cellStyle name="40% - Accent1 2 2 3 2 6" xfId="9215" xr:uid="{00000000-0005-0000-0000-0000032A0000}"/>
    <cellStyle name="40% - Accent1 2 2 3 2 6 2" xfId="23690" xr:uid="{00000000-0005-0000-0000-0000042A0000}"/>
    <cellStyle name="40% - Accent1 2 2 3 2 7" xfId="20056" xr:uid="{00000000-0005-0000-0000-0000052A0000}"/>
    <cellStyle name="40% - Accent1 2 2 3 3" xfId="2737" xr:uid="{00000000-0005-0000-0000-0000062A0000}"/>
    <cellStyle name="40% - Accent1 2 2 3 3 2" xfId="2738" xr:uid="{00000000-0005-0000-0000-0000072A0000}"/>
    <cellStyle name="40% - Accent1 2 2 3 3 2 2" xfId="15084" xr:uid="{00000000-0005-0000-0000-0000082A0000}"/>
    <cellStyle name="40% - Accent1 2 2 3 3 2 2 2" xfId="28633" xr:uid="{00000000-0005-0000-0000-0000092A0000}"/>
    <cellStyle name="40% - Accent1 2 2 3 3 2 3" xfId="20062" xr:uid="{00000000-0005-0000-0000-00000A2A0000}"/>
    <cellStyle name="40% - Accent1 2 2 3 3 3" xfId="10940" xr:uid="{00000000-0005-0000-0000-00000B2A0000}"/>
    <cellStyle name="40% - Accent1 2 2 3 3 3 2" xfId="24882" xr:uid="{00000000-0005-0000-0000-00000C2A0000}"/>
    <cellStyle name="40% - Accent1 2 2 3 3 4" xfId="20061" xr:uid="{00000000-0005-0000-0000-00000D2A0000}"/>
    <cellStyle name="40% - Accent1 2 2 3 4" xfId="2739" xr:uid="{00000000-0005-0000-0000-00000E2A0000}"/>
    <cellStyle name="40% - Accent1 2 2 3 4 2" xfId="12207" xr:uid="{00000000-0005-0000-0000-00000F2A0000}"/>
    <cellStyle name="40% - Accent1 2 2 3 4 2 2" xfId="25919" xr:uid="{00000000-0005-0000-0000-0000102A0000}"/>
    <cellStyle name="40% - Accent1 2 2 3 4 3" xfId="20063" xr:uid="{00000000-0005-0000-0000-0000112A0000}"/>
    <cellStyle name="40% - Accent1 2 2 3 5" xfId="2740" xr:uid="{00000000-0005-0000-0000-0000122A0000}"/>
    <cellStyle name="40% - Accent1 2 2 3 5 2" xfId="11790" xr:uid="{00000000-0005-0000-0000-0000132A0000}"/>
    <cellStyle name="40% - Accent1 2 2 3 5 2 2" xfId="25505" xr:uid="{00000000-0005-0000-0000-0000142A0000}"/>
    <cellStyle name="40% - Accent1 2 2 3 5 3" xfId="20064" xr:uid="{00000000-0005-0000-0000-0000152A0000}"/>
    <cellStyle name="40% - Accent1 2 2 3 6" xfId="2741" xr:uid="{00000000-0005-0000-0000-0000162A0000}"/>
    <cellStyle name="40% - Accent1 2 2 3 6 2" xfId="13771" xr:uid="{00000000-0005-0000-0000-0000172A0000}"/>
    <cellStyle name="40% - Accent1 2 2 3 6 2 2" xfId="27320" xr:uid="{00000000-0005-0000-0000-0000182A0000}"/>
    <cellStyle name="40% - Accent1 2 2 3 6 3" xfId="20065" xr:uid="{00000000-0005-0000-0000-0000192A0000}"/>
    <cellStyle name="40% - Accent1 2 2 3 7" xfId="2742" xr:uid="{00000000-0005-0000-0000-00001A2A0000}"/>
    <cellStyle name="40% - Accent1 2 2 3 7 2" xfId="14352" xr:uid="{00000000-0005-0000-0000-00001B2A0000}"/>
    <cellStyle name="40% - Accent1 2 2 3 7 2 2" xfId="27901" xr:uid="{00000000-0005-0000-0000-00001C2A0000}"/>
    <cellStyle name="40% - Accent1 2 2 3 7 3" xfId="20066" xr:uid="{00000000-0005-0000-0000-00001D2A0000}"/>
    <cellStyle name="40% - Accent1 2 2 3 8" xfId="2743" xr:uid="{00000000-0005-0000-0000-00001E2A0000}"/>
    <cellStyle name="40% - Accent1 2 2 3 8 2" xfId="15082" xr:uid="{00000000-0005-0000-0000-00001F2A0000}"/>
    <cellStyle name="40% - Accent1 2 2 3 8 2 2" xfId="28631" xr:uid="{00000000-0005-0000-0000-0000202A0000}"/>
    <cellStyle name="40% - Accent1 2 2 3 8 3" xfId="20067" xr:uid="{00000000-0005-0000-0000-0000212A0000}"/>
    <cellStyle name="40% - Accent1 2 2 3 9" xfId="2744" xr:uid="{00000000-0005-0000-0000-0000222A0000}"/>
    <cellStyle name="40% - Accent1 2 2 3 9 2" xfId="16238" xr:uid="{00000000-0005-0000-0000-0000232A0000}"/>
    <cellStyle name="40% - Accent1 2 2 3 9 2 2" xfId="29645" xr:uid="{00000000-0005-0000-0000-0000242A0000}"/>
    <cellStyle name="40% - Accent1 2 2 3 9 3" xfId="20068" xr:uid="{00000000-0005-0000-0000-0000252A0000}"/>
    <cellStyle name="40% - Accent1 2 2 4" xfId="2745" xr:uid="{00000000-0005-0000-0000-0000262A0000}"/>
    <cellStyle name="40% - Accent1 2 2 4 2" xfId="2746" xr:uid="{00000000-0005-0000-0000-0000272A0000}"/>
    <cellStyle name="40% - Accent1 2 2 4 2 2" xfId="10942" xr:uid="{00000000-0005-0000-0000-0000282A0000}"/>
    <cellStyle name="40% - Accent1 2 2 4 2 2 2" xfId="24884" xr:uid="{00000000-0005-0000-0000-0000292A0000}"/>
    <cellStyle name="40% - Accent1 2 2 4 2 3" xfId="20070" xr:uid="{00000000-0005-0000-0000-00002A2A0000}"/>
    <cellStyle name="40% - Accent1 2 2 4 3" xfId="2747" xr:uid="{00000000-0005-0000-0000-00002B2A0000}"/>
    <cellStyle name="40% - Accent1 2 2 4 3 2" xfId="11869" xr:uid="{00000000-0005-0000-0000-00002C2A0000}"/>
    <cellStyle name="40% - Accent1 2 2 4 3 2 2" xfId="25584" xr:uid="{00000000-0005-0000-0000-00002D2A0000}"/>
    <cellStyle name="40% - Accent1 2 2 4 3 3" xfId="20071" xr:uid="{00000000-0005-0000-0000-00002E2A0000}"/>
    <cellStyle name="40% - Accent1 2 2 4 4" xfId="2748" xr:uid="{00000000-0005-0000-0000-00002F2A0000}"/>
    <cellStyle name="40% - Accent1 2 2 4 4 2" xfId="15085" xr:uid="{00000000-0005-0000-0000-0000302A0000}"/>
    <cellStyle name="40% - Accent1 2 2 4 4 2 2" xfId="28634" xr:uid="{00000000-0005-0000-0000-0000312A0000}"/>
    <cellStyle name="40% - Accent1 2 2 4 4 3" xfId="20072" xr:uid="{00000000-0005-0000-0000-0000322A0000}"/>
    <cellStyle name="40% - Accent1 2 2 4 5" xfId="2749" xr:uid="{00000000-0005-0000-0000-0000332A0000}"/>
    <cellStyle name="40% - Accent1 2 2 4 5 2" xfId="17166" xr:uid="{00000000-0005-0000-0000-0000342A0000}"/>
    <cellStyle name="40% - Accent1 2 2 4 5 2 2" xfId="30525" xr:uid="{00000000-0005-0000-0000-0000352A0000}"/>
    <cellStyle name="40% - Accent1 2 2 4 5 3" xfId="20073" xr:uid="{00000000-0005-0000-0000-0000362A0000}"/>
    <cellStyle name="40% - Accent1 2 2 4 6" xfId="9216" xr:uid="{00000000-0005-0000-0000-0000372A0000}"/>
    <cellStyle name="40% - Accent1 2 2 4 6 2" xfId="23691" xr:uid="{00000000-0005-0000-0000-0000382A0000}"/>
    <cellStyle name="40% - Accent1 2 2 4 7" xfId="20069" xr:uid="{00000000-0005-0000-0000-0000392A0000}"/>
    <cellStyle name="40% - Accent1 2 2 5" xfId="2750" xr:uid="{00000000-0005-0000-0000-00003A2A0000}"/>
    <cellStyle name="40% - Accent1 2 2 5 2" xfId="2751" xr:uid="{00000000-0005-0000-0000-00003B2A0000}"/>
    <cellStyle name="40% - Accent1 2 2 5 2 2" xfId="15086" xr:uid="{00000000-0005-0000-0000-00003C2A0000}"/>
    <cellStyle name="40% - Accent1 2 2 5 2 2 2" xfId="28635" xr:uid="{00000000-0005-0000-0000-00003D2A0000}"/>
    <cellStyle name="40% - Accent1 2 2 5 2 3" xfId="20075" xr:uid="{00000000-0005-0000-0000-00003E2A0000}"/>
    <cellStyle name="40% - Accent1 2 2 5 3" xfId="2752" xr:uid="{00000000-0005-0000-0000-00003F2A0000}"/>
    <cellStyle name="40% - Accent1 2 2 5 3 2" xfId="17255" xr:uid="{00000000-0005-0000-0000-0000402A0000}"/>
    <cellStyle name="40% - Accent1 2 2 5 3 2 2" xfId="30614" xr:uid="{00000000-0005-0000-0000-0000412A0000}"/>
    <cellStyle name="40% - Accent1 2 2 5 3 3" xfId="20076" xr:uid="{00000000-0005-0000-0000-0000422A0000}"/>
    <cellStyle name="40% - Accent1 2 2 5 4" xfId="10935" xr:uid="{00000000-0005-0000-0000-0000432A0000}"/>
    <cellStyle name="40% - Accent1 2 2 5 4 2" xfId="24877" xr:uid="{00000000-0005-0000-0000-0000442A0000}"/>
    <cellStyle name="40% - Accent1 2 2 5 5" xfId="20074" xr:uid="{00000000-0005-0000-0000-0000452A0000}"/>
    <cellStyle name="40% - Accent1 2 2 6" xfId="2753" xr:uid="{00000000-0005-0000-0000-0000462A0000}"/>
    <cellStyle name="40% - Accent1 2 2 6 2" xfId="2754" xr:uid="{00000000-0005-0000-0000-0000472A0000}"/>
    <cellStyle name="40% - Accent1 2 2 6 2 2" xfId="16530" xr:uid="{00000000-0005-0000-0000-0000482A0000}"/>
    <cellStyle name="40% - Accent1 2 2 6 2 2 2" xfId="29937" xr:uid="{00000000-0005-0000-0000-0000492A0000}"/>
    <cellStyle name="40% - Accent1 2 2 6 2 3" xfId="20078" xr:uid="{00000000-0005-0000-0000-00004A2A0000}"/>
    <cellStyle name="40% - Accent1 2 2 6 3" xfId="11905" xr:uid="{00000000-0005-0000-0000-00004B2A0000}"/>
    <cellStyle name="40% - Accent1 2 2 6 3 2" xfId="25620" xr:uid="{00000000-0005-0000-0000-00004C2A0000}"/>
    <cellStyle name="40% - Accent1 2 2 6 4" xfId="20077" xr:uid="{00000000-0005-0000-0000-00004D2A0000}"/>
    <cellStyle name="40% - Accent1 2 2 7" xfId="2755" xr:uid="{00000000-0005-0000-0000-00004E2A0000}"/>
    <cellStyle name="40% - Accent1 2 2 7 2" xfId="11870" xr:uid="{00000000-0005-0000-0000-00004F2A0000}"/>
    <cellStyle name="40% - Accent1 2 2 7 2 2" xfId="25585" xr:uid="{00000000-0005-0000-0000-0000502A0000}"/>
    <cellStyle name="40% - Accent1 2 2 7 3" xfId="20079" xr:uid="{00000000-0005-0000-0000-0000512A0000}"/>
    <cellStyle name="40% - Accent1 2 2 8" xfId="2756" xr:uid="{00000000-0005-0000-0000-0000522A0000}"/>
    <cellStyle name="40% - Accent1 2 2 8 2" xfId="13482" xr:uid="{00000000-0005-0000-0000-0000532A0000}"/>
    <cellStyle name="40% - Accent1 2 2 8 2 2" xfId="27031" xr:uid="{00000000-0005-0000-0000-0000542A0000}"/>
    <cellStyle name="40% - Accent1 2 2 8 3" xfId="20080" xr:uid="{00000000-0005-0000-0000-0000552A0000}"/>
    <cellStyle name="40% - Accent1 2 2 9" xfId="2757" xr:uid="{00000000-0005-0000-0000-0000562A0000}"/>
    <cellStyle name="40% - Accent1 2 2 9 2" xfId="14063" xr:uid="{00000000-0005-0000-0000-0000572A0000}"/>
    <cellStyle name="40% - Accent1 2 2 9 2 2" xfId="27612" xr:uid="{00000000-0005-0000-0000-0000582A0000}"/>
    <cellStyle name="40% - Accent1 2 2 9 3" xfId="20081" xr:uid="{00000000-0005-0000-0000-0000592A0000}"/>
    <cellStyle name="40% - Accent1 2 3" xfId="2758" xr:uid="{00000000-0005-0000-0000-00005A2A0000}"/>
    <cellStyle name="40% - Accent1 2 3 10" xfId="2759" xr:uid="{00000000-0005-0000-0000-00005B2A0000}"/>
    <cellStyle name="40% - Accent1 2 3 10 2" xfId="16046" xr:uid="{00000000-0005-0000-0000-00005C2A0000}"/>
    <cellStyle name="40% - Accent1 2 3 10 2 2" xfId="29453" xr:uid="{00000000-0005-0000-0000-00005D2A0000}"/>
    <cellStyle name="40% - Accent1 2 3 10 3" xfId="20083" xr:uid="{00000000-0005-0000-0000-00005E2A0000}"/>
    <cellStyle name="40% - Accent1 2 3 11" xfId="9217" xr:uid="{00000000-0005-0000-0000-00005F2A0000}"/>
    <cellStyle name="40% - Accent1 2 3 11 2" xfId="23692" xr:uid="{00000000-0005-0000-0000-0000602A0000}"/>
    <cellStyle name="40% - Accent1 2 3 12" xfId="20082" xr:uid="{00000000-0005-0000-0000-0000612A0000}"/>
    <cellStyle name="40% - Accent1 2 3 2" xfId="2760" xr:uid="{00000000-0005-0000-0000-0000622A0000}"/>
    <cellStyle name="40% - Accent1 2 3 2 10" xfId="9218" xr:uid="{00000000-0005-0000-0000-0000632A0000}"/>
    <cellStyle name="40% - Accent1 2 3 2 10 2" xfId="23693" xr:uid="{00000000-0005-0000-0000-0000642A0000}"/>
    <cellStyle name="40% - Accent1 2 3 2 11" xfId="20084" xr:uid="{00000000-0005-0000-0000-0000652A0000}"/>
    <cellStyle name="40% - Accent1 2 3 2 2" xfId="2761" xr:uid="{00000000-0005-0000-0000-0000662A0000}"/>
    <cellStyle name="40% - Accent1 2 3 2 2 2" xfId="2762" xr:uid="{00000000-0005-0000-0000-0000672A0000}"/>
    <cellStyle name="40% - Accent1 2 3 2 2 2 2" xfId="10945" xr:uid="{00000000-0005-0000-0000-0000682A0000}"/>
    <cellStyle name="40% - Accent1 2 3 2 2 2 2 2" xfId="24887" xr:uid="{00000000-0005-0000-0000-0000692A0000}"/>
    <cellStyle name="40% - Accent1 2 3 2 2 2 3" xfId="20086" xr:uid="{00000000-0005-0000-0000-00006A2A0000}"/>
    <cellStyle name="40% - Accent1 2 3 2 2 3" xfId="2763" xr:uid="{00000000-0005-0000-0000-00006B2A0000}"/>
    <cellStyle name="40% - Accent1 2 3 2 2 3 2" xfId="11792" xr:uid="{00000000-0005-0000-0000-00006C2A0000}"/>
    <cellStyle name="40% - Accent1 2 3 2 2 3 2 2" xfId="25507" xr:uid="{00000000-0005-0000-0000-00006D2A0000}"/>
    <cellStyle name="40% - Accent1 2 3 2 2 3 3" xfId="20087" xr:uid="{00000000-0005-0000-0000-00006E2A0000}"/>
    <cellStyle name="40% - Accent1 2 3 2 2 4" xfId="2764" xr:uid="{00000000-0005-0000-0000-00006F2A0000}"/>
    <cellStyle name="40% - Accent1 2 3 2 2 4 2" xfId="15089" xr:uid="{00000000-0005-0000-0000-0000702A0000}"/>
    <cellStyle name="40% - Accent1 2 3 2 2 4 2 2" xfId="28638" xr:uid="{00000000-0005-0000-0000-0000712A0000}"/>
    <cellStyle name="40% - Accent1 2 3 2 2 4 3" xfId="20088" xr:uid="{00000000-0005-0000-0000-0000722A0000}"/>
    <cellStyle name="40% - Accent1 2 3 2 2 5" xfId="2765" xr:uid="{00000000-0005-0000-0000-0000732A0000}"/>
    <cellStyle name="40% - Accent1 2 3 2 2 5 2" xfId="16916" xr:uid="{00000000-0005-0000-0000-0000742A0000}"/>
    <cellStyle name="40% - Accent1 2 3 2 2 5 2 2" xfId="30323" xr:uid="{00000000-0005-0000-0000-0000752A0000}"/>
    <cellStyle name="40% - Accent1 2 3 2 2 5 3" xfId="20089" xr:uid="{00000000-0005-0000-0000-0000762A0000}"/>
    <cellStyle name="40% - Accent1 2 3 2 2 6" xfId="9219" xr:uid="{00000000-0005-0000-0000-0000772A0000}"/>
    <cellStyle name="40% - Accent1 2 3 2 2 6 2" xfId="23694" xr:uid="{00000000-0005-0000-0000-0000782A0000}"/>
    <cellStyle name="40% - Accent1 2 3 2 2 7" xfId="20085" xr:uid="{00000000-0005-0000-0000-0000792A0000}"/>
    <cellStyle name="40% - Accent1 2 3 2 3" xfId="2766" xr:uid="{00000000-0005-0000-0000-00007A2A0000}"/>
    <cellStyle name="40% - Accent1 2 3 2 3 2" xfId="2767" xr:uid="{00000000-0005-0000-0000-00007B2A0000}"/>
    <cellStyle name="40% - Accent1 2 3 2 3 2 2" xfId="15090" xr:uid="{00000000-0005-0000-0000-00007C2A0000}"/>
    <cellStyle name="40% - Accent1 2 3 2 3 2 2 2" xfId="28639" xr:uid="{00000000-0005-0000-0000-00007D2A0000}"/>
    <cellStyle name="40% - Accent1 2 3 2 3 2 3" xfId="20091" xr:uid="{00000000-0005-0000-0000-00007E2A0000}"/>
    <cellStyle name="40% - Accent1 2 3 2 3 3" xfId="10944" xr:uid="{00000000-0005-0000-0000-00007F2A0000}"/>
    <cellStyle name="40% - Accent1 2 3 2 3 3 2" xfId="24886" xr:uid="{00000000-0005-0000-0000-0000802A0000}"/>
    <cellStyle name="40% - Accent1 2 3 2 3 4" xfId="20090" xr:uid="{00000000-0005-0000-0000-0000812A0000}"/>
    <cellStyle name="40% - Accent1 2 3 2 4" xfId="2768" xr:uid="{00000000-0005-0000-0000-0000822A0000}"/>
    <cellStyle name="40% - Accent1 2 3 2 4 2" xfId="12304" xr:uid="{00000000-0005-0000-0000-0000832A0000}"/>
    <cellStyle name="40% - Accent1 2 3 2 4 2 2" xfId="26016" xr:uid="{00000000-0005-0000-0000-0000842A0000}"/>
    <cellStyle name="40% - Accent1 2 3 2 4 3" xfId="20092" xr:uid="{00000000-0005-0000-0000-0000852A0000}"/>
    <cellStyle name="40% - Accent1 2 3 2 5" xfId="2769" xr:uid="{00000000-0005-0000-0000-0000862A0000}"/>
    <cellStyle name="40% - Accent1 2 3 2 5 2" xfId="12616" xr:uid="{00000000-0005-0000-0000-0000872A0000}"/>
    <cellStyle name="40% - Accent1 2 3 2 5 2 2" xfId="26328" xr:uid="{00000000-0005-0000-0000-0000882A0000}"/>
    <cellStyle name="40% - Accent1 2 3 2 5 3" xfId="20093" xr:uid="{00000000-0005-0000-0000-0000892A0000}"/>
    <cellStyle name="40% - Accent1 2 3 2 6" xfId="2770" xr:uid="{00000000-0005-0000-0000-00008A2A0000}"/>
    <cellStyle name="40% - Accent1 2 3 2 6 2" xfId="13868" xr:uid="{00000000-0005-0000-0000-00008B2A0000}"/>
    <cellStyle name="40% - Accent1 2 3 2 6 2 2" xfId="27417" xr:uid="{00000000-0005-0000-0000-00008C2A0000}"/>
    <cellStyle name="40% - Accent1 2 3 2 6 3" xfId="20094" xr:uid="{00000000-0005-0000-0000-00008D2A0000}"/>
    <cellStyle name="40% - Accent1 2 3 2 7" xfId="2771" xr:uid="{00000000-0005-0000-0000-00008E2A0000}"/>
    <cellStyle name="40% - Accent1 2 3 2 7 2" xfId="14449" xr:uid="{00000000-0005-0000-0000-00008F2A0000}"/>
    <cellStyle name="40% - Accent1 2 3 2 7 2 2" xfId="27998" xr:uid="{00000000-0005-0000-0000-0000902A0000}"/>
    <cellStyle name="40% - Accent1 2 3 2 7 3" xfId="20095" xr:uid="{00000000-0005-0000-0000-0000912A0000}"/>
    <cellStyle name="40% - Accent1 2 3 2 8" xfId="2772" xr:uid="{00000000-0005-0000-0000-0000922A0000}"/>
    <cellStyle name="40% - Accent1 2 3 2 8 2" xfId="15088" xr:uid="{00000000-0005-0000-0000-0000932A0000}"/>
    <cellStyle name="40% - Accent1 2 3 2 8 2 2" xfId="28637" xr:uid="{00000000-0005-0000-0000-0000942A0000}"/>
    <cellStyle name="40% - Accent1 2 3 2 8 3" xfId="20096" xr:uid="{00000000-0005-0000-0000-0000952A0000}"/>
    <cellStyle name="40% - Accent1 2 3 2 9" xfId="2773" xr:uid="{00000000-0005-0000-0000-0000962A0000}"/>
    <cellStyle name="40% - Accent1 2 3 2 9 2" xfId="16335" xr:uid="{00000000-0005-0000-0000-0000972A0000}"/>
    <cellStyle name="40% - Accent1 2 3 2 9 2 2" xfId="29742" xr:uid="{00000000-0005-0000-0000-0000982A0000}"/>
    <cellStyle name="40% - Accent1 2 3 2 9 3" xfId="20097" xr:uid="{00000000-0005-0000-0000-0000992A0000}"/>
    <cellStyle name="40% - Accent1 2 3 3" xfId="2774" xr:uid="{00000000-0005-0000-0000-00009A2A0000}"/>
    <cellStyle name="40% - Accent1 2 3 3 2" xfId="2775" xr:uid="{00000000-0005-0000-0000-00009B2A0000}"/>
    <cellStyle name="40% - Accent1 2 3 3 2 2" xfId="10946" xr:uid="{00000000-0005-0000-0000-00009C2A0000}"/>
    <cellStyle name="40% - Accent1 2 3 3 2 2 2" xfId="24888" xr:uid="{00000000-0005-0000-0000-00009D2A0000}"/>
    <cellStyle name="40% - Accent1 2 3 3 2 3" xfId="20099" xr:uid="{00000000-0005-0000-0000-00009E2A0000}"/>
    <cellStyle name="40% - Accent1 2 3 3 3" xfId="2776" xr:uid="{00000000-0005-0000-0000-00009F2A0000}"/>
    <cellStyle name="40% - Accent1 2 3 3 3 2" xfId="12587" xr:uid="{00000000-0005-0000-0000-0000A02A0000}"/>
    <cellStyle name="40% - Accent1 2 3 3 3 2 2" xfId="26299" xr:uid="{00000000-0005-0000-0000-0000A12A0000}"/>
    <cellStyle name="40% - Accent1 2 3 3 3 3" xfId="20100" xr:uid="{00000000-0005-0000-0000-0000A22A0000}"/>
    <cellStyle name="40% - Accent1 2 3 3 4" xfId="2777" xr:uid="{00000000-0005-0000-0000-0000A32A0000}"/>
    <cellStyle name="40% - Accent1 2 3 3 4 2" xfId="15091" xr:uid="{00000000-0005-0000-0000-0000A42A0000}"/>
    <cellStyle name="40% - Accent1 2 3 3 4 2 2" xfId="28640" xr:uid="{00000000-0005-0000-0000-0000A52A0000}"/>
    <cellStyle name="40% - Accent1 2 3 3 4 3" xfId="20101" xr:uid="{00000000-0005-0000-0000-0000A62A0000}"/>
    <cellStyle name="40% - Accent1 2 3 3 5" xfId="2778" xr:uid="{00000000-0005-0000-0000-0000A72A0000}"/>
    <cellStyle name="40% - Accent1 2 3 3 5 2" xfId="16627" xr:uid="{00000000-0005-0000-0000-0000A82A0000}"/>
    <cellStyle name="40% - Accent1 2 3 3 5 2 2" xfId="30034" xr:uid="{00000000-0005-0000-0000-0000A92A0000}"/>
    <cellStyle name="40% - Accent1 2 3 3 5 3" xfId="20102" xr:uid="{00000000-0005-0000-0000-0000AA2A0000}"/>
    <cellStyle name="40% - Accent1 2 3 3 6" xfId="9220" xr:uid="{00000000-0005-0000-0000-0000AB2A0000}"/>
    <cellStyle name="40% - Accent1 2 3 3 6 2" xfId="23695" xr:uid="{00000000-0005-0000-0000-0000AC2A0000}"/>
    <cellStyle name="40% - Accent1 2 3 3 7" xfId="20098" xr:uid="{00000000-0005-0000-0000-0000AD2A0000}"/>
    <cellStyle name="40% - Accent1 2 3 4" xfId="2779" xr:uid="{00000000-0005-0000-0000-0000AE2A0000}"/>
    <cellStyle name="40% - Accent1 2 3 4 2" xfId="2780" xr:uid="{00000000-0005-0000-0000-0000AF2A0000}"/>
    <cellStyle name="40% - Accent1 2 3 4 2 2" xfId="15092" xr:uid="{00000000-0005-0000-0000-0000B02A0000}"/>
    <cellStyle name="40% - Accent1 2 3 4 2 2 2" xfId="28641" xr:uid="{00000000-0005-0000-0000-0000B12A0000}"/>
    <cellStyle name="40% - Accent1 2 3 4 2 3" xfId="20104" xr:uid="{00000000-0005-0000-0000-0000B22A0000}"/>
    <cellStyle name="40% - Accent1 2 3 4 3" xfId="10943" xr:uid="{00000000-0005-0000-0000-0000B32A0000}"/>
    <cellStyle name="40% - Accent1 2 3 4 3 2" xfId="24885" xr:uid="{00000000-0005-0000-0000-0000B42A0000}"/>
    <cellStyle name="40% - Accent1 2 3 4 4" xfId="20103" xr:uid="{00000000-0005-0000-0000-0000B52A0000}"/>
    <cellStyle name="40% - Accent1 2 3 5" xfId="2781" xr:uid="{00000000-0005-0000-0000-0000B62A0000}"/>
    <cellStyle name="40% - Accent1 2 3 5 2" xfId="12004" xr:uid="{00000000-0005-0000-0000-0000B72A0000}"/>
    <cellStyle name="40% - Accent1 2 3 5 2 2" xfId="25719" xr:uid="{00000000-0005-0000-0000-0000B82A0000}"/>
    <cellStyle name="40% - Accent1 2 3 5 3" xfId="20105" xr:uid="{00000000-0005-0000-0000-0000B92A0000}"/>
    <cellStyle name="40% - Accent1 2 3 6" xfId="2782" xr:uid="{00000000-0005-0000-0000-0000BA2A0000}"/>
    <cellStyle name="40% - Accent1 2 3 6 2" xfId="12109" xr:uid="{00000000-0005-0000-0000-0000BB2A0000}"/>
    <cellStyle name="40% - Accent1 2 3 6 2 2" xfId="25821" xr:uid="{00000000-0005-0000-0000-0000BC2A0000}"/>
    <cellStyle name="40% - Accent1 2 3 6 3" xfId="20106" xr:uid="{00000000-0005-0000-0000-0000BD2A0000}"/>
    <cellStyle name="40% - Accent1 2 3 7" xfId="2783" xr:uid="{00000000-0005-0000-0000-0000BE2A0000}"/>
    <cellStyle name="40% - Accent1 2 3 7 2" xfId="13579" xr:uid="{00000000-0005-0000-0000-0000BF2A0000}"/>
    <cellStyle name="40% - Accent1 2 3 7 2 2" xfId="27128" xr:uid="{00000000-0005-0000-0000-0000C02A0000}"/>
    <cellStyle name="40% - Accent1 2 3 7 3" xfId="20107" xr:uid="{00000000-0005-0000-0000-0000C12A0000}"/>
    <cellStyle name="40% - Accent1 2 3 8" xfId="2784" xr:uid="{00000000-0005-0000-0000-0000C22A0000}"/>
    <cellStyle name="40% - Accent1 2 3 8 2" xfId="14160" xr:uid="{00000000-0005-0000-0000-0000C32A0000}"/>
    <cellStyle name="40% - Accent1 2 3 8 2 2" xfId="27709" xr:uid="{00000000-0005-0000-0000-0000C42A0000}"/>
    <cellStyle name="40% - Accent1 2 3 8 3" xfId="20108" xr:uid="{00000000-0005-0000-0000-0000C52A0000}"/>
    <cellStyle name="40% - Accent1 2 3 9" xfId="2785" xr:uid="{00000000-0005-0000-0000-0000C62A0000}"/>
    <cellStyle name="40% - Accent1 2 3 9 2" xfId="15087" xr:uid="{00000000-0005-0000-0000-0000C72A0000}"/>
    <cellStyle name="40% - Accent1 2 3 9 2 2" xfId="28636" xr:uid="{00000000-0005-0000-0000-0000C82A0000}"/>
    <cellStyle name="40% - Accent1 2 3 9 3" xfId="20109" xr:uid="{00000000-0005-0000-0000-0000C92A0000}"/>
    <cellStyle name="40% - Accent1 2 4" xfId="2786" xr:uid="{00000000-0005-0000-0000-0000CA2A0000}"/>
    <cellStyle name="40% - Accent1 2 4 10" xfId="9221" xr:uid="{00000000-0005-0000-0000-0000CB2A0000}"/>
    <cellStyle name="40% - Accent1 2 4 10 2" xfId="23696" xr:uid="{00000000-0005-0000-0000-0000CC2A0000}"/>
    <cellStyle name="40% - Accent1 2 4 11" xfId="20110" xr:uid="{00000000-0005-0000-0000-0000CD2A0000}"/>
    <cellStyle name="40% - Accent1 2 4 2" xfId="2787" xr:uid="{00000000-0005-0000-0000-0000CE2A0000}"/>
    <cellStyle name="40% - Accent1 2 4 2 2" xfId="2788" xr:uid="{00000000-0005-0000-0000-0000CF2A0000}"/>
    <cellStyle name="40% - Accent1 2 4 2 2 2" xfId="10948" xr:uid="{00000000-0005-0000-0000-0000D02A0000}"/>
    <cellStyle name="40% - Accent1 2 4 2 2 2 2" xfId="24890" xr:uid="{00000000-0005-0000-0000-0000D12A0000}"/>
    <cellStyle name="40% - Accent1 2 4 2 2 3" xfId="20112" xr:uid="{00000000-0005-0000-0000-0000D22A0000}"/>
    <cellStyle name="40% - Accent1 2 4 2 3" xfId="2789" xr:uid="{00000000-0005-0000-0000-0000D32A0000}"/>
    <cellStyle name="40% - Accent1 2 4 2 3 2" xfId="12599" xr:uid="{00000000-0005-0000-0000-0000D42A0000}"/>
    <cellStyle name="40% - Accent1 2 4 2 3 2 2" xfId="26311" xr:uid="{00000000-0005-0000-0000-0000D52A0000}"/>
    <cellStyle name="40% - Accent1 2 4 2 3 3" xfId="20113" xr:uid="{00000000-0005-0000-0000-0000D62A0000}"/>
    <cellStyle name="40% - Accent1 2 4 2 4" xfId="2790" xr:uid="{00000000-0005-0000-0000-0000D72A0000}"/>
    <cellStyle name="40% - Accent1 2 4 2 4 2" xfId="15094" xr:uid="{00000000-0005-0000-0000-0000D82A0000}"/>
    <cellStyle name="40% - Accent1 2 4 2 4 2 2" xfId="28643" xr:uid="{00000000-0005-0000-0000-0000D92A0000}"/>
    <cellStyle name="40% - Accent1 2 4 2 4 3" xfId="20114" xr:uid="{00000000-0005-0000-0000-0000DA2A0000}"/>
    <cellStyle name="40% - Accent1 2 4 2 5" xfId="2791" xr:uid="{00000000-0005-0000-0000-0000DB2A0000}"/>
    <cellStyle name="40% - Accent1 2 4 2 5 2" xfId="16773" xr:uid="{00000000-0005-0000-0000-0000DC2A0000}"/>
    <cellStyle name="40% - Accent1 2 4 2 5 2 2" xfId="30180" xr:uid="{00000000-0005-0000-0000-0000DD2A0000}"/>
    <cellStyle name="40% - Accent1 2 4 2 5 3" xfId="20115" xr:uid="{00000000-0005-0000-0000-0000DE2A0000}"/>
    <cellStyle name="40% - Accent1 2 4 2 6" xfId="9222" xr:uid="{00000000-0005-0000-0000-0000DF2A0000}"/>
    <cellStyle name="40% - Accent1 2 4 2 6 2" xfId="23697" xr:uid="{00000000-0005-0000-0000-0000E02A0000}"/>
    <cellStyle name="40% - Accent1 2 4 2 7" xfId="20111" xr:uid="{00000000-0005-0000-0000-0000E12A0000}"/>
    <cellStyle name="40% - Accent1 2 4 3" xfId="2792" xr:uid="{00000000-0005-0000-0000-0000E22A0000}"/>
    <cellStyle name="40% - Accent1 2 4 3 2" xfId="2793" xr:uid="{00000000-0005-0000-0000-0000E32A0000}"/>
    <cellStyle name="40% - Accent1 2 4 3 2 2" xfId="15095" xr:uid="{00000000-0005-0000-0000-0000E42A0000}"/>
    <cellStyle name="40% - Accent1 2 4 3 2 2 2" xfId="28644" xr:uid="{00000000-0005-0000-0000-0000E52A0000}"/>
    <cellStyle name="40% - Accent1 2 4 3 2 3" xfId="20117" xr:uid="{00000000-0005-0000-0000-0000E62A0000}"/>
    <cellStyle name="40% - Accent1 2 4 3 3" xfId="10947" xr:uid="{00000000-0005-0000-0000-0000E72A0000}"/>
    <cellStyle name="40% - Accent1 2 4 3 3 2" xfId="24889" xr:uid="{00000000-0005-0000-0000-0000E82A0000}"/>
    <cellStyle name="40% - Accent1 2 4 3 4" xfId="20116" xr:uid="{00000000-0005-0000-0000-0000E92A0000}"/>
    <cellStyle name="40% - Accent1 2 4 4" xfId="2794" xr:uid="{00000000-0005-0000-0000-0000EA2A0000}"/>
    <cellStyle name="40% - Accent1 2 4 4 2" xfId="12161" xr:uid="{00000000-0005-0000-0000-0000EB2A0000}"/>
    <cellStyle name="40% - Accent1 2 4 4 2 2" xfId="25873" xr:uid="{00000000-0005-0000-0000-0000EC2A0000}"/>
    <cellStyle name="40% - Accent1 2 4 4 3" xfId="20118" xr:uid="{00000000-0005-0000-0000-0000ED2A0000}"/>
    <cellStyle name="40% - Accent1 2 4 5" xfId="2795" xr:uid="{00000000-0005-0000-0000-0000EE2A0000}"/>
    <cellStyle name="40% - Accent1 2 4 5 2" xfId="12796" xr:uid="{00000000-0005-0000-0000-0000EF2A0000}"/>
    <cellStyle name="40% - Accent1 2 4 5 2 2" xfId="26508" xr:uid="{00000000-0005-0000-0000-0000F02A0000}"/>
    <cellStyle name="40% - Accent1 2 4 5 3" xfId="20119" xr:uid="{00000000-0005-0000-0000-0000F12A0000}"/>
    <cellStyle name="40% - Accent1 2 4 6" xfId="2796" xr:uid="{00000000-0005-0000-0000-0000F22A0000}"/>
    <cellStyle name="40% - Accent1 2 4 6 2" xfId="13725" xr:uid="{00000000-0005-0000-0000-0000F32A0000}"/>
    <cellStyle name="40% - Accent1 2 4 6 2 2" xfId="27274" xr:uid="{00000000-0005-0000-0000-0000F42A0000}"/>
    <cellStyle name="40% - Accent1 2 4 6 3" xfId="20120" xr:uid="{00000000-0005-0000-0000-0000F52A0000}"/>
    <cellStyle name="40% - Accent1 2 4 7" xfId="2797" xr:uid="{00000000-0005-0000-0000-0000F62A0000}"/>
    <cellStyle name="40% - Accent1 2 4 7 2" xfId="14306" xr:uid="{00000000-0005-0000-0000-0000F72A0000}"/>
    <cellStyle name="40% - Accent1 2 4 7 2 2" xfId="27855" xr:uid="{00000000-0005-0000-0000-0000F82A0000}"/>
    <cellStyle name="40% - Accent1 2 4 7 3" xfId="20121" xr:uid="{00000000-0005-0000-0000-0000F92A0000}"/>
    <cellStyle name="40% - Accent1 2 4 8" xfId="2798" xr:uid="{00000000-0005-0000-0000-0000FA2A0000}"/>
    <cellStyle name="40% - Accent1 2 4 8 2" xfId="15093" xr:uid="{00000000-0005-0000-0000-0000FB2A0000}"/>
    <cellStyle name="40% - Accent1 2 4 8 2 2" xfId="28642" xr:uid="{00000000-0005-0000-0000-0000FC2A0000}"/>
    <cellStyle name="40% - Accent1 2 4 8 3" xfId="20122" xr:uid="{00000000-0005-0000-0000-0000FD2A0000}"/>
    <cellStyle name="40% - Accent1 2 4 9" xfId="2799" xr:uid="{00000000-0005-0000-0000-0000FE2A0000}"/>
    <cellStyle name="40% - Accent1 2 4 9 2" xfId="16192" xr:uid="{00000000-0005-0000-0000-0000FF2A0000}"/>
    <cellStyle name="40% - Accent1 2 4 9 2 2" xfId="29599" xr:uid="{00000000-0005-0000-0000-0000002B0000}"/>
    <cellStyle name="40% - Accent1 2 4 9 3" xfId="20123" xr:uid="{00000000-0005-0000-0000-0000012B0000}"/>
    <cellStyle name="40% - Accent1 2 5" xfId="2800" xr:uid="{00000000-0005-0000-0000-0000022B0000}"/>
    <cellStyle name="40% - Accent1 2 5 2" xfId="2801" xr:uid="{00000000-0005-0000-0000-0000032B0000}"/>
    <cellStyle name="40% - Accent1 2 5 2 2" xfId="2802" xr:uid="{00000000-0005-0000-0000-0000042B0000}"/>
    <cellStyle name="40% - Accent1 2 5 2 2 2" xfId="10950" xr:uid="{00000000-0005-0000-0000-0000052B0000}"/>
    <cellStyle name="40% - Accent1 2 5 2 2 2 2" xfId="24892" xr:uid="{00000000-0005-0000-0000-0000062B0000}"/>
    <cellStyle name="40% - Accent1 2 5 2 2 3" xfId="20126" xr:uid="{00000000-0005-0000-0000-0000072B0000}"/>
    <cellStyle name="40% - Accent1 2 5 2 3" xfId="2803" xr:uid="{00000000-0005-0000-0000-0000082B0000}"/>
    <cellStyle name="40% - Accent1 2 5 2 3 2" xfId="11772" xr:uid="{00000000-0005-0000-0000-0000092B0000}"/>
    <cellStyle name="40% - Accent1 2 5 2 3 2 2" xfId="25487" xr:uid="{00000000-0005-0000-0000-00000A2B0000}"/>
    <cellStyle name="40% - Accent1 2 5 2 3 3" xfId="20127" xr:uid="{00000000-0005-0000-0000-00000B2B0000}"/>
    <cellStyle name="40% - Accent1 2 5 2 4" xfId="2804" xr:uid="{00000000-0005-0000-0000-00000C2B0000}"/>
    <cellStyle name="40% - Accent1 2 5 2 4 2" xfId="15097" xr:uid="{00000000-0005-0000-0000-00000D2B0000}"/>
    <cellStyle name="40% - Accent1 2 5 2 4 2 2" xfId="28646" xr:uid="{00000000-0005-0000-0000-00000E2B0000}"/>
    <cellStyle name="40% - Accent1 2 5 2 4 3" xfId="20128" xr:uid="{00000000-0005-0000-0000-00000F2B0000}"/>
    <cellStyle name="40% - Accent1 2 5 2 5" xfId="9224" xr:uid="{00000000-0005-0000-0000-0000102B0000}"/>
    <cellStyle name="40% - Accent1 2 5 2 5 2" xfId="23699" xr:uid="{00000000-0005-0000-0000-0000112B0000}"/>
    <cellStyle name="40% - Accent1 2 5 2 6" xfId="20125" xr:uid="{00000000-0005-0000-0000-0000122B0000}"/>
    <cellStyle name="40% - Accent1 2 5 3" xfId="2805" xr:uid="{00000000-0005-0000-0000-0000132B0000}"/>
    <cellStyle name="40% - Accent1 2 5 3 2" xfId="10949" xr:uid="{00000000-0005-0000-0000-0000142B0000}"/>
    <cellStyle name="40% - Accent1 2 5 3 2 2" xfId="24891" xr:uid="{00000000-0005-0000-0000-0000152B0000}"/>
    <cellStyle name="40% - Accent1 2 5 3 3" xfId="20129" xr:uid="{00000000-0005-0000-0000-0000162B0000}"/>
    <cellStyle name="40% - Accent1 2 5 4" xfId="2806" xr:uid="{00000000-0005-0000-0000-0000172B0000}"/>
    <cellStyle name="40% - Accent1 2 5 4 2" xfId="12398" xr:uid="{00000000-0005-0000-0000-0000182B0000}"/>
    <cellStyle name="40% - Accent1 2 5 4 2 2" xfId="26110" xr:uid="{00000000-0005-0000-0000-0000192B0000}"/>
    <cellStyle name="40% - Accent1 2 5 4 3" xfId="20130" xr:uid="{00000000-0005-0000-0000-00001A2B0000}"/>
    <cellStyle name="40% - Accent1 2 5 5" xfId="2807" xr:uid="{00000000-0005-0000-0000-00001B2B0000}"/>
    <cellStyle name="40% - Accent1 2 5 5 2" xfId="15096" xr:uid="{00000000-0005-0000-0000-00001C2B0000}"/>
    <cellStyle name="40% - Accent1 2 5 5 2 2" xfId="28645" xr:uid="{00000000-0005-0000-0000-00001D2B0000}"/>
    <cellStyle name="40% - Accent1 2 5 5 3" xfId="20131" xr:uid="{00000000-0005-0000-0000-00001E2B0000}"/>
    <cellStyle name="40% - Accent1 2 5 6" xfId="2808" xr:uid="{00000000-0005-0000-0000-00001F2B0000}"/>
    <cellStyle name="40% - Accent1 2 5 6 2" xfId="17013" xr:uid="{00000000-0005-0000-0000-0000202B0000}"/>
    <cellStyle name="40% - Accent1 2 5 6 2 2" xfId="30420" xr:uid="{00000000-0005-0000-0000-0000212B0000}"/>
    <cellStyle name="40% - Accent1 2 5 6 3" xfId="20132" xr:uid="{00000000-0005-0000-0000-0000222B0000}"/>
    <cellStyle name="40% - Accent1 2 5 7" xfId="9223" xr:uid="{00000000-0005-0000-0000-0000232B0000}"/>
    <cellStyle name="40% - Accent1 2 5 7 2" xfId="23698" xr:uid="{00000000-0005-0000-0000-0000242B0000}"/>
    <cellStyle name="40% - Accent1 2 5 8" xfId="20124" xr:uid="{00000000-0005-0000-0000-0000252B0000}"/>
    <cellStyle name="40% - Accent1 2 6" xfId="2809" xr:uid="{00000000-0005-0000-0000-0000262B0000}"/>
    <cellStyle name="40% - Accent1 2 6 2" xfId="2810" xr:uid="{00000000-0005-0000-0000-0000272B0000}"/>
    <cellStyle name="40% - Accent1 2 6 2 2" xfId="10951" xr:uid="{00000000-0005-0000-0000-0000282B0000}"/>
    <cellStyle name="40% - Accent1 2 6 2 2 2" xfId="24893" xr:uid="{00000000-0005-0000-0000-0000292B0000}"/>
    <cellStyle name="40% - Accent1 2 6 2 3" xfId="20134" xr:uid="{00000000-0005-0000-0000-00002A2B0000}"/>
    <cellStyle name="40% - Accent1 2 6 3" xfId="2811" xr:uid="{00000000-0005-0000-0000-00002B2B0000}"/>
    <cellStyle name="40% - Accent1 2 6 3 2" xfId="12515" xr:uid="{00000000-0005-0000-0000-00002C2B0000}"/>
    <cellStyle name="40% - Accent1 2 6 3 2 2" xfId="26227" xr:uid="{00000000-0005-0000-0000-00002D2B0000}"/>
    <cellStyle name="40% - Accent1 2 6 3 3" xfId="20135" xr:uid="{00000000-0005-0000-0000-00002E2B0000}"/>
    <cellStyle name="40% - Accent1 2 6 4" xfId="2812" xr:uid="{00000000-0005-0000-0000-00002F2B0000}"/>
    <cellStyle name="40% - Accent1 2 6 4 2" xfId="15098" xr:uid="{00000000-0005-0000-0000-0000302B0000}"/>
    <cellStyle name="40% - Accent1 2 6 4 2 2" xfId="28647" xr:uid="{00000000-0005-0000-0000-0000312B0000}"/>
    <cellStyle name="40% - Accent1 2 6 4 3" xfId="20136" xr:uid="{00000000-0005-0000-0000-0000322B0000}"/>
    <cellStyle name="40% - Accent1 2 6 5" xfId="2813" xr:uid="{00000000-0005-0000-0000-0000332B0000}"/>
    <cellStyle name="40% - Accent1 2 6 5 2" xfId="17120" xr:uid="{00000000-0005-0000-0000-0000342B0000}"/>
    <cellStyle name="40% - Accent1 2 6 5 2 2" xfId="30479" xr:uid="{00000000-0005-0000-0000-0000352B0000}"/>
    <cellStyle name="40% - Accent1 2 6 5 3" xfId="20137" xr:uid="{00000000-0005-0000-0000-0000362B0000}"/>
    <cellStyle name="40% - Accent1 2 6 6" xfId="9225" xr:uid="{00000000-0005-0000-0000-0000372B0000}"/>
    <cellStyle name="40% - Accent1 2 6 6 2" xfId="23700" xr:uid="{00000000-0005-0000-0000-0000382B0000}"/>
    <cellStyle name="40% - Accent1 2 6 7" xfId="20133" xr:uid="{00000000-0005-0000-0000-0000392B0000}"/>
    <cellStyle name="40% - Accent1 2 7" xfId="2814" xr:uid="{00000000-0005-0000-0000-00003A2B0000}"/>
    <cellStyle name="40% - Accent1 2 7 2" xfId="2815" xr:uid="{00000000-0005-0000-0000-00003B2B0000}"/>
    <cellStyle name="40% - Accent1 2 7 2 2" xfId="10952" xr:uid="{00000000-0005-0000-0000-00003C2B0000}"/>
    <cellStyle name="40% - Accent1 2 7 2 2 2" xfId="24894" xr:uid="{00000000-0005-0000-0000-00003D2B0000}"/>
    <cellStyle name="40% - Accent1 2 7 2 3" xfId="20139" xr:uid="{00000000-0005-0000-0000-00003E2B0000}"/>
    <cellStyle name="40% - Accent1 2 7 3" xfId="2816" xr:uid="{00000000-0005-0000-0000-00003F2B0000}"/>
    <cellStyle name="40% - Accent1 2 7 3 2" xfId="12511" xr:uid="{00000000-0005-0000-0000-0000402B0000}"/>
    <cellStyle name="40% - Accent1 2 7 3 2 2" xfId="26223" xr:uid="{00000000-0005-0000-0000-0000412B0000}"/>
    <cellStyle name="40% - Accent1 2 7 3 3" xfId="20140" xr:uid="{00000000-0005-0000-0000-0000422B0000}"/>
    <cellStyle name="40% - Accent1 2 7 4" xfId="2817" xr:uid="{00000000-0005-0000-0000-0000432B0000}"/>
    <cellStyle name="40% - Accent1 2 7 4 2" xfId="15099" xr:uid="{00000000-0005-0000-0000-0000442B0000}"/>
    <cellStyle name="40% - Accent1 2 7 4 2 2" xfId="28648" xr:uid="{00000000-0005-0000-0000-0000452B0000}"/>
    <cellStyle name="40% - Accent1 2 7 4 3" xfId="20141" xr:uid="{00000000-0005-0000-0000-0000462B0000}"/>
    <cellStyle name="40% - Accent1 2 7 5" xfId="2818" xr:uid="{00000000-0005-0000-0000-0000472B0000}"/>
    <cellStyle name="40% - Accent1 2 7 5 2" xfId="17209" xr:uid="{00000000-0005-0000-0000-0000482B0000}"/>
    <cellStyle name="40% - Accent1 2 7 5 2 2" xfId="30568" xr:uid="{00000000-0005-0000-0000-0000492B0000}"/>
    <cellStyle name="40% - Accent1 2 7 5 3" xfId="20142" xr:uid="{00000000-0005-0000-0000-00004A2B0000}"/>
    <cellStyle name="40% - Accent1 2 7 6" xfId="9226" xr:uid="{00000000-0005-0000-0000-00004B2B0000}"/>
    <cellStyle name="40% - Accent1 2 7 6 2" xfId="23701" xr:uid="{00000000-0005-0000-0000-00004C2B0000}"/>
    <cellStyle name="40% - Accent1 2 7 7" xfId="20138" xr:uid="{00000000-0005-0000-0000-00004D2B0000}"/>
    <cellStyle name="40% - Accent1 2 8" xfId="2819" xr:uid="{00000000-0005-0000-0000-00004E2B0000}"/>
    <cellStyle name="40% - Accent1 2 8 2" xfId="2820" xr:uid="{00000000-0005-0000-0000-00004F2B0000}"/>
    <cellStyle name="40% - Accent1 2 8 2 2" xfId="12664" xr:uid="{00000000-0005-0000-0000-0000502B0000}"/>
    <cellStyle name="40% - Accent1 2 8 2 2 2" xfId="26376" xr:uid="{00000000-0005-0000-0000-0000512B0000}"/>
    <cellStyle name="40% - Accent1 2 8 2 3" xfId="20144" xr:uid="{00000000-0005-0000-0000-0000522B0000}"/>
    <cellStyle name="40% - Accent1 2 8 3" xfId="2821" xr:uid="{00000000-0005-0000-0000-0000532B0000}"/>
    <cellStyle name="40% - Accent1 2 8 3 2" xfId="15100" xr:uid="{00000000-0005-0000-0000-0000542B0000}"/>
    <cellStyle name="40% - Accent1 2 8 3 2 2" xfId="28649" xr:uid="{00000000-0005-0000-0000-0000552B0000}"/>
    <cellStyle name="40% - Accent1 2 8 3 3" xfId="20145" xr:uid="{00000000-0005-0000-0000-0000562B0000}"/>
    <cellStyle name="40% - Accent1 2 8 4" xfId="2822" xr:uid="{00000000-0005-0000-0000-0000572B0000}"/>
    <cellStyle name="40% - Accent1 2 8 4 2" xfId="16484" xr:uid="{00000000-0005-0000-0000-0000582B0000}"/>
    <cellStyle name="40% - Accent1 2 8 4 2 2" xfId="29891" xr:uid="{00000000-0005-0000-0000-0000592B0000}"/>
    <cellStyle name="40% - Accent1 2 8 4 3" xfId="20146" xr:uid="{00000000-0005-0000-0000-00005A2B0000}"/>
    <cellStyle name="40% - Accent1 2 8 5" xfId="10534" xr:uid="{00000000-0005-0000-0000-00005B2B0000}"/>
    <cellStyle name="40% - Accent1 2 8 5 2" xfId="24476" xr:uid="{00000000-0005-0000-0000-00005C2B0000}"/>
    <cellStyle name="40% - Accent1 2 8 6" xfId="20143" xr:uid="{00000000-0005-0000-0000-00005D2B0000}"/>
    <cellStyle name="40% - Accent1 2 9" xfId="2823" xr:uid="{00000000-0005-0000-0000-00005E2B0000}"/>
    <cellStyle name="40% - Accent1 2 9 2" xfId="2824" xr:uid="{00000000-0005-0000-0000-00005F2B0000}"/>
    <cellStyle name="40% - Accent1 2 9 2 2" xfId="11765" xr:uid="{00000000-0005-0000-0000-0000602B0000}"/>
    <cellStyle name="40% - Accent1 2 9 2 2 2" xfId="25480" xr:uid="{00000000-0005-0000-0000-0000612B0000}"/>
    <cellStyle name="40% - Accent1 2 9 2 3" xfId="20148" xr:uid="{00000000-0005-0000-0000-0000622B0000}"/>
    <cellStyle name="40% - Accent1 2 9 3" xfId="2825" xr:uid="{00000000-0005-0000-0000-0000632B0000}"/>
    <cellStyle name="40% - Accent1 2 9 3 2" xfId="15101" xr:uid="{00000000-0005-0000-0000-0000642B0000}"/>
    <cellStyle name="40% - Accent1 2 9 3 2 2" xfId="28650" xr:uid="{00000000-0005-0000-0000-0000652B0000}"/>
    <cellStyle name="40% - Accent1 2 9 3 3" xfId="20149" xr:uid="{00000000-0005-0000-0000-0000662B0000}"/>
    <cellStyle name="40% - Accent1 2 9 4" xfId="10934" xr:uid="{00000000-0005-0000-0000-0000672B0000}"/>
    <cellStyle name="40% - Accent1 2 9 4 2" xfId="24876" xr:uid="{00000000-0005-0000-0000-0000682B0000}"/>
    <cellStyle name="40% - Accent1 2 9 5" xfId="20147" xr:uid="{00000000-0005-0000-0000-0000692B0000}"/>
    <cellStyle name="40% - Accent1 20" xfId="2826" xr:uid="{00000000-0005-0000-0000-00006A2B0000}"/>
    <cellStyle name="40% - Accent1 20 2" xfId="2827" xr:uid="{00000000-0005-0000-0000-00006B2B0000}"/>
    <cellStyle name="40% - Accent1 20 2 2" xfId="12486" xr:uid="{00000000-0005-0000-0000-00006C2B0000}"/>
    <cellStyle name="40% - Accent1 20 2 2 2" xfId="26198" xr:uid="{00000000-0005-0000-0000-00006D2B0000}"/>
    <cellStyle name="40% - Accent1 20 2 3" xfId="20151" xr:uid="{00000000-0005-0000-0000-00006E2B0000}"/>
    <cellStyle name="40% - Accent1 20 3" xfId="2828" xr:uid="{00000000-0005-0000-0000-00006F2B0000}"/>
    <cellStyle name="40% - Accent1 20 3 2" xfId="15102" xr:uid="{00000000-0005-0000-0000-0000702B0000}"/>
    <cellStyle name="40% - Accent1 20 3 2 2" xfId="28651" xr:uid="{00000000-0005-0000-0000-0000712B0000}"/>
    <cellStyle name="40% - Accent1 20 3 3" xfId="20152" xr:uid="{00000000-0005-0000-0000-0000722B0000}"/>
    <cellStyle name="40% - Accent1 20 4" xfId="10509" xr:uid="{00000000-0005-0000-0000-0000732B0000}"/>
    <cellStyle name="40% - Accent1 20 4 2" xfId="24457" xr:uid="{00000000-0005-0000-0000-0000742B0000}"/>
    <cellStyle name="40% - Accent1 20 5" xfId="20150" xr:uid="{00000000-0005-0000-0000-0000752B0000}"/>
    <cellStyle name="40% - Accent1 21" xfId="2829" xr:uid="{00000000-0005-0000-0000-0000762B0000}"/>
    <cellStyle name="40% - Accent1 21 2" xfId="2830" xr:uid="{00000000-0005-0000-0000-0000772B0000}"/>
    <cellStyle name="40% - Accent1 21 2 2" xfId="12487" xr:uid="{00000000-0005-0000-0000-0000782B0000}"/>
    <cellStyle name="40% - Accent1 21 2 2 2" xfId="26199" xr:uid="{00000000-0005-0000-0000-0000792B0000}"/>
    <cellStyle name="40% - Accent1 21 2 3" xfId="20154" xr:uid="{00000000-0005-0000-0000-00007A2B0000}"/>
    <cellStyle name="40% - Accent1 21 3" xfId="2831" xr:uid="{00000000-0005-0000-0000-00007B2B0000}"/>
    <cellStyle name="40% - Accent1 21 3 2" xfId="15103" xr:uid="{00000000-0005-0000-0000-00007C2B0000}"/>
    <cellStyle name="40% - Accent1 21 3 2 2" xfId="28652" xr:uid="{00000000-0005-0000-0000-00007D2B0000}"/>
    <cellStyle name="40% - Accent1 21 3 3" xfId="20155" xr:uid="{00000000-0005-0000-0000-00007E2B0000}"/>
    <cellStyle name="40% - Accent1 21 4" xfId="10923" xr:uid="{00000000-0005-0000-0000-00007F2B0000}"/>
    <cellStyle name="40% - Accent1 21 4 2" xfId="24865" xr:uid="{00000000-0005-0000-0000-0000802B0000}"/>
    <cellStyle name="40% - Accent1 21 5" xfId="20153" xr:uid="{00000000-0005-0000-0000-0000812B0000}"/>
    <cellStyle name="40% - Accent1 22" xfId="2832" xr:uid="{00000000-0005-0000-0000-0000822B0000}"/>
    <cellStyle name="40% - Accent1 22 2" xfId="11745" xr:uid="{00000000-0005-0000-0000-0000832B0000}"/>
    <cellStyle name="40% - Accent1 22 2 2" xfId="25460" xr:uid="{00000000-0005-0000-0000-0000842B0000}"/>
    <cellStyle name="40% - Accent1 22 3" xfId="20156" xr:uid="{00000000-0005-0000-0000-0000852B0000}"/>
    <cellStyle name="40% - Accent1 23" xfId="2833" xr:uid="{00000000-0005-0000-0000-0000862B0000}"/>
    <cellStyle name="40% - Accent1 23 2" xfId="12712" xr:uid="{00000000-0005-0000-0000-0000872B0000}"/>
    <cellStyle name="40% - Accent1 23 2 2" xfId="26424" xr:uid="{00000000-0005-0000-0000-0000882B0000}"/>
    <cellStyle name="40% - Accent1 23 3" xfId="20157" xr:uid="{00000000-0005-0000-0000-0000892B0000}"/>
    <cellStyle name="40% - Accent1 24" xfId="2834" xr:uid="{00000000-0005-0000-0000-00008A2B0000}"/>
    <cellStyle name="40% - Accent1 24 2" xfId="13384" xr:uid="{00000000-0005-0000-0000-00008B2B0000}"/>
    <cellStyle name="40% - Accent1 24 2 2" xfId="26933" xr:uid="{00000000-0005-0000-0000-00008C2B0000}"/>
    <cellStyle name="40% - Accent1 24 3" xfId="20158" xr:uid="{00000000-0005-0000-0000-00008D2B0000}"/>
    <cellStyle name="40% - Accent1 25" xfId="2835" xr:uid="{00000000-0005-0000-0000-00008E2B0000}"/>
    <cellStyle name="40% - Accent1 25 2" xfId="13965" xr:uid="{00000000-0005-0000-0000-00008F2B0000}"/>
    <cellStyle name="40% - Accent1 25 2 2" xfId="27514" xr:uid="{00000000-0005-0000-0000-0000902B0000}"/>
    <cellStyle name="40% - Accent1 25 3" xfId="20159" xr:uid="{00000000-0005-0000-0000-0000912B0000}"/>
    <cellStyle name="40% - Accent1 26" xfId="2836" xr:uid="{00000000-0005-0000-0000-0000922B0000}"/>
    <cellStyle name="40% - Accent1 26 2" xfId="15060" xr:uid="{00000000-0005-0000-0000-0000932B0000}"/>
    <cellStyle name="40% - Accent1 26 2 2" xfId="28609" xr:uid="{00000000-0005-0000-0000-0000942B0000}"/>
    <cellStyle name="40% - Accent1 26 3" xfId="20160" xr:uid="{00000000-0005-0000-0000-0000952B0000}"/>
    <cellStyle name="40% - Accent1 27" xfId="2837" xr:uid="{00000000-0005-0000-0000-0000962B0000}"/>
    <cellStyle name="40% - Accent1 27 2" xfId="15835" xr:uid="{00000000-0005-0000-0000-0000972B0000}"/>
    <cellStyle name="40% - Accent1 27 2 2" xfId="29242" xr:uid="{00000000-0005-0000-0000-0000982B0000}"/>
    <cellStyle name="40% - Accent1 27 3" xfId="20161" xr:uid="{00000000-0005-0000-0000-0000992B0000}"/>
    <cellStyle name="40% - Accent1 28" xfId="2838" xr:uid="{00000000-0005-0000-0000-00009A2B0000}"/>
    <cellStyle name="40% - Accent1 28 2" xfId="15851" xr:uid="{00000000-0005-0000-0000-00009B2B0000}"/>
    <cellStyle name="40% - Accent1 28 2 2" xfId="29258" xr:uid="{00000000-0005-0000-0000-00009C2B0000}"/>
    <cellStyle name="40% - Accent1 28 3" xfId="20162" xr:uid="{00000000-0005-0000-0000-00009D2B0000}"/>
    <cellStyle name="40% - Accent1 29" xfId="2839" xr:uid="{00000000-0005-0000-0000-00009E2B0000}"/>
    <cellStyle name="40% - Accent1 29 2" xfId="9197" xr:uid="{00000000-0005-0000-0000-00009F2B0000}"/>
    <cellStyle name="40% - Accent1 29 2 2" xfId="23672" xr:uid="{00000000-0005-0000-0000-0000A02B0000}"/>
    <cellStyle name="40% - Accent1 29 3" xfId="20163" xr:uid="{00000000-0005-0000-0000-0000A12B0000}"/>
    <cellStyle name="40% - Accent1 3" xfId="2840" xr:uid="{00000000-0005-0000-0000-0000A22B0000}"/>
    <cellStyle name="40% - Accent1 3 10" xfId="2841" xr:uid="{00000000-0005-0000-0000-0000A32B0000}"/>
    <cellStyle name="40% - Accent1 3 10 2" xfId="14040" xr:uid="{00000000-0005-0000-0000-0000A42B0000}"/>
    <cellStyle name="40% - Accent1 3 10 2 2" xfId="27589" xr:uid="{00000000-0005-0000-0000-0000A52B0000}"/>
    <cellStyle name="40% - Accent1 3 10 3" xfId="20165" xr:uid="{00000000-0005-0000-0000-0000A62B0000}"/>
    <cellStyle name="40% - Accent1 3 11" xfId="2842" xr:uid="{00000000-0005-0000-0000-0000A72B0000}"/>
    <cellStyle name="40% - Accent1 3 11 2" xfId="15104" xr:uid="{00000000-0005-0000-0000-0000A82B0000}"/>
    <cellStyle name="40% - Accent1 3 11 2 2" xfId="28653" xr:uid="{00000000-0005-0000-0000-0000A92B0000}"/>
    <cellStyle name="40% - Accent1 3 11 3" xfId="20166" xr:uid="{00000000-0005-0000-0000-0000AA2B0000}"/>
    <cellStyle name="40% - Accent1 3 12" xfId="2843" xr:uid="{00000000-0005-0000-0000-0000AB2B0000}"/>
    <cellStyle name="40% - Accent1 3 12 2" xfId="15926" xr:uid="{00000000-0005-0000-0000-0000AC2B0000}"/>
    <cellStyle name="40% - Accent1 3 12 2 2" xfId="29333" xr:uid="{00000000-0005-0000-0000-0000AD2B0000}"/>
    <cellStyle name="40% - Accent1 3 12 3" xfId="20167" xr:uid="{00000000-0005-0000-0000-0000AE2B0000}"/>
    <cellStyle name="40% - Accent1 3 13" xfId="9227" xr:uid="{00000000-0005-0000-0000-0000AF2B0000}"/>
    <cellStyle name="40% - Accent1 3 13 2" xfId="23702" xr:uid="{00000000-0005-0000-0000-0000B02B0000}"/>
    <cellStyle name="40% - Accent1 3 14" xfId="20164" xr:uid="{00000000-0005-0000-0000-0000B12B0000}"/>
    <cellStyle name="40% - Accent1 3 2" xfId="2844" xr:uid="{00000000-0005-0000-0000-0000B22B0000}"/>
    <cellStyle name="40% - Accent1 3 2 10" xfId="2845" xr:uid="{00000000-0005-0000-0000-0000B32B0000}"/>
    <cellStyle name="40% - Accent1 3 2 10 2" xfId="16069" xr:uid="{00000000-0005-0000-0000-0000B42B0000}"/>
    <cellStyle name="40% - Accent1 3 2 10 2 2" xfId="29476" xr:uid="{00000000-0005-0000-0000-0000B52B0000}"/>
    <cellStyle name="40% - Accent1 3 2 10 3" xfId="20169" xr:uid="{00000000-0005-0000-0000-0000B62B0000}"/>
    <cellStyle name="40% - Accent1 3 2 11" xfId="9228" xr:uid="{00000000-0005-0000-0000-0000B72B0000}"/>
    <cellStyle name="40% - Accent1 3 2 11 2" xfId="23703" xr:uid="{00000000-0005-0000-0000-0000B82B0000}"/>
    <cellStyle name="40% - Accent1 3 2 12" xfId="20168" xr:uid="{00000000-0005-0000-0000-0000B92B0000}"/>
    <cellStyle name="40% - Accent1 3 2 2" xfId="2846" xr:uid="{00000000-0005-0000-0000-0000BA2B0000}"/>
    <cellStyle name="40% - Accent1 3 2 2 10" xfId="9229" xr:uid="{00000000-0005-0000-0000-0000BB2B0000}"/>
    <cellStyle name="40% - Accent1 3 2 2 10 2" xfId="23704" xr:uid="{00000000-0005-0000-0000-0000BC2B0000}"/>
    <cellStyle name="40% - Accent1 3 2 2 11" xfId="20170" xr:uid="{00000000-0005-0000-0000-0000BD2B0000}"/>
    <cellStyle name="40% - Accent1 3 2 2 2" xfId="2847" xr:uid="{00000000-0005-0000-0000-0000BE2B0000}"/>
    <cellStyle name="40% - Accent1 3 2 2 2 2" xfId="2848" xr:uid="{00000000-0005-0000-0000-0000BF2B0000}"/>
    <cellStyle name="40% - Accent1 3 2 2 2 2 2" xfId="10956" xr:uid="{00000000-0005-0000-0000-0000C02B0000}"/>
    <cellStyle name="40% - Accent1 3 2 2 2 2 2 2" xfId="24898" xr:uid="{00000000-0005-0000-0000-0000C12B0000}"/>
    <cellStyle name="40% - Accent1 3 2 2 2 2 3" xfId="20172" xr:uid="{00000000-0005-0000-0000-0000C22B0000}"/>
    <cellStyle name="40% - Accent1 3 2 2 2 3" xfId="2849" xr:uid="{00000000-0005-0000-0000-0000C32B0000}"/>
    <cellStyle name="40% - Accent1 3 2 2 2 3 2" xfId="12781" xr:uid="{00000000-0005-0000-0000-0000C42B0000}"/>
    <cellStyle name="40% - Accent1 3 2 2 2 3 2 2" xfId="26493" xr:uid="{00000000-0005-0000-0000-0000C52B0000}"/>
    <cellStyle name="40% - Accent1 3 2 2 2 3 3" xfId="20173" xr:uid="{00000000-0005-0000-0000-0000C62B0000}"/>
    <cellStyle name="40% - Accent1 3 2 2 2 4" xfId="2850" xr:uid="{00000000-0005-0000-0000-0000C72B0000}"/>
    <cellStyle name="40% - Accent1 3 2 2 2 4 2" xfId="15107" xr:uid="{00000000-0005-0000-0000-0000C82B0000}"/>
    <cellStyle name="40% - Accent1 3 2 2 2 4 2 2" xfId="28656" xr:uid="{00000000-0005-0000-0000-0000C92B0000}"/>
    <cellStyle name="40% - Accent1 3 2 2 2 4 3" xfId="20174" xr:uid="{00000000-0005-0000-0000-0000CA2B0000}"/>
    <cellStyle name="40% - Accent1 3 2 2 2 5" xfId="2851" xr:uid="{00000000-0005-0000-0000-0000CB2B0000}"/>
    <cellStyle name="40% - Accent1 3 2 2 2 5 2" xfId="16939" xr:uid="{00000000-0005-0000-0000-0000CC2B0000}"/>
    <cellStyle name="40% - Accent1 3 2 2 2 5 2 2" xfId="30346" xr:uid="{00000000-0005-0000-0000-0000CD2B0000}"/>
    <cellStyle name="40% - Accent1 3 2 2 2 5 3" xfId="20175" xr:uid="{00000000-0005-0000-0000-0000CE2B0000}"/>
    <cellStyle name="40% - Accent1 3 2 2 2 6" xfId="9230" xr:uid="{00000000-0005-0000-0000-0000CF2B0000}"/>
    <cellStyle name="40% - Accent1 3 2 2 2 6 2" xfId="23705" xr:uid="{00000000-0005-0000-0000-0000D02B0000}"/>
    <cellStyle name="40% - Accent1 3 2 2 2 7" xfId="20171" xr:uid="{00000000-0005-0000-0000-0000D12B0000}"/>
    <cellStyle name="40% - Accent1 3 2 2 3" xfId="2852" xr:uid="{00000000-0005-0000-0000-0000D22B0000}"/>
    <cellStyle name="40% - Accent1 3 2 2 3 2" xfId="2853" xr:uid="{00000000-0005-0000-0000-0000D32B0000}"/>
    <cellStyle name="40% - Accent1 3 2 2 3 2 2" xfId="15108" xr:uid="{00000000-0005-0000-0000-0000D42B0000}"/>
    <cellStyle name="40% - Accent1 3 2 2 3 2 2 2" xfId="28657" xr:uid="{00000000-0005-0000-0000-0000D52B0000}"/>
    <cellStyle name="40% - Accent1 3 2 2 3 2 3" xfId="20177" xr:uid="{00000000-0005-0000-0000-0000D62B0000}"/>
    <cellStyle name="40% - Accent1 3 2 2 3 3" xfId="10955" xr:uid="{00000000-0005-0000-0000-0000D72B0000}"/>
    <cellStyle name="40% - Accent1 3 2 2 3 3 2" xfId="24897" xr:uid="{00000000-0005-0000-0000-0000D82B0000}"/>
    <cellStyle name="40% - Accent1 3 2 2 3 4" xfId="20176" xr:uid="{00000000-0005-0000-0000-0000D92B0000}"/>
    <cellStyle name="40% - Accent1 3 2 2 4" xfId="2854" xr:uid="{00000000-0005-0000-0000-0000DA2B0000}"/>
    <cellStyle name="40% - Accent1 3 2 2 4 2" xfId="12327" xr:uid="{00000000-0005-0000-0000-0000DB2B0000}"/>
    <cellStyle name="40% - Accent1 3 2 2 4 2 2" xfId="26039" xr:uid="{00000000-0005-0000-0000-0000DC2B0000}"/>
    <cellStyle name="40% - Accent1 3 2 2 4 3" xfId="20178" xr:uid="{00000000-0005-0000-0000-0000DD2B0000}"/>
    <cellStyle name="40% - Accent1 3 2 2 5" xfId="2855" xr:uid="{00000000-0005-0000-0000-0000DE2B0000}"/>
    <cellStyle name="40% - Accent1 3 2 2 5 2" xfId="12743" xr:uid="{00000000-0005-0000-0000-0000DF2B0000}"/>
    <cellStyle name="40% - Accent1 3 2 2 5 2 2" xfId="26455" xr:uid="{00000000-0005-0000-0000-0000E02B0000}"/>
    <cellStyle name="40% - Accent1 3 2 2 5 3" xfId="20179" xr:uid="{00000000-0005-0000-0000-0000E12B0000}"/>
    <cellStyle name="40% - Accent1 3 2 2 6" xfId="2856" xr:uid="{00000000-0005-0000-0000-0000E22B0000}"/>
    <cellStyle name="40% - Accent1 3 2 2 6 2" xfId="13891" xr:uid="{00000000-0005-0000-0000-0000E32B0000}"/>
    <cellStyle name="40% - Accent1 3 2 2 6 2 2" xfId="27440" xr:uid="{00000000-0005-0000-0000-0000E42B0000}"/>
    <cellStyle name="40% - Accent1 3 2 2 6 3" xfId="20180" xr:uid="{00000000-0005-0000-0000-0000E52B0000}"/>
    <cellStyle name="40% - Accent1 3 2 2 7" xfId="2857" xr:uid="{00000000-0005-0000-0000-0000E62B0000}"/>
    <cellStyle name="40% - Accent1 3 2 2 7 2" xfId="14472" xr:uid="{00000000-0005-0000-0000-0000E72B0000}"/>
    <cellStyle name="40% - Accent1 3 2 2 7 2 2" xfId="28021" xr:uid="{00000000-0005-0000-0000-0000E82B0000}"/>
    <cellStyle name="40% - Accent1 3 2 2 7 3" xfId="20181" xr:uid="{00000000-0005-0000-0000-0000E92B0000}"/>
    <cellStyle name="40% - Accent1 3 2 2 8" xfId="2858" xr:uid="{00000000-0005-0000-0000-0000EA2B0000}"/>
    <cellStyle name="40% - Accent1 3 2 2 8 2" xfId="15106" xr:uid="{00000000-0005-0000-0000-0000EB2B0000}"/>
    <cellStyle name="40% - Accent1 3 2 2 8 2 2" xfId="28655" xr:uid="{00000000-0005-0000-0000-0000EC2B0000}"/>
    <cellStyle name="40% - Accent1 3 2 2 8 3" xfId="20182" xr:uid="{00000000-0005-0000-0000-0000ED2B0000}"/>
    <cellStyle name="40% - Accent1 3 2 2 9" xfId="2859" xr:uid="{00000000-0005-0000-0000-0000EE2B0000}"/>
    <cellStyle name="40% - Accent1 3 2 2 9 2" xfId="16358" xr:uid="{00000000-0005-0000-0000-0000EF2B0000}"/>
    <cellStyle name="40% - Accent1 3 2 2 9 2 2" xfId="29765" xr:uid="{00000000-0005-0000-0000-0000F02B0000}"/>
    <cellStyle name="40% - Accent1 3 2 2 9 3" xfId="20183" xr:uid="{00000000-0005-0000-0000-0000F12B0000}"/>
    <cellStyle name="40% - Accent1 3 2 3" xfId="2860" xr:uid="{00000000-0005-0000-0000-0000F22B0000}"/>
    <cellStyle name="40% - Accent1 3 2 3 2" xfId="2861" xr:uid="{00000000-0005-0000-0000-0000F32B0000}"/>
    <cellStyle name="40% - Accent1 3 2 3 2 2" xfId="10957" xr:uid="{00000000-0005-0000-0000-0000F42B0000}"/>
    <cellStyle name="40% - Accent1 3 2 3 2 2 2" xfId="24899" xr:uid="{00000000-0005-0000-0000-0000F52B0000}"/>
    <cellStyle name="40% - Accent1 3 2 3 2 3" xfId="20185" xr:uid="{00000000-0005-0000-0000-0000F62B0000}"/>
    <cellStyle name="40% - Accent1 3 2 3 3" xfId="2862" xr:uid="{00000000-0005-0000-0000-0000F72B0000}"/>
    <cellStyle name="40% - Accent1 3 2 3 3 2" xfId="12752" xr:uid="{00000000-0005-0000-0000-0000F82B0000}"/>
    <cellStyle name="40% - Accent1 3 2 3 3 2 2" xfId="26464" xr:uid="{00000000-0005-0000-0000-0000F92B0000}"/>
    <cellStyle name="40% - Accent1 3 2 3 3 3" xfId="20186" xr:uid="{00000000-0005-0000-0000-0000FA2B0000}"/>
    <cellStyle name="40% - Accent1 3 2 3 4" xfId="2863" xr:uid="{00000000-0005-0000-0000-0000FB2B0000}"/>
    <cellStyle name="40% - Accent1 3 2 3 4 2" xfId="15109" xr:uid="{00000000-0005-0000-0000-0000FC2B0000}"/>
    <cellStyle name="40% - Accent1 3 2 3 4 2 2" xfId="28658" xr:uid="{00000000-0005-0000-0000-0000FD2B0000}"/>
    <cellStyle name="40% - Accent1 3 2 3 4 3" xfId="20187" xr:uid="{00000000-0005-0000-0000-0000FE2B0000}"/>
    <cellStyle name="40% - Accent1 3 2 3 5" xfId="2864" xr:uid="{00000000-0005-0000-0000-0000FF2B0000}"/>
    <cellStyle name="40% - Accent1 3 2 3 5 2" xfId="16650" xr:uid="{00000000-0005-0000-0000-0000002C0000}"/>
    <cellStyle name="40% - Accent1 3 2 3 5 2 2" xfId="30057" xr:uid="{00000000-0005-0000-0000-0000012C0000}"/>
    <cellStyle name="40% - Accent1 3 2 3 5 3" xfId="20188" xr:uid="{00000000-0005-0000-0000-0000022C0000}"/>
    <cellStyle name="40% - Accent1 3 2 3 6" xfId="9231" xr:uid="{00000000-0005-0000-0000-0000032C0000}"/>
    <cellStyle name="40% - Accent1 3 2 3 6 2" xfId="23706" xr:uid="{00000000-0005-0000-0000-0000042C0000}"/>
    <cellStyle name="40% - Accent1 3 2 3 7" xfId="20184" xr:uid="{00000000-0005-0000-0000-0000052C0000}"/>
    <cellStyle name="40% - Accent1 3 2 4" xfId="2865" xr:uid="{00000000-0005-0000-0000-0000062C0000}"/>
    <cellStyle name="40% - Accent1 3 2 4 2" xfId="2866" xr:uid="{00000000-0005-0000-0000-0000072C0000}"/>
    <cellStyle name="40% - Accent1 3 2 4 2 2" xfId="15110" xr:uid="{00000000-0005-0000-0000-0000082C0000}"/>
    <cellStyle name="40% - Accent1 3 2 4 2 2 2" xfId="28659" xr:uid="{00000000-0005-0000-0000-0000092C0000}"/>
    <cellStyle name="40% - Accent1 3 2 4 2 3" xfId="20190" xr:uid="{00000000-0005-0000-0000-00000A2C0000}"/>
    <cellStyle name="40% - Accent1 3 2 4 3" xfId="10954" xr:uid="{00000000-0005-0000-0000-00000B2C0000}"/>
    <cellStyle name="40% - Accent1 3 2 4 3 2" xfId="24896" xr:uid="{00000000-0005-0000-0000-00000C2C0000}"/>
    <cellStyle name="40% - Accent1 3 2 4 4" xfId="20189" xr:uid="{00000000-0005-0000-0000-00000D2C0000}"/>
    <cellStyle name="40% - Accent1 3 2 5" xfId="2867" xr:uid="{00000000-0005-0000-0000-00000E2C0000}"/>
    <cellStyle name="40% - Accent1 3 2 5 2" xfId="12027" xr:uid="{00000000-0005-0000-0000-00000F2C0000}"/>
    <cellStyle name="40% - Accent1 3 2 5 2 2" xfId="25742" xr:uid="{00000000-0005-0000-0000-0000102C0000}"/>
    <cellStyle name="40% - Accent1 3 2 5 3" xfId="20191" xr:uid="{00000000-0005-0000-0000-0000112C0000}"/>
    <cellStyle name="40% - Accent1 3 2 6" xfId="2868" xr:uid="{00000000-0005-0000-0000-0000122C0000}"/>
    <cellStyle name="40% - Accent1 3 2 6 2" xfId="11893" xr:uid="{00000000-0005-0000-0000-0000132C0000}"/>
    <cellStyle name="40% - Accent1 3 2 6 2 2" xfId="25608" xr:uid="{00000000-0005-0000-0000-0000142C0000}"/>
    <cellStyle name="40% - Accent1 3 2 6 3" xfId="20192" xr:uid="{00000000-0005-0000-0000-0000152C0000}"/>
    <cellStyle name="40% - Accent1 3 2 7" xfId="2869" xr:uid="{00000000-0005-0000-0000-0000162C0000}"/>
    <cellStyle name="40% - Accent1 3 2 7 2" xfId="13602" xr:uid="{00000000-0005-0000-0000-0000172C0000}"/>
    <cellStyle name="40% - Accent1 3 2 7 2 2" xfId="27151" xr:uid="{00000000-0005-0000-0000-0000182C0000}"/>
    <cellStyle name="40% - Accent1 3 2 7 3" xfId="20193" xr:uid="{00000000-0005-0000-0000-0000192C0000}"/>
    <cellStyle name="40% - Accent1 3 2 8" xfId="2870" xr:uid="{00000000-0005-0000-0000-00001A2C0000}"/>
    <cellStyle name="40% - Accent1 3 2 8 2" xfId="14183" xr:uid="{00000000-0005-0000-0000-00001B2C0000}"/>
    <cellStyle name="40% - Accent1 3 2 8 2 2" xfId="27732" xr:uid="{00000000-0005-0000-0000-00001C2C0000}"/>
    <cellStyle name="40% - Accent1 3 2 8 3" xfId="20194" xr:uid="{00000000-0005-0000-0000-00001D2C0000}"/>
    <cellStyle name="40% - Accent1 3 2 9" xfId="2871" xr:uid="{00000000-0005-0000-0000-00001E2C0000}"/>
    <cellStyle name="40% - Accent1 3 2 9 2" xfId="15105" xr:uid="{00000000-0005-0000-0000-00001F2C0000}"/>
    <cellStyle name="40% - Accent1 3 2 9 2 2" xfId="28654" xr:uid="{00000000-0005-0000-0000-0000202C0000}"/>
    <cellStyle name="40% - Accent1 3 2 9 3" xfId="20195" xr:uid="{00000000-0005-0000-0000-0000212C0000}"/>
    <cellStyle name="40% - Accent1 3 3" xfId="2872" xr:uid="{00000000-0005-0000-0000-0000222C0000}"/>
    <cellStyle name="40% - Accent1 3 3 10" xfId="9232" xr:uid="{00000000-0005-0000-0000-0000232C0000}"/>
    <cellStyle name="40% - Accent1 3 3 10 2" xfId="23707" xr:uid="{00000000-0005-0000-0000-0000242C0000}"/>
    <cellStyle name="40% - Accent1 3 3 11" xfId="20196" xr:uid="{00000000-0005-0000-0000-0000252C0000}"/>
    <cellStyle name="40% - Accent1 3 3 2" xfId="2873" xr:uid="{00000000-0005-0000-0000-0000262C0000}"/>
    <cellStyle name="40% - Accent1 3 3 2 2" xfId="2874" xr:uid="{00000000-0005-0000-0000-0000272C0000}"/>
    <cellStyle name="40% - Accent1 3 3 2 2 2" xfId="10959" xr:uid="{00000000-0005-0000-0000-0000282C0000}"/>
    <cellStyle name="40% - Accent1 3 3 2 2 2 2" xfId="24901" xr:uid="{00000000-0005-0000-0000-0000292C0000}"/>
    <cellStyle name="40% - Accent1 3 3 2 2 3" xfId="20198" xr:uid="{00000000-0005-0000-0000-00002A2C0000}"/>
    <cellStyle name="40% - Accent1 3 3 2 3" xfId="2875" xr:uid="{00000000-0005-0000-0000-00002B2C0000}"/>
    <cellStyle name="40% - Accent1 3 3 2 3 2" xfId="12460" xr:uid="{00000000-0005-0000-0000-00002C2C0000}"/>
    <cellStyle name="40% - Accent1 3 3 2 3 2 2" xfId="26172" xr:uid="{00000000-0005-0000-0000-00002D2C0000}"/>
    <cellStyle name="40% - Accent1 3 3 2 3 3" xfId="20199" xr:uid="{00000000-0005-0000-0000-00002E2C0000}"/>
    <cellStyle name="40% - Accent1 3 3 2 4" xfId="2876" xr:uid="{00000000-0005-0000-0000-00002F2C0000}"/>
    <cellStyle name="40% - Accent1 3 3 2 4 2" xfId="15112" xr:uid="{00000000-0005-0000-0000-0000302C0000}"/>
    <cellStyle name="40% - Accent1 3 3 2 4 2 2" xfId="28661" xr:uid="{00000000-0005-0000-0000-0000312C0000}"/>
    <cellStyle name="40% - Accent1 3 3 2 4 3" xfId="20200" xr:uid="{00000000-0005-0000-0000-0000322C0000}"/>
    <cellStyle name="40% - Accent1 3 3 2 5" xfId="2877" xr:uid="{00000000-0005-0000-0000-0000332C0000}"/>
    <cellStyle name="40% - Accent1 3 3 2 5 2" xfId="16796" xr:uid="{00000000-0005-0000-0000-0000342C0000}"/>
    <cellStyle name="40% - Accent1 3 3 2 5 2 2" xfId="30203" xr:uid="{00000000-0005-0000-0000-0000352C0000}"/>
    <cellStyle name="40% - Accent1 3 3 2 5 3" xfId="20201" xr:uid="{00000000-0005-0000-0000-0000362C0000}"/>
    <cellStyle name="40% - Accent1 3 3 2 6" xfId="9233" xr:uid="{00000000-0005-0000-0000-0000372C0000}"/>
    <cellStyle name="40% - Accent1 3 3 2 6 2" xfId="23708" xr:uid="{00000000-0005-0000-0000-0000382C0000}"/>
    <cellStyle name="40% - Accent1 3 3 2 7" xfId="20197" xr:uid="{00000000-0005-0000-0000-0000392C0000}"/>
    <cellStyle name="40% - Accent1 3 3 3" xfId="2878" xr:uid="{00000000-0005-0000-0000-00003A2C0000}"/>
    <cellStyle name="40% - Accent1 3 3 3 2" xfId="2879" xr:uid="{00000000-0005-0000-0000-00003B2C0000}"/>
    <cellStyle name="40% - Accent1 3 3 3 2 2" xfId="15113" xr:uid="{00000000-0005-0000-0000-00003C2C0000}"/>
    <cellStyle name="40% - Accent1 3 3 3 2 2 2" xfId="28662" xr:uid="{00000000-0005-0000-0000-00003D2C0000}"/>
    <cellStyle name="40% - Accent1 3 3 3 2 3" xfId="20203" xr:uid="{00000000-0005-0000-0000-00003E2C0000}"/>
    <cellStyle name="40% - Accent1 3 3 3 3" xfId="10958" xr:uid="{00000000-0005-0000-0000-00003F2C0000}"/>
    <cellStyle name="40% - Accent1 3 3 3 3 2" xfId="24900" xr:uid="{00000000-0005-0000-0000-0000402C0000}"/>
    <cellStyle name="40% - Accent1 3 3 3 4" xfId="20202" xr:uid="{00000000-0005-0000-0000-0000412C0000}"/>
    <cellStyle name="40% - Accent1 3 3 4" xfId="2880" xr:uid="{00000000-0005-0000-0000-0000422C0000}"/>
    <cellStyle name="40% - Accent1 3 3 4 2" xfId="12184" xr:uid="{00000000-0005-0000-0000-0000432C0000}"/>
    <cellStyle name="40% - Accent1 3 3 4 2 2" xfId="25896" xr:uid="{00000000-0005-0000-0000-0000442C0000}"/>
    <cellStyle name="40% - Accent1 3 3 4 3" xfId="20204" xr:uid="{00000000-0005-0000-0000-0000452C0000}"/>
    <cellStyle name="40% - Accent1 3 3 5" xfId="2881" xr:uid="{00000000-0005-0000-0000-0000462C0000}"/>
    <cellStyle name="40% - Accent1 3 3 5 2" xfId="12696" xr:uid="{00000000-0005-0000-0000-0000472C0000}"/>
    <cellStyle name="40% - Accent1 3 3 5 2 2" xfId="26408" xr:uid="{00000000-0005-0000-0000-0000482C0000}"/>
    <cellStyle name="40% - Accent1 3 3 5 3" xfId="20205" xr:uid="{00000000-0005-0000-0000-0000492C0000}"/>
    <cellStyle name="40% - Accent1 3 3 6" xfId="2882" xr:uid="{00000000-0005-0000-0000-00004A2C0000}"/>
    <cellStyle name="40% - Accent1 3 3 6 2" xfId="13748" xr:uid="{00000000-0005-0000-0000-00004B2C0000}"/>
    <cellStyle name="40% - Accent1 3 3 6 2 2" xfId="27297" xr:uid="{00000000-0005-0000-0000-00004C2C0000}"/>
    <cellStyle name="40% - Accent1 3 3 6 3" xfId="20206" xr:uid="{00000000-0005-0000-0000-00004D2C0000}"/>
    <cellStyle name="40% - Accent1 3 3 7" xfId="2883" xr:uid="{00000000-0005-0000-0000-00004E2C0000}"/>
    <cellStyle name="40% - Accent1 3 3 7 2" xfId="14329" xr:uid="{00000000-0005-0000-0000-00004F2C0000}"/>
    <cellStyle name="40% - Accent1 3 3 7 2 2" xfId="27878" xr:uid="{00000000-0005-0000-0000-0000502C0000}"/>
    <cellStyle name="40% - Accent1 3 3 7 3" xfId="20207" xr:uid="{00000000-0005-0000-0000-0000512C0000}"/>
    <cellStyle name="40% - Accent1 3 3 8" xfId="2884" xr:uid="{00000000-0005-0000-0000-0000522C0000}"/>
    <cellStyle name="40% - Accent1 3 3 8 2" xfId="15111" xr:uid="{00000000-0005-0000-0000-0000532C0000}"/>
    <cellStyle name="40% - Accent1 3 3 8 2 2" xfId="28660" xr:uid="{00000000-0005-0000-0000-0000542C0000}"/>
    <cellStyle name="40% - Accent1 3 3 8 3" xfId="20208" xr:uid="{00000000-0005-0000-0000-0000552C0000}"/>
    <cellStyle name="40% - Accent1 3 3 9" xfId="2885" xr:uid="{00000000-0005-0000-0000-0000562C0000}"/>
    <cellStyle name="40% - Accent1 3 3 9 2" xfId="16215" xr:uid="{00000000-0005-0000-0000-0000572C0000}"/>
    <cellStyle name="40% - Accent1 3 3 9 2 2" xfId="29622" xr:uid="{00000000-0005-0000-0000-0000582C0000}"/>
    <cellStyle name="40% - Accent1 3 3 9 3" xfId="20209" xr:uid="{00000000-0005-0000-0000-0000592C0000}"/>
    <cellStyle name="40% - Accent1 3 4" xfId="2886" xr:uid="{00000000-0005-0000-0000-00005A2C0000}"/>
    <cellStyle name="40% - Accent1 3 4 2" xfId="2887" xr:uid="{00000000-0005-0000-0000-00005B2C0000}"/>
    <cellStyle name="40% - Accent1 3 4 2 2" xfId="10960" xr:uid="{00000000-0005-0000-0000-00005C2C0000}"/>
    <cellStyle name="40% - Accent1 3 4 2 2 2" xfId="24902" xr:uid="{00000000-0005-0000-0000-00005D2C0000}"/>
    <cellStyle name="40% - Accent1 3 4 2 3" xfId="20211" xr:uid="{00000000-0005-0000-0000-00005E2C0000}"/>
    <cellStyle name="40% - Accent1 3 4 3" xfId="2888" xr:uid="{00000000-0005-0000-0000-00005F2C0000}"/>
    <cellStyle name="40% - Accent1 3 4 3 2" xfId="12589" xr:uid="{00000000-0005-0000-0000-0000602C0000}"/>
    <cellStyle name="40% - Accent1 3 4 3 2 2" xfId="26301" xr:uid="{00000000-0005-0000-0000-0000612C0000}"/>
    <cellStyle name="40% - Accent1 3 4 3 3" xfId="20212" xr:uid="{00000000-0005-0000-0000-0000622C0000}"/>
    <cellStyle name="40% - Accent1 3 4 4" xfId="2889" xr:uid="{00000000-0005-0000-0000-0000632C0000}"/>
    <cellStyle name="40% - Accent1 3 4 4 2" xfId="15114" xr:uid="{00000000-0005-0000-0000-0000642C0000}"/>
    <cellStyle name="40% - Accent1 3 4 4 2 2" xfId="28663" xr:uid="{00000000-0005-0000-0000-0000652C0000}"/>
    <cellStyle name="40% - Accent1 3 4 4 3" xfId="20213" xr:uid="{00000000-0005-0000-0000-0000662C0000}"/>
    <cellStyle name="40% - Accent1 3 4 5" xfId="2890" xr:uid="{00000000-0005-0000-0000-0000672C0000}"/>
    <cellStyle name="40% - Accent1 3 4 5 2" xfId="17143" xr:uid="{00000000-0005-0000-0000-0000682C0000}"/>
    <cellStyle name="40% - Accent1 3 4 5 2 2" xfId="30502" xr:uid="{00000000-0005-0000-0000-0000692C0000}"/>
    <cellStyle name="40% - Accent1 3 4 5 3" xfId="20214" xr:uid="{00000000-0005-0000-0000-00006A2C0000}"/>
    <cellStyle name="40% - Accent1 3 4 6" xfId="9234" xr:uid="{00000000-0005-0000-0000-00006B2C0000}"/>
    <cellStyle name="40% - Accent1 3 4 6 2" xfId="23709" xr:uid="{00000000-0005-0000-0000-00006C2C0000}"/>
    <cellStyle name="40% - Accent1 3 4 7" xfId="20210" xr:uid="{00000000-0005-0000-0000-00006D2C0000}"/>
    <cellStyle name="40% - Accent1 3 5" xfId="2891" xr:uid="{00000000-0005-0000-0000-00006E2C0000}"/>
    <cellStyle name="40% - Accent1 3 5 2" xfId="2892" xr:uid="{00000000-0005-0000-0000-00006F2C0000}"/>
    <cellStyle name="40% - Accent1 3 5 2 2" xfId="10961" xr:uid="{00000000-0005-0000-0000-0000702C0000}"/>
    <cellStyle name="40% - Accent1 3 5 2 2 2" xfId="24903" xr:uid="{00000000-0005-0000-0000-0000712C0000}"/>
    <cellStyle name="40% - Accent1 3 5 2 3" xfId="20216" xr:uid="{00000000-0005-0000-0000-0000722C0000}"/>
    <cellStyle name="40% - Accent1 3 5 3" xfId="2893" xr:uid="{00000000-0005-0000-0000-0000732C0000}"/>
    <cellStyle name="40% - Accent1 3 5 3 2" xfId="12410" xr:uid="{00000000-0005-0000-0000-0000742C0000}"/>
    <cellStyle name="40% - Accent1 3 5 3 2 2" xfId="26122" xr:uid="{00000000-0005-0000-0000-0000752C0000}"/>
    <cellStyle name="40% - Accent1 3 5 3 3" xfId="20217" xr:uid="{00000000-0005-0000-0000-0000762C0000}"/>
    <cellStyle name="40% - Accent1 3 5 4" xfId="2894" xr:uid="{00000000-0005-0000-0000-0000772C0000}"/>
    <cellStyle name="40% - Accent1 3 5 4 2" xfId="15115" xr:uid="{00000000-0005-0000-0000-0000782C0000}"/>
    <cellStyle name="40% - Accent1 3 5 4 2 2" xfId="28664" xr:uid="{00000000-0005-0000-0000-0000792C0000}"/>
    <cellStyle name="40% - Accent1 3 5 4 3" xfId="20218" xr:uid="{00000000-0005-0000-0000-00007A2C0000}"/>
    <cellStyle name="40% - Accent1 3 5 5" xfId="2895" xr:uid="{00000000-0005-0000-0000-00007B2C0000}"/>
    <cellStyle name="40% - Accent1 3 5 5 2" xfId="17232" xr:uid="{00000000-0005-0000-0000-00007C2C0000}"/>
    <cellStyle name="40% - Accent1 3 5 5 2 2" xfId="30591" xr:uid="{00000000-0005-0000-0000-00007D2C0000}"/>
    <cellStyle name="40% - Accent1 3 5 5 3" xfId="20219" xr:uid="{00000000-0005-0000-0000-00007E2C0000}"/>
    <cellStyle name="40% - Accent1 3 5 6" xfId="9235" xr:uid="{00000000-0005-0000-0000-00007F2C0000}"/>
    <cellStyle name="40% - Accent1 3 5 6 2" xfId="23710" xr:uid="{00000000-0005-0000-0000-0000802C0000}"/>
    <cellStyle name="40% - Accent1 3 5 7" xfId="20215" xr:uid="{00000000-0005-0000-0000-0000812C0000}"/>
    <cellStyle name="40% - Accent1 3 6" xfId="2896" xr:uid="{00000000-0005-0000-0000-0000822C0000}"/>
    <cellStyle name="40% - Accent1 3 6 2" xfId="2897" xr:uid="{00000000-0005-0000-0000-0000832C0000}"/>
    <cellStyle name="40% - Accent1 3 6 2 2" xfId="15116" xr:uid="{00000000-0005-0000-0000-0000842C0000}"/>
    <cellStyle name="40% - Accent1 3 6 2 2 2" xfId="28665" xr:uid="{00000000-0005-0000-0000-0000852C0000}"/>
    <cellStyle name="40% - Accent1 3 6 2 3" xfId="20221" xr:uid="{00000000-0005-0000-0000-0000862C0000}"/>
    <cellStyle name="40% - Accent1 3 6 3" xfId="2898" xr:uid="{00000000-0005-0000-0000-0000872C0000}"/>
    <cellStyle name="40% - Accent1 3 6 3 2" xfId="16507" xr:uid="{00000000-0005-0000-0000-0000882C0000}"/>
    <cellStyle name="40% - Accent1 3 6 3 2 2" xfId="29914" xr:uid="{00000000-0005-0000-0000-0000892C0000}"/>
    <cellStyle name="40% - Accent1 3 6 3 3" xfId="20222" xr:uid="{00000000-0005-0000-0000-00008A2C0000}"/>
    <cellStyle name="40% - Accent1 3 6 4" xfId="10953" xr:uid="{00000000-0005-0000-0000-00008B2C0000}"/>
    <cellStyle name="40% - Accent1 3 6 4 2" xfId="24895" xr:uid="{00000000-0005-0000-0000-00008C2C0000}"/>
    <cellStyle name="40% - Accent1 3 6 5" xfId="20220" xr:uid="{00000000-0005-0000-0000-00008D2C0000}"/>
    <cellStyle name="40% - Accent1 3 7" xfId="2899" xr:uid="{00000000-0005-0000-0000-00008E2C0000}"/>
    <cellStyle name="40% - Accent1 3 7 2" xfId="11879" xr:uid="{00000000-0005-0000-0000-00008F2C0000}"/>
    <cellStyle name="40% - Accent1 3 7 2 2" xfId="25594" xr:uid="{00000000-0005-0000-0000-0000902C0000}"/>
    <cellStyle name="40% - Accent1 3 7 3" xfId="20223" xr:uid="{00000000-0005-0000-0000-0000912C0000}"/>
    <cellStyle name="40% - Accent1 3 8" xfId="2900" xr:uid="{00000000-0005-0000-0000-0000922C0000}"/>
    <cellStyle name="40% - Accent1 3 8 2" xfId="11756" xr:uid="{00000000-0005-0000-0000-0000932C0000}"/>
    <cellStyle name="40% - Accent1 3 8 2 2" xfId="25471" xr:uid="{00000000-0005-0000-0000-0000942C0000}"/>
    <cellStyle name="40% - Accent1 3 8 3" xfId="20224" xr:uid="{00000000-0005-0000-0000-0000952C0000}"/>
    <cellStyle name="40% - Accent1 3 9" xfId="2901" xr:uid="{00000000-0005-0000-0000-0000962C0000}"/>
    <cellStyle name="40% - Accent1 3 9 2" xfId="13459" xr:uid="{00000000-0005-0000-0000-0000972C0000}"/>
    <cellStyle name="40% - Accent1 3 9 2 2" xfId="27008" xr:uid="{00000000-0005-0000-0000-0000982C0000}"/>
    <cellStyle name="40% - Accent1 3 9 3" xfId="20225" xr:uid="{00000000-0005-0000-0000-0000992C0000}"/>
    <cellStyle name="40% - Accent1 30" xfId="23247" xr:uid="{00000000-0005-0000-0000-00009A2C0000}"/>
    <cellStyle name="40% - Accent1 4" xfId="2902" xr:uid="{00000000-0005-0000-0000-00009B2C0000}"/>
    <cellStyle name="40% - Accent1 4 10" xfId="2903" xr:uid="{00000000-0005-0000-0000-00009C2C0000}"/>
    <cellStyle name="40% - Accent1 4 10 2" xfId="15117" xr:uid="{00000000-0005-0000-0000-00009D2C0000}"/>
    <cellStyle name="40% - Accent1 4 10 2 2" xfId="28666" xr:uid="{00000000-0005-0000-0000-00009E2C0000}"/>
    <cellStyle name="40% - Accent1 4 10 3" xfId="20227" xr:uid="{00000000-0005-0000-0000-00009F2C0000}"/>
    <cellStyle name="40% - Accent1 4 11" xfId="2904" xr:uid="{00000000-0005-0000-0000-0000A02C0000}"/>
    <cellStyle name="40% - Accent1 4 11 2" xfId="15885" xr:uid="{00000000-0005-0000-0000-0000A12C0000}"/>
    <cellStyle name="40% - Accent1 4 11 2 2" xfId="29292" xr:uid="{00000000-0005-0000-0000-0000A22C0000}"/>
    <cellStyle name="40% - Accent1 4 11 3" xfId="20228" xr:uid="{00000000-0005-0000-0000-0000A32C0000}"/>
    <cellStyle name="40% - Accent1 4 12" xfId="9236" xr:uid="{00000000-0005-0000-0000-0000A42C0000}"/>
    <cellStyle name="40% - Accent1 4 12 2" xfId="23711" xr:uid="{00000000-0005-0000-0000-0000A52C0000}"/>
    <cellStyle name="40% - Accent1 4 13" xfId="20226" xr:uid="{00000000-0005-0000-0000-0000A62C0000}"/>
    <cellStyle name="40% - Accent1 4 2" xfId="2905" xr:uid="{00000000-0005-0000-0000-0000A72C0000}"/>
    <cellStyle name="40% - Accent1 4 2 10" xfId="2906" xr:uid="{00000000-0005-0000-0000-0000A82C0000}"/>
    <cellStyle name="40% - Accent1 4 2 10 2" xfId="16028" xr:uid="{00000000-0005-0000-0000-0000A92C0000}"/>
    <cellStyle name="40% - Accent1 4 2 10 2 2" xfId="29435" xr:uid="{00000000-0005-0000-0000-0000AA2C0000}"/>
    <cellStyle name="40% - Accent1 4 2 10 3" xfId="20230" xr:uid="{00000000-0005-0000-0000-0000AB2C0000}"/>
    <cellStyle name="40% - Accent1 4 2 11" xfId="9237" xr:uid="{00000000-0005-0000-0000-0000AC2C0000}"/>
    <cellStyle name="40% - Accent1 4 2 11 2" xfId="23712" xr:uid="{00000000-0005-0000-0000-0000AD2C0000}"/>
    <cellStyle name="40% - Accent1 4 2 12" xfId="20229" xr:uid="{00000000-0005-0000-0000-0000AE2C0000}"/>
    <cellStyle name="40% - Accent1 4 2 2" xfId="2907" xr:uid="{00000000-0005-0000-0000-0000AF2C0000}"/>
    <cellStyle name="40% - Accent1 4 2 2 10" xfId="9238" xr:uid="{00000000-0005-0000-0000-0000B02C0000}"/>
    <cellStyle name="40% - Accent1 4 2 2 10 2" xfId="23713" xr:uid="{00000000-0005-0000-0000-0000B12C0000}"/>
    <cellStyle name="40% - Accent1 4 2 2 11" xfId="20231" xr:uid="{00000000-0005-0000-0000-0000B22C0000}"/>
    <cellStyle name="40% - Accent1 4 2 2 2" xfId="2908" xr:uid="{00000000-0005-0000-0000-0000B32C0000}"/>
    <cellStyle name="40% - Accent1 4 2 2 2 2" xfId="2909" xr:uid="{00000000-0005-0000-0000-0000B42C0000}"/>
    <cellStyle name="40% - Accent1 4 2 2 2 2 2" xfId="10965" xr:uid="{00000000-0005-0000-0000-0000B52C0000}"/>
    <cellStyle name="40% - Accent1 4 2 2 2 2 2 2" xfId="24907" xr:uid="{00000000-0005-0000-0000-0000B62C0000}"/>
    <cellStyle name="40% - Accent1 4 2 2 2 2 3" xfId="20233" xr:uid="{00000000-0005-0000-0000-0000B72C0000}"/>
    <cellStyle name="40% - Accent1 4 2 2 2 3" xfId="2910" xr:uid="{00000000-0005-0000-0000-0000B82C0000}"/>
    <cellStyle name="40% - Accent1 4 2 2 2 3 2" xfId="12519" xr:uid="{00000000-0005-0000-0000-0000B92C0000}"/>
    <cellStyle name="40% - Accent1 4 2 2 2 3 2 2" xfId="26231" xr:uid="{00000000-0005-0000-0000-0000BA2C0000}"/>
    <cellStyle name="40% - Accent1 4 2 2 2 3 3" xfId="20234" xr:uid="{00000000-0005-0000-0000-0000BB2C0000}"/>
    <cellStyle name="40% - Accent1 4 2 2 2 4" xfId="2911" xr:uid="{00000000-0005-0000-0000-0000BC2C0000}"/>
    <cellStyle name="40% - Accent1 4 2 2 2 4 2" xfId="15120" xr:uid="{00000000-0005-0000-0000-0000BD2C0000}"/>
    <cellStyle name="40% - Accent1 4 2 2 2 4 2 2" xfId="28669" xr:uid="{00000000-0005-0000-0000-0000BE2C0000}"/>
    <cellStyle name="40% - Accent1 4 2 2 2 4 3" xfId="20235" xr:uid="{00000000-0005-0000-0000-0000BF2C0000}"/>
    <cellStyle name="40% - Accent1 4 2 2 2 5" xfId="2912" xr:uid="{00000000-0005-0000-0000-0000C02C0000}"/>
    <cellStyle name="40% - Accent1 4 2 2 2 5 2" xfId="16898" xr:uid="{00000000-0005-0000-0000-0000C12C0000}"/>
    <cellStyle name="40% - Accent1 4 2 2 2 5 2 2" xfId="30305" xr:uid="{00000000-0005-0000-0000-0000C22C0000}"/>
    <cellStyle name="40% - Accent1 4 2 2 2 5 3" xfId="20236" xr:uid="{00000000-0005-0000-0000-0000C32C0000}"/>
    <cellStyle name="40% - Accent1 4 2 2 2 6" xfId="9239" xr:uid="{00000000-0005-0000-0000-0000C42C0000}"/>
    <cellStyle name="40% - Accent1 4 2 2 2 6 2" xfId="23714" xr:uid="{00000000-0005-0000-0000-0000C52C0000}"/>
    <cellStyle name="40% - Accent1 4 2 2 2 7" xfId="20232" xr:uid="{00000000-0005-0000-0000-0000C62C0000}"/>
    <cellStyle name="40% - Accent1 4 2 2 3" xfId="2913" xr:uid="{00000000-0005-0000-0000-0000C72C0000}"/>
    <cellStyle name="40% - Accent1 4 2 2 3 2" xfId="2914" xr:uid="{00000000-0005-0000-0000-0000C82C0000}"/>
    <cellStyle name="40% - Accent1 4 2 2 3 2 2" xfId="15121" xr:uid="{00000000-0005-0000-0000-0000C92C0000}"/>
    <cellStyle name="40% - Accent1 4 2 2 3 2 2 2" xfId="28670" xr:uid="{00000000-0005-0000-0000-0000CA2C0000}"/>
    <cellStyle name="40% - Accent1 4 2 2 3 2 3" xfId="20238" xr:uid="{00000000-0005-0000-0000-0000CB2C0000}"/>
    <cellStyle name="40% - Accent1 4 2 2 3 3" xfId="10964" xr:uid="{00000000-0005-0000-0000-0000CC2C0000}"/>
    <cellStyle name="40% - Accent1 4 2 2 3 3 2" xfId="24906" xr:uid="{00000000-0005-0000-0000-0000CD2C0000}"/>
    <cellStyle name="40% - Accent1 4 2 2 3 4" xfId="20237" xr:uid="{00000000-0005-0000-0000-0000CE2C0000}"/>
    <cellStyle name="40% - Accent1 4 2 2 4" xfId="2915" xr:uid="{00000000-0005-0000-0000-0000CF2C0000}"/>
    <cellStyle name="40% - Accent1 4 2 2 4 2" xfId="12286" xr:uid="{00000000-0005-0000-0000-0000D02C0000}"/>
    <cellStyle name="40% - Accent1 4 2 2 4 2 2" xfId="25998" xr:uid="{00000000-0005-0000-0000-0000D12C0000}"/>
    <cellStyle name="40% - Accent1 4 2 2 4 3" xfId="20239" xr:uid="{00000000-0005-0000-0000-0000D22C0000}"/>
    <cellStyle name="40% - Accent1 4 2 2 5" xfId="2916" xr:uid="{00000000-0005-0000-0000-0000D32C0000}"/>
    <cellStyle name="40% - Accent1 4 2 2 5 2" xfId="11787" xr:uid="{00000000-0005-0000-0000-0000D42C0000}"/>
    <cellStyle name="40% - Accent1 4 2 2 5 2 2" xfId="25502" xr:uid="{00000000-0005-0000-0000-0000D52C0000}"/>
    <cellStyle name="40% - Accent1 4 2 2 5 3" xfId="20240" xr:uid="{00000000-0005-0000-0000-0000D62C0000}"/>
    <cellStyle name="40% - Accent1 4 2 2 6" xfId="2917" xr:uid="{00000000-0005-0000-0000-0000D72C0000}"/>
    <cellStyle name="40% - Accent1 4 2 2 6 2" xfId="13850" xr:uid="{00000000-0005-0000-0000-0000D82C0000}"/>
    <cellStyle name="40% - Accent1 4 2 2 6 2 2" xfId="27399" xr:uid="{00000000-0005-0000-0000-0000D92C0000}"/>
    <cellStyle name="40% - Accent1 4 2 2 6 3" xfId="20241" xr:uid="{00000000-0005-0000-0000-0000DA2C0000}"/>
    <cellStyle name="40% - Accent1 4 2 2 7" xfId="2918" xr:uid="{00000000-0005-0000-0000-0000DB2C0000}"/>
    <cellStyle name="40% - Accent1 4 2 2 7 2" xfId="14431" xr:uid="{00000000-0005-0000-0000-0000DC2C0000}"/>
    <cellStyle name="40% - Accent1 4 2 2 7 2 2" xfId="27980" xr:uid="{00000000-0005-0000-0000-0000DD2C0000}"/>
    <cellStyle name="40% - Accent1 4 2 2 7 3" xfId="20242" xr:uid="{00000000-0005-0000-0000-0000DE2C0000}"/>
    <cellStyle name="40% - Accent1 4 2 2 8" xfId="2919" xr:uid="{00000000-0005-0000-0000-0000DF2C0000}"/>
    <cellStyle name="40% - Accent1 4 2 2 8 2" xfId="15119" xr:uid="{00000000-0005-0000-0000-0000E02C0000}"/>
    <cellStyle name="40% - Accent1 4 2 2 8 2 2" xfId="28668" xr:uid="{00000000-0005-0000-0000-0000E12C0000}"/>
    <cellStyle name="40% - Accent1 4 2 2 8 3" xfId="20243" xr:uid="{00000000-0005-0000-0000-0000E22C0000}"/>
    <cellStyle name="40% - Accent1 4 2 2 9" xfId="2920" xr:uid="{00000000-0005-0000-0000-0000E32C0000}"/>
    <cellStyle name="40% - Accent1 4 2 2 9 2" xfId="16317" xr:uid="{00000000-0005-0000-0000-0000E42C0000}"/>
    <cellStyle name="40% - Accent1 4 2 2 9 2 2" xfId="29724" xr:uid="{00000000-0005-0000-0000-0000E52C0000}"/>
    <cellStyle name="40% - Accent1 4 2 2 9 3" xfId="20244" xr:uid="{00000000-0005-0000-0000-0000E62C0000}"/>
    <cellStyle name="40% - Accent1 4 2 3" xfId="2921" xr:uid="{00000000-0005-0000-0000-0000E72C0000}"/>
    <cellStyle name="40% - Accent1 4 2 3 2" xfId="2922" xr:uid="{00000000-0005-0000-0000-0000E82C0000}"/>
    <cellStyle name="40% - Accent1 4 2 3 2 2" xfId="10966" xr:uid="{00000000-0005-0000-0000-0000E92C0000}"/>
    <cellStyle name="40% - Accent1 4 2 3 2 2 2" xfId="24908" xr:uid="{00000000-0005-0000-0000-0000EA2C0000}"/>
    <cellStyle name="40% - Accent1 4 2 3 2 3" xfId="20246" xr:uid="{00000000-0005-0000-0000-0000EB2C0000}"/>
    <cellStyle name="40% - Accent1 4 2 3 3" xfId="2923" xr:uid="{00000000-0005-0000-0000-0000EC2C0000}"/>
    <cellStyle name="40% - Accent1 4 2 3 3 2" xfId="12443" xr:uid="{00000000-0005-0000-0000-0000ED2C0000}"/>
    <cellStyle name="40% - Accent1 4 2 3 3 2 2" xfId="26155" xr:uid="{00000000-0005-0000-0000-0000EE2C0000}"/>
    <cellStyle name="40% - Accent1 4 2 3 3 3" xfId="20247" xr:uid="{00000000-0005-0000-0000-0000EF2C0000}"/>
    <cellStyle name="40% - Accent1 4 2 3 4" xfId="2924" xr:uid="{00000000-0005-0000-0000-0000F02C0000}"/>
    <cellStyle name="40% - Accent1 4 2 3 4 2" xfId="15122" xr:uid="{00000000-0005-0000-0000-0000F12C0000}"/>
    <cellStyle name="40% - Accent1 4 2 3 4 2 2" xfId="28671" xr:uid="{00000000-0005-0000-0000-0000F22C0000}"/>
    <cellStyle name="40% - Accent1 4 2 3 4 3" xfId="20248" xr:uid="{00000000-0005-0000-0000-0000F32C0000}"/>
    <cellStyle name="40% - Accent1 4 2 3 5" xfId="2925" xr:uid="{00000000-0005-0000-0000-0000F42C0000}"/>
    <cellStyle name="40% - Accent1 4 2 3 5 2" xfId="16609" xr:uid="{00000000-0005-0000-0000-0000F52C0000}"/>
    <cellStyle name="40% - Accent1 4 2 3 5 2 2" xfId="30016" xr:uid="{00000000-0005-0000-0000-0000F62C0000}"/>
    <cellStyle name="40% - Accent1 4 2 3 5 3" xfId="20249" xr:uid="{00000000-0005-0000-0000-0000F72C0000}"/>
    <cellStyle name="40% - Accent1 4 2 3 6" xfId="9240" xr:uid="{00000000-0005-0000-0000-0000F82C0000}"/>
    <cellStyle name="40% - Accent1 4 2 3 6 2" xfId="23715" xr:uid="{00000000-0005-0000-0000-0000F92C0000}"/>
    <cellStyle name="40% - Accent1 4 2 3 7" xfId="20245" xr:uid="{00000000-0005-0000-0000-0000FA2C0000}"/>
    <cellStyle name="40% - Accent1 4 2 4" xfId="2926" xr:uid="{00000000-0005-0000-0000-0000FB2C0000}"/>
    <cellStyle name="40% - Accent1 4 2 4 2" xfId="2927" xr:uid="{00000000-0005-0000-0000-0000FC2C0000}"/>
    <cellStyle name="40% - Accent1 4 2 4 2 2" xfId="15123" xr:uid="{00000000-0005-0000-0000-0000FD2C0000}"/>
    <cellStyle name="40% - Accent1 4 2 4 2 2 2" xfId="28672" xr:uid="{00000000-0005-0000-0000-0000FE2C0000}"/>
    <cellStyle name="40% - Accent1 4 2 4 2 3" xfId="20251" xr:uid="{00000000-0005-0000-0000-0000FF2C0000}"/>
    <cellStyle name="40% - Accent1 4 2 4 3" xfId="10963" xr:uid="{00000000-0005-0000-0000-0000002D0000}"/>
    <cellStyle name="40% - Accent1 4 2 4 3 2" xfId="24905" xr:uid="{00000000-0005-0000-0000-0000012D0000}"/>
    <cellStyle name="40% - Accent1 4 2 4 4" xfId="20250" xr:uid="{00000000-0005-0000-0000-0000022D0000}"/>
    <cellStyle name="40% - Accent1 4 2 5" xfId="2928" xr:uid="{00000000-0005-0000-0000-0000032D0000}"/>
    <cellStyle name="40% - Accent1 4 2 5 2" xfId="11986" xr:uid="{00000000-0005-0000-0000-0000042D0000}"/>
    <cellStyle name="40% - Accent1 4 2 5 2 2" xfId="25701" xr:uid="{00000000-0005-0000-0000-0000052D0000}"/>
    <cellStyle name="40% - Accent1 4 2 5 3" xfId="20252" xr:uid="{00000000-0005-0000-0000-0000062D0000}"/>
    <cellStyle name="40% - Accent1 4 2 6" xfId="2929" xr:uid="{00000000-0005-0000-0000-0000072D0000}"/>
    <cellStyle name="40% - Accent1 4 2 6 2" xfId="12436" xr:uid="{00000000-0005-0000-0000-0000082D0000}"/>
    <cellStyle name="40% - Accent1 4 2 6 2 2" xfId="26148" xr:uid="{00000000-0005-0000-0000-0000092D0000}"/>
    <cellStyle name="40% - Accent1 4 2 6 3" xfId="20253" xr:uid="{00000000-0005-0000-0000-00000A2D0000}"/>
    <cellStyle name="40% - Accent1 4 2 7" xfId="2930" xr:uid="{00000000-0005-0000-0000-00000B2D0000}"/>
    <cellStyle name="40% - Accent1 4 2 7 2" xfId="13561" xr:uid="{00000000-0005-0000-0000-00000C2D0000}"/>
    <cellStyle name="40% - Accent1 4 2 7 2 2" xfId="27110" xr:uid="{00000000-0005-0000-0000-00000D2D0000}"/>
    <cellStyle name="40% - Accent1 4 2 7 3" xfId="20254" xr:uid="{00000000-0005-0000-0000-00000E2D0000}"/>
    <cellStyle name="40% - Accent1 4 2 8" xfId="2931" xr:uid="{00000000-0005-0000-0000-00000F2D0000}"/>
    <cellStyle name="40% - Accent1 4 2 8 2" xfId="14142" xr:uid="{00000000-0005-0000-0000-0000102D0000}"/>
    <cellStyle name="40% - Accent1 4 2 8 2 2" xfId="27691" xr:uid="{00000000-0005-0000-0000-0000112D0000}"/>
    <cellStyle name="40% - Accent1 4 2 8 3" xfId="20255" xr:uid="{00000000-0005-0000-0000-0000122D0000}"/>
    <cellStyle name="40% - Accent1 4 2 9" xfId="2932" xr:uid="{00000000-0005-0000-0000-0000132D0000}"/>
    <cellStyle name="40% - Accent1 4 2 9 2" xfId="15118" xr:uid="{00000000-0005-0000-0000-0000142D0000}"/>
    <cellStyle name="40% - Accent1 4 2 9 2 2" xfId="28667" xr:uid="{00000000-0005-0000-0000-0000152D0000}"/>
    <cellStyle name="40% - Accent1 4 2 9 3" xfId="20256" xr:uid="{00000000-0005-0000-0000-0000162D0000}"/>
    <cellStyle name="40% - Accent1 4 3" xfId="2933" xr:uid="{00000000-0005-0000-0000-0000172D0000}"/>
    <cellStyle name="40% - Accent1 4 3 10" xfId="9241" xr:uid="{00000000-0005-0000-0000-0000182D0000}"/>
    <cellStyle name="40% - Accent1 4 3 10 2" xfId="23716" xr:uid="{00000000-0005-0000-0000-0000192D0000}"/>
    <cellStyle name="40% - Accent1 4 3 11" xfId="20257" xr:uid="{00000000-0005-0000-0000-00001A2D0000}"/>
    <cellStyle name="40% - Accent1 4 3 2" xfId="2934" xr:uid="{00000000-0005-0000-0000-00001B2D0000}"/>
    <cellStyle name="40% - Accent1 4 3 2 2" xfId="2935" xr:uid="{00000000-0005-0000-0000-00001C2D0000}"/>
    <cellStyle name="40% - Accent1 4 3 2 2 2" xfId="10968" xr:uid="{00000000-0005-0000-0000-00001D2D0000}"/>
    <cellStyle name="40% - Accent1 4 3 2 2 2 2" xfId="24910" xr:uid="{00000000-0005-0000-0000-00001E2D0000}"/>
    <cellStyle name="40% - Accent1 4 3 2 2 3" xfId="20259" xr:uid="{00000000-0005-0000-0000-00001F2D0000}"/>
    <cellStyle name="40% - Accent1 4 3 2 3" xfId="2936" xr:uid="{00000000-0005-0000-0000-0000202D0000}"/>
    <cellStyle name="40% - Accent1 4 3 2 3 2" xfId="12478" xr:uid="{00000000-0005-0000-0000-0000212D0000}"/>
    <cellStyle name="40% - Accent1 4 3 2 3 2 2" xfId="26190" xr:uid="{00000000-0005-0000-0000-0000222D0000}"/>
    <cellStyle name="40% - Accent1 4 3 2 3 3" xfId="20260" xr:uid="{00000000-0005-0000-0000-0000232D0000}"/>
    <cellStyle name="40% - Accent1 4 3 2 4" xfId="2937" xr:uid="{00000000-0005-0000-0000-0000242D0000}"/>
    <cellStyle name="40% - Accent1 4 3 2 4 2" xfId="15125" xr:uid="{00000000-0005-0000-0000-0000252D0000}"/>
    <cellStyle name="40% - Accent1 4 3 2 4 2 2" xfId="28674" xr:uid="{00000000-0005-0000-0000-0000262D0000}"/>
    <cellStyle name="40% - Accent1 4 3 2 4 3" xfId="20261" xr:uid="{00000000-0005-0000-0000-0000272D0000}"/>
    <cellStyle name="40% - Accent1 4 3 2 5" xfId="2938" xr:uid="{00000000-0005-0000-0000-0000282D0000}"/>
    <cellStyle name="40% - Accent1 4 3 2 5 2" xfId="16758" xr:uid="{00000000-0005-0000-0000-0000292D0000}"/>
    <cellStyle name="40% - Accent1 4 3 2 5 2 2" xfId="30165" xr:uid="{00000000-0005-0000-0000-00002A2D0000}"/>
    <cellStyle name="40% - Accent1 4 3 2 5 3" xfId="20262" xr:uid="{00000000-0005-0000-0000-00002B2D0000}"/>
    <cellStyle name="40% - Accent1 4 3 2 6" xfId="9242" xr:uid="{00000000-0005-0000-0000-00002C2D0000}"/>
    <cellStyle name="40% - Accent1 4 3 2 6 2" xfId="23717" xr:uid="{00000000-0005-0000-0000-00002D2D0000}"/>
    <cellStyle name="40% - Accent1 4 3 2 7" xfId="20258" xr:uid="{00000000-0005-0000-0000-00002E2D0000}"/>
    <cellStyle name="40% - Accent1 4 3 3" xfId="2939" xr:uid="{00000000-0005-0000-0000-00002F2D0000}"/>
    <cellStyle name="40% - Accent1 4 3 3 2" xfId="2940" xr:uid="{00000000-0005-0000-0000-0000302D0000}"/>
    <cellStyle name="40% - Accent1 4 3 3 2 2" xfId="15126" xr:uid="{00000000-0005-0000-0000-0000312D0000}"/>
    <cellStyle name="40% - Accent1 4 3 3 2 2 2" xfId="28675" xr:uid="{00000000-0005-0000-0000-0000322D0000}"/>
    <cellStyle name="40% - Accent1 4 3 3 2 3" xfId="20264" xr:uid="{00000000-0005-0000-0000-0000332D0000}"/>
    <cellStyle name="40% - Accent1 4 3 3 3" xfId="10967" xr:uid="{00000000-0005-0000-0000-0000342D0000}"/>
    <cellStyle name="40% - Accent1 4 3 3 3 2" xfId="24909" xr:uid="{00000000-0005-0000-0000-0000352D0000}"/>
    <cellStyle name="40% - Accent1 4 3 3 4" xfId="20263" xr:uid="{00000000-0005-0000-0000-0000362D0000}"/>
    <cellStyle name="40% - Accent1 4 3 4" xfId="2941" xr:uid="{00000000-0005-0000-0000-0000372D0000}"/>
    <cellStyle name="40% - Accent1 4 3 4 2" xfId="12146" xr:uid="{00000000-0005-0000-0000-0000382D0000}"/>
    <cellStyle name="40% - Accent1 4 3 4 2 2" xfId="25858" xr:uid="{00000000-0005-0000-0000-0000392D0000}"/>
    <cellStyle name="40% - Accent1 4 3 4 3" xfId="20265" xr:uid="{00000000-0005-0000-0000-00003A2D0000}"/>
    <cellStyle name="40% - Accent1 4 3 5" xfId="2942" xr:uid="{00000000-0005-0000-0000-00003B2D0000}"/>
    <cellStyle name="40% - Accent1 4 3 5 2" xfId="12596" xr:uid="{00000000-0005-0000-0000-00003C2D0000}"/>
    <cellStyle name="40% - Accent1 4 3 5 2 2" xfId="26308" xr:uid="{00000000-0005-0000-0000-00003D2D0000}"/>
    <cellStyle name="40% - Accent1 4 3 5 3" xfId="20266" xr:uid="{00000000-0005-0000-0000-00003E2D0000}"/>
    <cellStyle name="40% - Accent1 4 3 6" xfId="2943" xr:uid="{00000000-0005-0000-0000-00003F2D0000}"/>
    <cellStyle name="40% - Accent1 4 3 6 2" xfId="13710" xr:uid="{00000000-0005-0000-0000-0000402D0000}"/>
    <cellStyle name="40% - Accent1 4 3 6 2 2" xfId="27259" xr:uid="{00000000-0005-0000-0000-0000412D0000}"/>
    <cellStyle name="40% - Accent1 4 3 6 3" xfId="20267" xr:uid="{00000000-0005-0000-0000-0000422D0000}"/>
    <cellStyle name="40% - Accent1 4 3 7" xfId="2944" xr:uid="{00000000-0005-0000-0000-0000432D0000}"/>
    <cellStyle name="40% - Accent1 4 3 7 2" xfId="14291" xr:uid="{00000000-0005-0000-0000-0000442D0000}"/>
    <cellStyle name="40% - Accent1 4 3 7 2 2" xfId="27840" xr:uid="{00000000-0005-0000-0000-0000452D0000}"/>
    <cellStyle name="40% - Accent1 4 3 7 3" xfId="20268" xr:uid="{00000000-0005-0000-0000-0000462D0000}"/>
    <cellStyle name="40% - Accent1 4 3 8" xfId="2945" xr:uid="{00000000-0005-0000-0000-0000472D0000}"/>
    <cellStyle name="40% - Accent1 4 3 8 2" xfId="15124" xr:uid="{00000000-0005-0000-0000-0000482D0000}"/>
    <cellStyle name="40% - Accent1 4 3 8 2 2" xfId="28673" xr:uid="{00000000-0005-0000-0000-0000492D0000}"/>
    <cellStyle name="40% - Accent1 4 3 8 3" xfId="20269" xr:uid="{00000000-0005-0000-0000-00004A2D0000}"/>
    <cellStyle name="40% - Accent1 4 3 9" xfId="2946" xr:uid="{00000000-0005-0000-0000-00004B2D0000}"/>
    <cellStyle name="40% - Accent1 4 3 9 2" xfId="16177" xr:uid="{00000000-0005-0000-0000-00004C2D0000}"/>
    <cellStyle name="40% - Accent1 4 3 9 2 2" xfId="29584" xr:uid="{00000000-0005-0000-0000-00004D2D0000}"/>
    <cellStyle name="40% - Accent1 4 3 9 3" xfId="20270" xr:uid="{00000000-0005-0000-0000-00004E2D0000}"/>
    <cellStyle name="40% - Accent1 4 4" xfId="2947" xr:uid="{00000000-0005-0000-0000-00004F2D0000}"/>
    <cellStyle name="40% - Accent1 4 4 2" xfId="2948" xr:uid="{00000000-0005-0000-0000-0000502D0000}"/>
    <cellStyle name="40% - Accent1 4 4 2 2" xfId="10969" xr:uid="{00000000-0005-0000-0000-0000512D0000}"/>
    <cellStyle name="40% - Accent1 4 4 2 2 2" xfId="24911" xr:uid="{00000000-0005-0000-0000-0000522D0000}"/>
    <cellStyle name="40% - Accent1 4 4 2 3" xfId="20272" xr:uid="{00000000-0005-0000-0000-0000532D0000}"/>
    <cellStyle name="40% - Accent1 4 4 3" xfId="2949" xr:uid="{00000000-0005-0000-0000-0000542D0000}"/>
    <cellStyle name="40% - Accent1 4 4 3 2" xfId="12463" xr:uid="{00000000-0005-0000-0000-0000552D0000}"/>
    <cellStyle name="40% - Accent1 4 4 3 2 2" xfId="26175" xr:uid="{00000000-0005-0000-0000-0000562D0000}"/>
    <cellStyle name="40% - Accent1 4 4 3 3" xfId="20273" xr:uid="{00000000-0005-0000-0000-0000572D0000}"/>
    <cellStyle name="40% - Accent1 4 4 4" xfId="2950" xr:uid="{00000000-0005-0000-0000-0000582D0000}"/>
    <cellStyle name="40% - Accent1 4 4 4 2" xfId="15127" xr:uid="{00000000-0005-0000-0000-0000592D0000}"/>
    <cellStyle name="40% - Accent1 4 4 4 2 2" xfId="28676" xr:uid="{00000000-0005-0000-0000-00005A2D0000}"/>
    <cellStyle name="40% - Accent1 4 4 4 3" xfId="20274" xr:uid="{00000000-0005-0000-0000-00005B2D0000}"/>
    <cellStyle name="40% - Accent1 4 4 5" xfId="2951" xr:uid="{00000000-0005-0000-0000-00005C2D0000}"/>
    <cellStyle name="40% - Accent1 4 4 5 2" xfId="16466" xr:uid="{00000000-0005-0000-0000-00005D2D0000}"/>
    <cellStyle name="40% - Accent1 4 4 5 2 2" xfId="29873" xr:uid="{00000000-0005-0000-0000-00005E2D0000}"/>
    <cellStyle name="40% - Accent1 4 4 5 3" xfId="20275" xr:uid="{00000000-0005-0000-0000-00005F2D0000}"/>
    <cellStyle name="40% - Accent1 4 4 6" xfId="9243" xr:uid="{00000000-0005-0000-0000-0000602D0000}"/>
    <cellStyle name="40% - Accent1 4 4 6 2" xfId="23718" xr:uid="{00000000-0005-0000-0000-0000612D0000}"/>
    <cellStyle name="40% - Accent1 4 4 7" xfId="20271" xr:uid="{00000000-0005-0000-0000-0000622D0000}"/>
    <cellStyle name="40% - Accent1 4 5" xfId="2952" xr:uid="{00000000-0005-0000-0000-0000632D0000}"/>
    <cellStyle name="40% - Accent1 4 5 2" xfId="2953" xr:uid="{00000000-0005-0000-0000-0000642D0000}"/>
    <cellStyle name="40% - Accent1 4 5 2 2" xfId="15128" xr:uid="{00000000-0005-0000-0000-0000652D0000}"/>
    <cellStyle name="40% - Accent1 4 5 2 2 2" xfId="28677" xr:uid="{00000000-0005-0000-0000-0000662D0000}"/>
    <cellStyle name="40% - Accent1 4 5 2 3" xfId="20277" xr:uid="{00000000-0005-0000-0000-0000672D0000}"/>
    <cellStyle name="40% - Accent1 4 5 3" xfId="10962" xr:uid="{00000000-0005-0000-0000-0000682D0000}"/>
    <cellStyle name="40% - Accent1 4 5 3 2" xfId="24904" xr:uid="{00000000-0005-0000-0000-0000692D0000}"/>
    <cellStyle name="40% - Accent1 4 5 4" xfId="20276" xr:uid="{00000000-0005-0000-0000-00006A2D0000}"/>
    <cellStyle name="40% - Accent1 4 6" xfId="2954" xr:uid="{00000000-0005-0000-0000-00006B2D0000}"/>
    <cellStyle name="40% - Accent1 4 6 2" xfId="11817" xr:uid="{00000000-0005-0000-0000-00006C2D0000}"/>
    <cellStyle name="40% - Accent1 4 6 2 2" xfId="25532" xr:uid="{00000000-0005-0000-0000-00006D2D0000}"/>
    <cellStyle name="40% - Accent1 4 6 3" xfId="20278" xr:uid="{00000000-0005-0000-0000-00006E2D0000}"/>
    <cellStyle name="40% - Accent1 4 7" xfId="2955" xr:uid="{00000000-0005-0000-0000-00006F2D0000}"/>
    <cellStyle name="40% - Accent1 4 7 2" xfId="12649" xr:uid="{00000000-0005-0000-0000-0000702D0000}"/>
    <cellStyle name="40% - Accent1 4 7 2 2" xfId="26361" xr:uid="{00000000-0005-0000-0000-0000712D0000}"/>
    <cellStyle name="40% - Accent1 4 7 3" xfId="20279" xr:uid="{00000000-0005-0000-0000-0000722D0000}"/>
    <cellStyle name="40% - Accent1 4 8" xfId="2956" xr:uid="{00000000-0005-0000-0000-0000732D0000}"/>
    <cellStyle name="40% - Accent1 4 8 2" xfId="13418" xr:uid="{00000000-0005-0000-0000-0000742D0000}"/>
    <cellStyle name="40% - Accent1 4 8 2 2" xfId="26967" xr:uid="{00000000-0005-0000-0000-0000752D0000}"/>
    <cellStyle name="40% - Accent1 4 8 3" xfId="20280" xr:uid="{00000000-0005-0000-0000-0000762D0000}"/>
    <cellStyle name="40% - Accent1 4 9" xfId="2957" xr:uid="{00000000-0005-0000-0000-0000772D0000}"/>
    <cellStyle name="40% - Accent1 4 9 2" xfId="13999" xr:uid="{00000000-0005-0000-0000-0000782D0000}"/>
    <cellStyle name="40% - Accent1 4 9 2 2" xfId="27548" xr:uid="{00000000-0005-0000-0000-0000792D0000}"/>
    <cellStyle name="40% - Accent1 4 9 3" xfId="20281" xr:uid="{00000000-0005-0000-0000-00007A2D0000}"/>
    <cellStyle name="40% - Accent1 5" xfId="2958" xr:uid="{00000000-0005-0000-0000-00007B2D0000}"/>
    <cellStyle name="40% - Accent1 5 10" xfId="2959" xr:uid="{00000000-0005-0000-0000-00007C2D0000}"/>
    <cellStyle name="40% - Accent1 5 10 2" xfId="15129" xr:uid="{00000000-0005-0000-0000-00007D2D0000}"/>
    <cellStyle name="40% - Accent1 5 10 2 2" xfId="28678" xr:uid="{00000000-0005-0000-0000-00007E2D0000}"/>
    <cellStyle name="40% - Accent1 5 10 3" xfId="20283" xr:uid="{00000000-0005-0000-0000-00007F2D0000}"/>
    <cellStyle name="40% - Accent1 5 11" xfId="2960" xr:uid="{00000000-0005-0000-0000-0000802D0000}"/>
    <cellStyle name="40% - Accent1 5 11 2" xfId="15868" xr:uid="{00000000-0005-0000-0000-0000812D0000}"/>
    <cellStyle name="40% - Accent1 5 11 2 2" xfId="29275" xr:uid="{00000000-0005-0000-0000-0000822D0000}"/>
    <cellStyle name="40% - Accent1 5 11 3" xfId="20284" xr:uid="{00000000-0005-0000-0000-0000832D0000}"/>
    <cellStyle name="40% - Accent1 5 12" xfId="9244" xr:uid="{00000000-0005-0000-0000-0000842D0000}"/>
    <cellStyle name="40% - Accent1 5 12 2" xfId="23719" xr:uid="{00000000-0005-0000-0000-0000852D0000}"/>
    <cellStyle name="40% - Accent1 5 13" xfId="20282" xr:uid="{00000000-0005-0000-0000-0000862D0000}"/>
    <cellStyle name="40% - Accent1 5 2" xfId="2961" xr:uid="{00000000-0005-0000-0000-0000872D0000}"/>
    <cellStyle name="40% - Accent1 5 2 10" xfId="2962" xr:uid="{00000000-0005-0000-0000-0000882D0000}"/>
    <cellStyle name="40% - Accent1 5 2 10 2" xfId="16011" xr:uid="{00000000-0005-0000-0000-0000892D0000}"/>
    <cellStyle name="40% - Accent1 5 2 10 2 2" xfId="29418" xr:uid="{00000000-0005-0000-0000-00008A2D0000}"/>
    <cellStyle name="40% - Accent1 5 2 10 3" xfId="20286" xr:uid="{00000000-0005-0000-0000-00008B2D0000}"/>
    <cellStyle name="40% - Accent1 5 2 11" xfId="9245" xr:uid="{00000000-0005-0000-0000-00008C2D0000}"/>
    <cellStyle name="40% - Accent1 5 2 11 2" xfId="23720" xr:uid="{00000000-0005-0000-0000-00008D2D0000}"/>
    <cellStyle name="40% - Accent1 5 2 12" xfId="20285" xr:uid="{00000000-0005-0000-0000-00008E2D0000}"/>
    <cellStyle name="40% - Accent1 5 2 2" xfId="2963" xr:uid="{00000000-0005-0000-0000-00008F2D0000}"/>
    <cellStyle name="40% - Accent1 5 2 2 10" xfId="9246" xr:uid="{00000000-0005-0000-0000-0000902D0000}"/>
    <cellStyle name="40% - Accent1 5 2 2 10 2" xfId="23721" xr:uid="{00000000-0005-0000-0000-0000912D0000}"/>
    <cellStyle name="40% - Accent1 5 2 2 11" xfId="20287" xr:uid="{00000000-0005-0000-0000-0000922D0000}"/>
    <cellStyle name="40% - Accent1 5 2 2 2" xfId="2964" xr:uid="{00000000-0005-0000-0000-0000932D0000}"/>
    <cellStyle name="40% - Accent1 5 2 2 2 2" xfId="2965" xr:uid="{00000000-0005-0000-0000-0000942D0000}"/>
    <cellStyle name="40% - Accent1 5 2 2 2 2 2" xfId="10973" xr:uid="{00000000-0005-0000-0000-0000952D0000}"/>
    <cellStyle name="40% - Accent1 5 2 2 2 2 2 2" xfId="24915" xr:uid="{00000000-0005-0000-0000-0000962D0000}"/>
    <cellStyle name="40% - Accent1 5 2 2 2 2 3" xfId="20289" xr:uid="{00000000-0005-0000-0000-0000972D0000}"/>
    <cellStyle name="40% - Accent1 5 2 2 2 3" xfId="2966" xr:uid="{00000000-0005-0000-0000-0000982D0000}"/>
    <cellStyle name="40% - Accent1 5 2 2 2 3 2" xfId="12517" xr:uid="{00000000-0005-0000-0000-0000992D0000}"/>
    <cellStyle name="40% - Accent1 5 2 2 2 3 2 2" xfId="26229" xr:uid="{00000000-0005-0000-0000-00009A2D0000}"/>
    <cellStyle name="40% - Accent1 5 2 2 2 3 3" xfId="20290" xr:uid="{00000000-0005-0000-0000-00009B2D0000}"/>
    <cellStyle name="40% - Accent1 5 2 2 2 4" xfId="2967" xr:uid="{00000000-0005-0000-0000-00009C2D0000}"/>
    <cellStyle name="40% - Accent1 5 2 2 2 4 2" xfId="15132" xr:uid="{00000000-0005-0000-0000-00009D2D0000}"/>
    <cellStyle name="40% - Accent1 5 2 2 2 4 2 2" xfId="28681" xr:uid="{00000000-0005-0000-0000-00009E2D0000}"/>
    <cellStyle name="40% - Accent1 5 2 2 2 4 3" xfId="20291" xr:uid="{00000000-0005-0000-0000-00009F2D0000}"/>
    <cellStyle name="40% - Accent1 5 2 2 2 5" xfId="2968" xr:uid="{00000000-0005-0000-0000-0000A02D0000}"/>
    <cellStyle name="40% - Accent1 5 2 2 2 5 2" xfId="16881" xr:uid="{00000000-0005-0000-0000-0000A12D0000}"/>
    <cellStyle name="40% - Accent1 5 2 2 2 5 2 2" xfId="30288" xr:uid="{00000000-0005-0000-0000-0000A22D0000}"/>
    <cellStyle name="40% - Accent1 5 2 2 2 5 3" xfId="20292" xr:uid="{00000000-0005-0000-0000-0000A32D0000}"/>
    <cellStyle name="40% - Accent1 5 2 2 2 6" xfId="9247" xr:uid="{00000000-0005-0000-0000-0000A42D0000}"/>
    <cellStyle name="40% - Accent1 5 2 2 2 6 2" xfId="23722" xr:uid="{00000000-0005-0000-0000-0000A52D0000}"/>
    <cellStyle name="40% - Accent1 5 2 2 2 7" xfId="20288" xr:uid="{00000000-0005-0000-0000-0000A62D0000}"/>
    <cellStyle name="40% - Accent1 5 2 2 3" xfId="2969" xr:uid="{00000000-0005-0000-0000-0000A72D0000}"/>
    <cellStyle name="40% - Accent1 5 2 2 3 2" xfId="2970" xr:uid="{00000000-0005-0000-0000-0000A82D0000}"/>
    <cellStyle name="40% - Accent1 5 2 2 3 2 2" xfId="15133" xr:uid="{00000000-0005-0000-0000-0000A92D0000}"/>
    <cellStyle name="40% - Accent1 5 2 2 3 2 2 2" xfId="28682" xr:uid="{00000000-0005-0000-0000-0000AA2D0000}"/>
    <cellStyle name="40% - Accent1 5 2 2 3 2 3" xfId="20294" xr:uid="{00000000-0005-0000-0000-0000AB2D0000}"/>
    <cellStyle name="40% - Accent1 5 2 2 3 3" xfId="10972" xr:uid="{00000000-0005-0000-0000-0000AC2D0000}"/>
    <cellStyle name="40% - Accent1 5 2 2 3 3 2" xfId="24914" xr:uid="{00000000-0005-0000-0000-0000AD2D0000}"/>
    <cellStyle name="40% - Accent1 5 2 2 3 4" xfId="20293" xr:uid="{00000000-0005-0000-0000-0000AE2D0000}"/>
    <cellStyle name="40% - Accent1 5 2 2 4" xfId="2971" xr:uid="{00000000-0005-0000-0000-0000AF2D0000}"/>
    <cellStyle name="40% - Accent1 5 2 2 4 2" xfId="12269" xr:uid="{00000000-0005-0000-0000-0000B02D0000}"/>
    <cellStyle name="40% - Accent1 5 2 2 4 2 2" xfId="25981" xr:uid="{00000000-0005-0000-0000-0000B12D0000}"/>
    <cellStyle name="40% - Accent1 5 2 2 4 3" xfId="20295" xr:uid="{00000000-0005-0000-0000-0000B22D0000}"/>
    <cellStyle name="40% - Accent1 5 2 2 5" xfId="2972" xr:uid="{00000000-0005-0000-0000-0000B32D0000}"/>
    <cellStyle name="40% - Accent1 5 2 2 5 2" xfId="12469" xr:uid="{00000000-0005-0000-0000-0000B42D0000}"/>
    <cellStyle name="40% - Accent1 5 2 2 5 2 2" xfId="26181" xr:uid="{00000000-0005-0000-0000-0000B52D0000}"/>
    <cellStyle name="40% - Accent1 5 2 2 5 3" xfId="20296" xr:uid="{00000000-0005-0000-0000-0000B62D0000}"/>
    <cellStyle name="40% - Accent1 5 2 2 6" xfId="2973" xr:uid="{00000000-0005-0000-0000-0000B72D0000}"/>
    <cellStyle name="40% - Accent1 5 2 2 6 2" xfId="13833" xr:uid="{00000000-0005-0000-0000-0000B82D0000}"/>
    <cellStyle name="40% - Accent1 5 2 2 6 2 2" xfId="27382" xr:uid="{00000000-0005-0000-0000-0000B92D0000}"/>
    <cellStyle name="40% - Accent1 5 2 2 6 3" xfId="20297" xr:uid="{00000000-0005-0000-0000-0000BA2D0000}"/>
    <cellStyle name="40% - Accent1 5 2 2 7" xfId="2974" xr:uid="{00000000-0005-0000-0000-0000BB2D0000}"/>
    <cellStyle name="40% - Accent1 5 2 2 7 2" xfId="14414" xr:uid="{00000000-0005-0000-0000-0000BC2D0000}"/>
    <cellStyle name="40% - Accent1 5 2 2 7 2 2" xfId="27963" xr:uid="{00000000-0005-0000-0000-0000BD2D0000}"/>
    <cellStyle name="40% - Accent1 5 2 2 7 3" xfId="20298" xr:uid="{00000000-0005-0000-0000-0000BE2D0000}"/>
    <cellStyle name="40% - Accent1 5 2 2 8" xfId="2975" xr:uid="{00000000-0005-0000-0000-0000BF2D0000}"/>
    <cellStyle name="40% - Accent1 5 2 2 8 2" xfId="15131" xr:uid="{00000000-0005-0000-0000-0000C02D0000}"/>
    <cellStyle name="40% - Accent1 5 2 2 8 2 2" xfId="28680" xr:uid="{00000000-0005-0000-0000-0000C12D0000}"/>
    <cellStyle name="40% - Accent1 5 2 2 8 3" xfId="20299" xr:uid="{00000000-0005-0000-0000-0000C22D0000}"/>
    <cellStyle name="40% - Accent1 5 2 2 9" xfId="2976" xr:uid="{00000000-0005-0000-0000-0000C32D0000}"/>
    <cellStyle name="40% - Accent1 5 2 2 9 2" xfId="16300" xr:uid="{00000000-0005-0000-0000-0000C42D0000}"/>
    <cellStyle name="40% - Accent1 5 2 2 9 2 2" xfId="29707" xr:uid="{00000000-0005-0000-0000-0000C52D0000}"/>
    <cellStyle name="40% - Accent1 5 2 2 9 3" xfId="20300" xr:uid="{00000000-0005-0000-0000-0000C62D0000}"/>
    <cellStyle name="40% - Accent1 5 2 3" xfId="2977" xr:uid="{00000000-0005-0000-0000-0000C72D0000}"/>
    <cellStyle name="40% - Accent1 5 2 3 2" xfId="2978" xr:uid="{00000000-0005-0000-0000-0000C82D0000}"/>
    <cellStyle name="40% - Accent1 5 2 3 2 2" xfId="10974" xr:uid="{00000000-0005-0000-0000-0000C92D0000}"/>
    <cellStyle name="40% - Accent1 5 2 3 2 2 2" xfId="24916" xr:uid="{00000000-0005-0000-0000-0000CA2D0000}"/>
    <cellStyle name="40% - Accent1 5 2 3 2 3" xfId="20302" xr:uid="{00000000-0005-0000-0000-0000CB2D0000}"/>
    <cellStyle name="40% - Accent1 5 2 3 3" xfId="2979" xr:uid="{00000000-0005-0000-0000-0000CC2D0000}"/>
    <cellStyle name="40% - Accent1 5 2 3 3 2" xfId="11771" xr:uid="{00000000-0005-0000-0000-0000CD2D0000}"/>
    <cellStyle name="40% - Accent1 5 2 3 3 2 2" xfId="25486" xr:uid="{00000000-0005-0000-0000-0000CE2D0000}"/>
    <cellStyle name="40% - Accent1 5 2 3 3 3" xfId="20303" xr:uid="{00000000-0005-0000-0000-0000CF2D0000}"/>
    <cellStyle name="40% - Accent1 5 2 3 4" xfId="2980" xr:uid="{00000000-0005-0000-0000-0000D02D0000}"/>
    <cellStyle name="40% - Accent1 5 2 3 4 2" xfId="15134" xr:uid="{00000000-0005-0000-0000-0000D12D0000}"/>
    <cellStyle name="40% - Accent1 5 2 3 4 2 2" xfId="28683" xr:uid="{00000000-0005-0000-0000-0000D22D0000}"/>
    <cellStyle name="40% - Accent1 5 2 3 4 3" xfId="20304" xr:uid="{00000000-0005-0000-0000-0000D32D0000}"/>
    <cellStyle name="40% - Accent1 5 2 3 5" xfId="2981" xr:uid="{00000000-0005-0000-0000-0000D42D0000}"/>
    <cellStyle name="40% - Accent1 5 2 3 5 2" xfId="16592" xr:uid="{00000000-0005-0000-0000-0000D52D0000}"/>
    <cellStyle name="40% - Accent1 5 2 3 5 2 2" xfId="29999" xr:uid="{00000000-0005-0000-0000-0000D62D0000}"/>
    <cellStyle name="40% - Accent1 5 2 3 5 3" xfId="20305" xr:uid="{00000000-0005-0000-0000-0000D72D0000}"/>
    <cellStyle name="40% - Accent1 5 2 3 6" xfId="9248" xr:uid="{00000000-0005-0000-0000-0000D82D0000}"/>
    <cellStyle name="40% - Accent1 5 2 3 6 2" xfId="23723" xr:uid="{00000000-0005-0000-0000-0000D92D0000}"/>
    <cellStyle name="40% - Accent1 5 2 3 7" xfId="20301" xr:uid="{00000000-0005-0000-0000-0000DA2D0000}"/>
    <cellStyle name="40% - Accent1 5 2 4" xfId="2982" xr:uid="{00000000-0005-0000-0000-0000DB2D0000}"/>
    <cellStyle name="40% - Accent1 5 2 4 2" xfId="2983" xr:uid="{00000000-0005-0000-0000-0000DC2D0000}"/>
    <cellStyle name="40% - Accent1 5 2 4 2 2" xfId="15135" xr:uid="{00000000-0005-0000-0000-0000DD2D0000}"/>
    <cellStyle name="40% - Accent1 5 2 4 2 2 2" xfId="28684" xr:uid="{00000000-0005-0000-0000-0000DE2D0000}"/>
    <cellStyle name="40% - Accent1 5 2 4 2 3" xfId="20307" xr:uid="{00000000-0005-0000-0000-0000DF2D0000}"/>
    <cellStyle name="40% - Accent1 5 2 4 3" xfId="10971" xr:uid="{00000000-0005-0000-0000-0000E02D0000}"/>
    <cellStyle name="40% - Accent1 5 2 4 3 2" xfId="24913" xr:uid="{00000000-0005-0000-0000-0000E12D0000}"/>
    <cellStyle name="40% - Accent1 5 2 4 4" xfId="20306" xr:uid="{00000000-0005-0000-0000-0000E22D0000}"/>
    <cellStyle name="40% - Accent1 5 2 5" xfId="2984" xr:uid="{00000000-0005-0000-0000-0000E32D0000}"/>
    <cellStyle name="40% - Accent1 5 2 5 2" xfId="11969" xr:uid="{00000000-0005-0000-0000-0000E42D0000}"/>
    <cellStyle name="40% - Accent1 5 2 5 2 2" xfId="25684" xr:uid="{00000000-0005-0000-0000-0000E52D0000}"/>
    <cellStyle name="40% - Accent1 5 2 5 3" xfId="20308" xr:uid="{00000000-0005-0000-0000-0000E62D0000}"/>
    <cellStyle name="40% - Accent1 5 2 6" xfId="2985" xr:uid="{00000000-0005-0000-0000-0000E72D0000}"/>
    <cellStyle name="40% - Accent1 5 2 6 2" xfId="12686" xr:uid="{00000000-0005-0000-0000-0000E82D0000}"/>
    <cellStyle name="40% - Accent1 5 2 6 2 2" xfId="26398" xr:uid="{00000000-0005-0000-0000-0000E92D0000}"/>
    <cellStyle name="40% - Accent1 5 2 6 3" xfId="20309" xr:uid="{00000000-0005-0000-0000-0000EA2D0000}"/>
    <cellStyle name="40% - Accent1 5 2 7" xfId="2986" xr:uid="{00000000-0005-0000-0000-0000EB2D0000}"/>
    <cellStyle name="40% - Accent1 5 2 7 2" xfId="13544" xr:uid="{00000000-0005-0000-0000-0000EC2D0000}"/>
    <cellStyle name="40% - Accent1 5 2 7 2 2" xfId="27093" xr:uid="{00000000-0005-0000-0000-0000ED2D0000}"/>
    <cellStyle name="40% - Accent1 5 2 7 3" xfId="20310" xr:uid="{00000000-0005-0000-0000-0000EE2D0000}"/>
    <cellStyle name="40% - Accent1 5 2 8" xfId="2987" xr:uid="{00000000-0005-0000-0000-0000EF2D0000}"/>
    <cellStyle name="40% - Accent1 5 2 8 2" xfId="14125" xr:uid="{00000000-0005-0000-0000-0000F02D0000}"/>
    <cellStyle name="40% - Accent1 5 2 8 2 2" xfId="27674" xr:uid="{00000000-0005-0000-0000-0000F12D0000}"/>
    <cellStyle name="40% - Accent1 5 2 8 3" xfId="20311" xr:uid="{00000000-0005-0000-0000-0000F22D0000}"/>
    <cellStyle name="40% - Accent1 5 2 9" xfId="2988" xr:uid="{00000000-0005-0000-0000-0000F32D0000}"/>
    <cellStyle name="40% - Accent1 5 2 9 2" xfId="15130" xr:uid="{00000000-0005-0000-0000-0000F42D0000}"/>
    <cellStyle name="40% - Accent1 5 2 9 2 2" xfId="28679" xr:uid="{00000000-0005-0000-0000-0000F52D0000}"/>
    <cellStyle name="40% - Accent1 5 2 9 3" xfId="20312" xr:uid="{00000000-0005-0000-0000-0000F62D0000}"/>
    <cellStyle name="40% - Accent1 5 3" xfId="2989" xr:uid="{00000000-0005-0000-0000-0000F72D0000}"/>
    <cellStyle name="40% - Accent1 5 3 10" xfId="9249" xr:uid="{00000000-0005-0000-0000-0000F82D0000}"/>
    <cellStyle name="40% - Accent1 5 3 10 2" xfId="23724" xr:uid="{00000000-0005-0000-0000-0000F92D0000}"/>
    <cellStyle name="40% - Accent1 5 3 11" xfId="20313" xr:uid="{00000000-0005-0000-0000-0000FA2D0000}"/>
    <cellStyle name="40% - Accent1 5 3 2" xfId="2990" xr:uid="{00000000-0005-0000-0000-0000FB2D0000}"/>
    <cellStyle name="40% - Accent1 5 3 2 2" xfId="2991" xr:uid="{00000000-0005-0000-0000-0000FC2D0000}"/>
    <cellStyle name="40% - Accent1 5 3 2 2 2" xfId="10976" xr:uid="{00000000-0005-0000-0000-0000FD2D0000}"/>
    <cellStyle name="40% - Accent1 5 3 2 2 2 2" xfId="24918" xr:uid="{00000000-0005-0000-0000-0000FE2D0000}"/>
    <cellStyle name="40% - Accent1 5 3 2 2 3" xfId="20315" xr:uid="{00000000-0005-0000-0000-0000FF2D0000}"/>
    <cellStyle name="40% - Accent1 5 3 2 3" xfId="2992" xr:uid="{00000000-0005-0000-0000-0000002E0000}"/>
    <cellStyle name="40% - Accent1 5 3 2 3 2" xfId="12727" xr:uid="{00000000-0005-0000-0000-0000012E0000}"/>
    <cellStyle name="40% - Accent1 5 3 2 3 2 2" xfId="26439" xr:uid="{00000000-0005-0000-0000-0000022E0000}"/>
    <cellStyle name="40% - Accent1 5 3 2 3 3" xfId="20316" xr:uid="{00000000-0005-0000-0000-0000032E0000}"/>
    <cellStyle name="40% - Accent1 5 3 2 4" xfId="2993" xr:uid="{00000000-0005-0000-0000-0000042E0000}"/>
    <cellStyle name="40% - Accent1 5 3 2 4 2" xfId="15137" xr:uid="{00000000-0005-0000-0000-0000052E0000}"/>
    <cellStyle name="40% - Accent1 5 3 2 4 2 2" xfId="28686" xr:uid="{00000000-0005-0000-0000-0000062E0000}"/>
    <cellStyle name="40% - Accent1 5 3 2 4 3" xfId="20317" xr:uid="{00000000-0005-0000-0000-0000072E0000}"/>
    <cellStyle name="40% - Accent1 5 3 2 5" xfId="2994" xr:uid="{00000000-0005-0000-0000-0000082E0000}"/>
    <cellStyle name="40% - Accent1 5 3 2 5 2" xfId="16741" xr:uid="{00000000-0005-0000-0000-0000092E0000}"/>
    <cellStyle name="40% - Accent1 5 3 2 5 2 2" xfId="30148" xr:uid="{00000000-0005-0000-0000-00000A2E0000}"/>
    <cellStyle name="40% - Accent1 5 3 2 5 3" xfId="20318" xr:uid="{00000000-0005-0000-0000-00000B2E0000}"/>
    <cellStyle name="40% - Accent1 5 3 2 6" xfId="9250" xr:uid="{00000000-0005-0000-0000-00000C2E0000}"/>
    <cellStyle name="40% - Accent1 5 3 2 6 2" xfId="23725" xr:uid="{00000000-0005-0000-0000-00000D2E0000}"/>
    <cellStyle name="40% - Accent1 5 3 2 7" xfId="20314" xr:uid="{00000000-0005-0000-0000-00000E2E0000}"/>
    <cellStyle name="40% - Accent1 5 3 3" xfId="2995" xr:uid="{00000000-0005-0000-0000-00000F2E0000}"/>
    <cellStyle name="40% - Accent1 5 3 3 2" xfId="2996" xr:uid="{00000000-0005-0000-0000-0000102E0000}"/>
    <cellStyle name="40% - Accent1 5 3 3 2 2" xfId="15138" xr:uid="{00000000-0005-0000-0000-0000112E0000}"/>
    <cellStyle name="40% - Accent1 5 3 3 2 2 2" xfId="28687" xr:uid="{00000000-0005-0000-0000-0000122E0000}"/>
    <cellStyle name="40% - Accent1 5 3 3 2 3" xfId="20320" xr:uid="{00000000-0005-0000-0000-0000132E0000}"/>
    <cellStyle name="40% - Accent1 5 3 3 3" xfId="10975" xr:uid="{00000000-0005-0000-0000-0000142E0000}"/>
    <cellStyle name="40% - Accent1 5 3 3 3 2" xfId="24917" xr:uid="{00000000-0005-0000-0000-0000152E0000}"/>
    <cellStyle name="40% - Accent1 5 3 3 4" xfId="20319" xr:uid="{00000000-0005-0000-0000-0000162E0000}"/>
    <cellStyle name="40% - Accent1 5 3 4" xfId="2997" xr:uid="{00000000-0005-0000-0000-0000172E0000}"/>
    <cellStyle name="40% - Accent1 5 3 4 2" xfId="12129" xr:uid="{00000000-0005-0000-0000-0000182E0000}"/>
    <cellStyle name="40% - Accent1 5 3 4 2 2" xfId="25841" xr:uid="{00000000-0005-0000-0000-0000192E0000}"/>
    <cellStyle name="40% - Accent1 5 3 4 3" xfId="20321" xr:uid="{00000000-0005-0000-0000-00001A2E0000}"/>
    <cellStyle name="40% - Accent1 5 3 5" xfId="2998" xr:uid="{00000000-0005-0000-0000-00001B2E0000}"/>
    <cellStyle name="40% - Accent1 5 3 5 2" xfId="12732" xr:uid="{00000000-0005-0000-0000-00001C2E0000}"/>
    <cellStyle name="40% - Accent1 5 3 5 2 2" xfId="26444" xr:uid="{00000000-0005-0000-0000-00001D2E0000}"/>
    <cellStyle name="40% - Accent1 5 3 5 3" xfId="20322" xr:uid="{00000000-0005-0000-0000-00001E2E0000}"/>
    <cellStyle name="40% - Accent1 5 3 6" xfId="2999" xr:uid="{00000000-0005-0000-0000-00001F2E0000}"/>
    <cellStyle name="40% - Accent1 5 3 6 2" xfId="13693" xr:uid="{00000000-0005-0000-0000-0000202E0000}"/>
    <cellStyle name="40% - Accent1 5 3 6 2 2" xfId="27242" xr:uid="{00000000-0005-0000-0000-0000212E0000}"/>
    <cellStyle name="40% - Accent1 5 3 6 3" xfId="20323" xr:uid="{00000000-0005-0000-0000-0000222E0000}"/>
    <cellStyle name="40% - Accent1 5 3 7" xfId="3000" xr:uid="{00000000-0005-0000-0000-0000232E0000}"/>
    <cellStyle name="40% - Accent1 5 3 7 2" xfId="14274" xr:uid="{00000000-0005-0000-0000-0000242E0000}"/>
    <cellStyle name="40% - Accent1 5 3 7 2 2" xfId="27823" xr:uid="{00000000-0005-0000-0000-0000252E0000}"/>
    <cellStyle name="40% - Accent1 5 3 7 3" xfId="20324" xr:uid="{00000000-0005-0000-0000-0000262E0000}"/>
    <cellStyle name="40% - Accent1 5 3 8" xfId="3001" xr:uid="{00000000-0005-0000-0000-0000272E0000}"/>
    <cellStyle name="40% - Accent1 5 3 8 2" xfId="15136" xr:uid="{00000000-0005-0000-0000-0000282E0000}"/>
    <cellStyle name="40% - Accent1 5 3 8 2 2" xfId="28685" xr:uid="{00000000-0005-0000-0000-0000292E0000}"/>
    <cellStyle name="40% - Accent1 5 3 8 3" xfId="20325" xr:uid="{00000000-0005-0000-0000-00002A2E0000}"/>
    <cellStyle name="40% - Accent1 5 3 9" xfId="3002" xr:uid="{00000000-0005-0000-0000-00002B2E0000}"/>
    <cellStyle name="40% - Accent1 5 3 9 2" xfId="16160" xr:uid="{00000000-0005-0000-0000-00002C2E0000}"/>
    <cellStyle name="40% - Accent1 5 3 9 2 2" xfId="29567" xr:uid="{00000000-0005-0000-0000-00002D2E0000}"/>
    <cellStyle name="40% - Accent1 5 3 9 3" xfId="20326" xr:uid="{00000000-0005-0000-0000-00002E2E0000}"/>
    <cellStyle name="40% - Accent1 5 4" xfId="3003" xr:uid="{00000000-0005-0000-0000-00002F2E0000}"/>
    <cellStyle name="40% - Accent1 5 4 2" xfId="3004" xr:uid="{00000000-0005-0000-0000-0000302E0000}"/>
    <cellStyle name="40% - Accent1 5 4 2 2" xfId="10977" xr:uid="{00000000-0005-0000-0000-0000312E0000}"/>
    <cellStyle name="40% - Accent1 5 4 2 2 2" xfId="24919" xr:uid="{00000000-0005-0000-0000-0000322E0000}"/>
    <cellStyle name="40% - Accent1 5 4 2 3" xfId="20328" xr:uid="{00000000-0005-0000-0000-0000332E0000}"/>
    <cellStyle name="40% - Accent1 5 4 3" xfId="3005" xr:uid="{00000000-0005-0000-0000-0000342E0000}"/>
    <cellStyle name="40% - Accent1 5 4 3 2" xfId="12524" xr:uid="{00000000-0005-0000-0000-0000352E0000}"/>
    <cellStyle name="40% - Accent1 5 4 3 2 2" xfId="26236" xr:uid="{00000000-0005-0000-0000-0000362E0000}"/>
    <cellStyle name="40% - Accent1 5 4 3 3" xfId="20329" xr:uid="{00000000-0005-0000-0000-0000372E0000}"/>
    <cellStyle name="40% - Accent1 5 4 4" xfId="3006" xr:uid="{00000000-0005-0000-0000-0000382E0000}"/>
    <cellStyle name="40% - Accent1 5 4 4 2" xfId="15139" xr:uid="{00000000-0005-0000-0000-0000392E0000}"/>
    <cellStyle name="40% - Accent1 5 4 4 2 2" xfId="28688" xr:uid="{00000000-0005-0000-0000-00003A2E0000}"/>
    <cellStyle name="40% - Accent1 5 4 4 3" xfId="20330" xr:uid="{00000000-0005-0000-0000-00003B2E0000}"/>
    <cellStyle name="40% - Accent1 5 4 5" xfId="3007" xr:uid="{00000000-0005-0000-0000-00003C2E0000}"/>
    <cellStyle name="40% - Accent1 5 4 5 2" xfId="16449" xr:uid="{00000000-0005-0000-0000-00003D2E0000}"/>
    <cellStyle name="40% - Accent1 5 4 5 2 2" xfId="29856" xr:uid="{00000000-0005-0000-0000-00003E2E0000}"/>
    <cellStyle name="40% - Accent1 5 4 5 3" xfId="20331" xr:uid="{00000000-0005-0000-0000-00003F2E0000}"/>
    <cellStyle name="40% - Accent1 5 4 6" xfId="9251" xr:uid="{00000000-0005-0000-0000-0000402E0000}"/>
    <cellStyle name="40% - Accent1 5 4 6 2" xfId="23726" xr:uid="{00000000-0005-0000-0000-0000412E0000}"/>
    <cellStyle name="40% - Accent1 5 4 7" xfId="20327" xr:uid="{00000000-0005-0000-0000-0000422E0000}"/>
    <cellStyle name="40% - Accent1 5 5" xfId="3008" xr:uid="{00000000-0005-0000-0000-0000432E0000}"/>
    <cellStyle name="40% - Accent1 5 5 2" xfId="3009" xr:uid="{00000000-0005-0000-0000-0000442E0000}"/>
    <cellStyle name="40% - Accent1 5 5 2 2" xfId="15140" xr:uid="{00000000-0005-0000-0000-0000452E0000}"/>
    <cellStyle name="40% - Accent1 5 5 2 2 2" xfId="28689" xr:uid="{00000000-0005-0000-0000-0000462E0000}"/>
    <cellStyle name="40% - Accent1 5 5 2 3" xfId="20333" xr:uid="{00000000-0005-0000-0000-0000472E0000}"/>
    <cellStyle name="40% - Accent1 5 5 3" xfId="10970" xr:uid="{00000000-0005-0000-0000-0000482E0000}"/>
    <cellStyle name="40% - Accent1 5 5 3 2" xfId="24912" xr:uid="{00000000-0005-0000-0000-0000492E0000}"/>
    <cellStyle name="40% - Accent1 5 5 4" xfId="20332" xr:uid="{00000000-0005-0000-0000-00004A2E0000}"/>
    <cellStyle name="40% - Accent1 5 6" xfId="3010" xr:uid="{00000000-0005-0000-0000-00004B2E0000}"/>
    <cellStyle name="40% - Accent1 5 6 2" xfId="11800" xr:uid="{00000000-0005-0000-0000-00004C2E0000}"/>
    <cellStyle name="40% - Accent1 5 6 2 2" xfId="25515" xr:uid="{00000000-0005-0000-0000-00004D2E0000}"/>
    <cellStyle name="40% - Accent1 5 6 3" xfId="20334" xr:uid="{00000000-0005-0000-0000-00004E2E0000}"/>
    <cellStyle name="40% - Accent1 5 7" xfId="3011" xr:uid="{00000000-0005-0000-0000-00004F2E0000}"/>
    <cellStyle name="40% - Accent1 5 7 2" xfId="12418" xr:uid="{00000000-0005-0000-0000-0000502E0000}"/>
    <cellStyle name="40% - Accent1 5 7 2 2" xfId="26130" xr:uid="{00000000-0005-0000-0000-0000512E0000}"/>
    <cellStyle name="40% - Accent1 5 7 3" xfId="20335" xr:uid="{00000000-0005-0000-0000-0000522E0000}"/>
    <cellStyle name="40% - Accent1 5 8" xfId="3012" xr:uid="{00000000-0005-0000-0000-0000532E0000}"/>
    <cellStyle name="40% - Accent1 5 8 2" xfId="13401" xr:uid="{00000000-0005-0000-0000-0000542E0000}"/>
    <cellStyle name="40% - Accent1 5 8 2 2" xfId="26950" xr:uid="{00000000-0005-0000-0000-0000552E0000}"/>
    <cellStyle name="40% - Accent1 5 8 3" xfId="20336" xr:uid="{00000000-0005-0000-0000-0000562E0000}"/>
    <cellStyle name="40% - Accent1 5 9" xfId="3013" xr:uid="{00000000-0005-0000-0000-0000572E0000}"/>
    <cellStyle name="40% - Accent1 5 9 2" xfId="13982" xr:uid="{00000000-0005-0000-0000-0000582E0000}"/>
    <cellStyle name="40% - Accent1 5 9 2 2" xfId="27531" xr:uid="{00000000-0005-0000-0000-0000592E0000}"/>
    <cellStyle name="40% - Accent1 5 9 3" xfId="20337" xr:uid="{00000000-0005-0000-0000-00005A2E0000}"/>
    <cellStyle name="40% - Accent1 6" xfId="3014" xr:uid="{00000000-0005-0000-0000-00005B2E0000}"/>
    <cellStyle name="40% - Accent1 6 10" xfId="3015" xr:uid="{00000000-0005-0000-0000-00005C2E0000}"/>
    <cellStyle name="40% - Accent1 6 10 2" xfId="15141" xr:uid="{00000000-0005-0000-0000-00005D2E0000}"/>
    <cellStyle name="40% - Accent1 6 10 2 2" xfId="28690" xr:uid="{00000000-0005-0000-0000-00005E2E0000}"/>
    <cellStyle name="40% - Accent1 6 10 3" xfId="20339" xr:uid="{00000000-0005-0000-0000-00005F2E0000}"/>
    <cellStyle name="40% - Accent1 6 11" xfId="3016" xr:uid="{00000000-0005-0000-0000-0000602E0000}"/>
    <cellStyle name="40% - Accent1 6 11 2" xfId="15974" xr:uid="{00000000-0005-0000-0000-0000612E0000}"/>
    <cellStyle name="40% - Accent1 6 11 2 2" xfId="29381" xr:uid="{00000000-0005-0000-0000-0000622E0000}"/>
    <cellStyle name="40% - Accent1 6 11 3" xfId="20340" xr:uid="{00000000-0005-0000-0000-0000632E0000}"/>
    <cellStyle name="40% - Accent1 6 12" xfId="9252" xr:uid="{00000000-0005-0000-0000-0000642E0000}"/>
    <cellStyle name="40% - Accent1 6 12 2" xfId="23727" xr:uid="{00000000-0005-0000-0000-0000652E0000}"/>
    <cellStyle name="40% - Accent1 6 13" xfId="20338" xr:uid="{00000000-0005-0000-0000-0000662E0000}"/>
    <cellStyle name="40% - Accent1 6 2" xfId="3017" xr:uid="{00000000-0005-0000-0000-0000672E0000}"/>
    <cellStyle name="40% - Accent1 6 2 10" xfId="3018" xr:uid="{00000000-0005-0000-0000-0000682E0000}"/>
    <cellStyle name="40% - Accent1 6 2 10 2" xfId="16117" xr:uid="{00000000-0005-0000-0000-0000692E0000}"/>
    <cellStyle name="40% - Accent1 6 2 10 2 2" xfId="29524" xr:uid="{00000000-0005-0000-0000-00006A2E0000}"/>
    <cellStyle name="40% - Accent1 6 2 10 3" xfId="20342" xr:uid="{00000000-0005-0000-0000-00006B2E0000}"/>
    <cellStyle name="40% - Accent1 6 2 11" xfId="9253" xr:uid="{00000000-0005-0000-0000-00006C2E0000}"/>
    <cellStyle name="40% - Accent1 6 2 11 2" xfId="23728" xr:uid="{00000000-0005-0000-0000-00006D2E0000}"/>
    <cellStyle name="40% - Accent1 6 2 12" xfId="20341" xr:uid="{00000000-0005-0000-0000-00006E2E0000}"/>
    <cellStyle name="40% - Accent1 6 2 2" xfId="3019" xr:uid="{00000000-0005-0000-0000-00006F2E0000}"/>
    <cellStyle name="40% - Accent1 6 2 2 10" xfId="9254" xr:uid="{00000000-0005-0000-0000-0000702E0000}"/>
    <cellStyle name="40% - Accent1 6 2 2 10 2" xfId="23729" xr:uid="{00000000-0005-0000-0000-0000712E0000}"/>
    <cellStyle name="40% - Accent1 6 2 2 11" xfId="20343" xr:uid="{00000000-0005-0000-0000-0000722E0000}"/>
    <cellStyle name="40% - Accent1 6 2 2 2" xfId="3020" xr:uid="{00000000-0005-0000-0000-0000732E0000}"/>
    <cellStyle name="40% - Accent1 6 2 2 2 2" xfId="3021" xr:uid="{00000000-0005-0000-0000-0000742E0000}"/>
    <cellStyle name="40% - Accent1 6 2 2 2 2 2" xfId="10981" xr:uid="{00000000-0005-0000-0000-0000752E0000}"/>
    <cellStyle name="40% - Accent1 6 2 2 2 2 2 2" xfId="24923" xr:uid="{00000000-0005-0000-0000-0000762E0000}"/>
    <cellStyle name="40% - Accent1 6 2 2 2 2 3" xfId="20345" xr:uid="{00000000-0005-0000-0000-0000772E0000}"/>
    <cellStyle name="40% - Accent1 6 2 2 2 3" xfId="3022" xr:uid="{00000000-0005-0000-0000-0000782E0000}"/>
    <cellStyle name="40% - Accent1 6 2 2 2 3 2" xfId="12505" xr:uid="{00000000-0005-0000-0000-0000792E0000}"/>
    <cellStyle name="40% - Accent1 6 2 2 2 3 2 2" xfId="26217" xr:uid="{00000000-0005-0000-0000-00007A2E0000}"/>
    <cellStyle name="40% - Accent1 6 2 2 2 3 3" xfId="20346" xr:uid="{00000000-0005-0000-0000-00007B2E0000}"/>
    <cellStyle name="40% - Accent1 6 2 2 2 4" xfId="3023" xr:uid="{00000000-0005-0000-0000-00007C2E0000}"/>
    <cellStyle name="40% - Accent1 6 2 2 2 4 2" xfId="15144" xr:uid="{00000000-0005-0000-0000-00007D2E0000}"/>
    <cellStyle name="40% - Accent1 6 2 2 2 4 2 2" xfId="28693" xr:uid="{00000000-0005-0000-0000-00007E2E0000}"/>
    <cellStyle name="40% - Accent1 6 2 2 2 4 3" xfId="20347" xr:uid="{00000000-0005-0000-0000-00007F2E0000}"/>
    <cellStyle name="40% - Accent1 6 2 2 2 5" xfId="3024" xr:uid="{00000000-0005-0000-0000-0000802E0000}"/>
    <cellStyle name="40% - Accent1 6 2 2 2 5 2" xfId="16987" xr:uid="{00000000-0005-0000-0000-0000812E0000}"/>
    <cellStyle name="40% - Accent1 6 2 2 2 5 2 2" xfId="30394" xr:uid="{00000000-0005-0000-0000-0000822E0000}"/>
    <cellStyle name="40% - Accent1 6 2 2 2 5 3" xfId="20348" xr:uid="{00000000-0005-0000-0000-0000832E0000}"/>
    <cellStyle name="40% - Accent1 6 2 2 2 6" xfId="9255" xr:uid="{00000000-0005-0000-0000-0000842E0000}"/>
    <cellStyle name="40% - Accent1 6 2 2 2 6 2" xfId="23730" xr:uid="{00000000-0005-0000-0000-0000852E0000}"/>
    <cellStyle name="40% - Accent1 6 2 2 2 7" xfId="20344" xr:uid="{00000000-0005-0000-0000-0000862E0000}"/>
    <cellStyle name="40% - Accent1 6 2 2 3" xfId="3025" xr:uid="{00000000-0005-0000-0000-0000872E0000}"/>
    <cellStyle name="40% - Accent1 6 2 2 3 2" xfId="3026" xr:uid="{00000000-0005-0000-0000-0000882E0000}"/>
    <cellStyle name="40% - Accent1 6 2 2 3 2 2" xfId="15145" xr:uid="{00000000-0005-0000-0000-0000892E0000}"/>
    <cellStyle name="40% - Accent1 6 2 2 3 2 2 2" xfId="28694" xr:uid="{00000000-0005-0000-0000-00008A2E0000}"/>
    <cellStyle name="40% - Accent1 6 2 2 3 2 3" xfId="20350" xr:uid="{00000000-0005-0000-0000-00008B2E0000}"/>
    <cellStyle name="40% - Accent1 6 2 2 3 3" xfId="10980" xr:uid="{00000000-0005-0000-0000-00008C2E0000}"/>
    <cellStyle name="40% - Accent1 6 2 2 3 3 2" xfId="24922" xr:uid="{00000000-0005-0000-0000-00008D2E0000}"/>
    <cellStyle name="40% - Accent1 6 2 2 3 4" xfId="20349" xr:uid="{00000000-0005-0000-0000-00008E2E0000}"/>
    <cellStyle name="40% - Accent1 6 2 2 4" xfId="3027" xr:uid="{00000000-0005-0000-0000-00008F2E0000}"/>
    <cellStyle name="40% - Accent1 6 2 2 4 2" xfId="12375" xr:uid="{00000000-0005-0000-0000-0000902E0000}"/>
    <cellStyle name="40% - Accent1 6 2 2 4 2 2" xfId="26087" xr:uid="{00000000-0005-0000-0000-0000912E0000}"/>
    <cellStyle name="40% - Accent1 6 2 2 4 3" xfId="20351" xr:uid="{00000000-0005-0000-0000-0000922E0000}"/>
    <cellStyle name="40% - Accent1 6 2 2 5" xfId="3028" xr:uid="{00000000-0005-0000-0000-0000932E0000}"/>
    <cellStyle name="40% - Accent1 6 2 2 5 2" xfId="12704" xr:uid="{00000000-0005-0000-0000-0000942E0000}"/>
    <cellStyle name="40% - Accent1 6 2 2 5 2 2" xfId="26416" xr:uid="{00000000-0005-0000-0000-0000952E0000}"/>
    <cellStyle name="40% - Accent1 6 2 2 5 3" xfId="20352" xr:uid="{00000000-0005-0000-0000-0000962E0000}"/>
    <cellStyle name="40% - Accent1 6 2 2 6" xfId="3029" xr:uid="{00000000-0005-0000-0000-0000972E0000}"/>
    <cellStyle name="40% - Accent1 6 2 2 6 2" xfId="13939" xr:uid="{00000000-0005-0000-0000-0000982E0000}"/>
    <cellStyle name="40% - Accent1 6 2 2 6 2 2" xfId="27488" xr:uid="{00000000-0005-0000-0000-0000992E0000}"/>
    <cellStyle name="40% - Accent1 6 2 2 6 3" xfId="20353" xr:uid="{00000000-0005-0000-0000-00009A2E0000}"/>
    <cellStyle name="40% - Accent1 6 2 2 7" xfId="3030" xr:uid="{00000000-0005-0000-0000-00009B2E0000}"/>
    <cellStyle name="40% - Accent1 6 2 2 7 2" xfId="14520" xr:uid="{00000000-0005-0000-0000-00009C2E0000}"/>
    <cellStyle name="40% - Accent1 6 2 2 7 2 2" xfId="28069" xr:uid="{00000000-0005-0000-0000-00009D2E0000}"/>
    <cellStyle name="40% - Accent1 6 2 2 7 3" xfId="20354" xr:uid="{00000000-0005-0000-0000-00009E2E0000}"/>
    <cellStyle name="40% - Accent1 6 2 2 8" xfId="3031" xr:uid="{00000000-0005-0000-0000-00009F2E0000}"/>
    <cellStyle name="40% - Accent1 6 2 2 8 2" xfId="15143" xr:uid="{00000000-0005-0000-0000-0000A02E0000}"/>
    <cellStyle name="40% - Accent1 6 2 2 8 2 2" xfId="28692" xr:uid="{00000000-0005-0000-0000-0000A12E0000}"/>
    <cellStyle name="40% - Accent1 6 2 2 8 3" xfId="20355" xr:uid="{00000000-0005-0000-0000-0000A22E0000}"/>
    <cellStyle name="40% - Accent1 6 2 2 9" xfId="3032" xr:uid="{00000000-0005-0000-0000-0000A32E0000}"/>
    <cellStyle name="40% - Accent1 6 2 2 9 2" xfId="16406" xr:uid="{00000000-0005-0000-0000-0000A42E0000}"/>
    <cellStyle name="40% - Accent1 6 2 2 9 2 2" xfId="29813" xr:uid="{00000000-0005-0000-0000-0000A52E0000}"/>
    <cellStyle name="40% - Accent1 6 2 2 9 3" xfId="20356" xr:uid="{00000000-0005-0000-0000-0000A62E0000}"/>
    <cellStyle name="40% - Accent1 6 2 3" xfId="3033" xr:uid="{00000000-0005-0000-0000-0000A72E0000}"/>
    <cellStyle name="40% - Accent1 6 2 3 2" xfId="3034" xr:uid="{00000000-0005-0000-0000-0000A82E0000}"/>
    <cellStyle name="40% - Accent1 6 2 3 2 2" xfId="10982" xr:uid="{00000000-0005-0000-0000-0000A92E0000}"/>
    <cellStyle name="40% - Accent1 6 2 3 2 2 2" xfId="24924" xr:uid="{00000000-0005-0000-0000-0000AA2E0000}"/>
    <cellStyle name="40% - Accent1 6 2 3 2 3" xfId="20358" xr:uid="{00000000-0005-0000-0000-0000AB2E0000}"/>
    <cellStyle name="40% - Accent1 6 2 3 3" xfId="3035" xr:uid="{00000000-0005-0000-0000-0000AC2E0000}"/>
    <cellStyle name="40% - Accent1 6 2 3 3 2" xfId="11833" xr:uid="{00000000-0005-0000-0000-0000AD2E0000}"/>
    <cellStyle name="40% - Accent1 6 2 3 3 2 2" xfId="25548" xr:uid="{00000000-0005-0000-0000-0000AE2E0000}"/>
    <cellStyle name="40% - Accent1 6 2 3 3 3" xfId="20359" xr:uid="{00000000-0005-0000-0000-0000AF2E0000}"/>
    <cellStyle name="40% - Accent1 6 2 3 4" xfId="3036" xr:uid="{00000000-0005-0000-0000-0000B02E0000}"/>
    <cellStyle name="40% - Accent1 6 2 3 4 2" xfId="15146" xr:uid="{00000000-0005-0000-0000-0000B12E0000}"/>
    <cellStyle name="40% - Accent1 6 2 3 4 2 2" xfId="28695" xr:uid="{00000000-0005-0000-0000-0000B22E0000}"/>
    <cellStyle name="40% - Accent1 6 2 3 4 3" xfId="20360" xr:uid="{00000000-0005-0000-0000-0000B32E0000}"/>
    <cellStyle name="40% - Accent1 6 2 3 5" xfId="3037" xr:uid="{00000000-0005-0000-0000-0000B42E0000}"/>
    <cellStyle name="40% - Accent1 6 2 3 5 2" xfId="16698" xr:uid="{00000000-0005-0000-0000-0000B52E0000}"/>
    <cellStyle name="40% - Accent1 6 2 3 5 2 2" xfId="30105" xr:uid="{00000000-0005-0000-0000-0000B62E0000}"/>
    <cellStyle name="40% - Accent1 6 2 3 5 3" xfId="20361" xr:uid="{00000000-0005-0000-0000-0000B72E0000}"/>
    <cellStyle name="40% - Accent1 6 2 3 6" xfId="9256" xr:uid="{00000000-0005-0000-0000-0000B82E0000}"/>
    <cellStyle name="40% - Accent1 6 2 3 6 2" xfId="23731" xr:uid="{00000000-0005-0000-0000-0000B92E0000}"/>
    <cellStyle name="40% - Accent1 6 2 3 7" xfId="20357" xr:uid="{00000000-0005-0000-0000-0000BA2E0000}"/>
    <cellStyle name="40% - Accent1 6 2 4" xfId="3038" xr:uid="{00000000-0005-0000-0000-0000BB2E0000}"/>
    <cellStyle name="40% - Accent1 6 2 4 2" xfId="3039" xr:uid="{00000000-0005-0000-0000-0000BC2E0000}"/>
    <cellStyle name="40% - Accent1 6 2 4 2 2" xfId="15147" xr:uid="{00000000-0005-0000-0000-0000BD2E0000}"/>
    <cellStyle name="40% - Accent1 6 2 4 2 2 2" xfId="28696" xr:uid="{00000000-0005-0000-0000-0000BE2E0000}"/>
    <cellStyle name="40% - Accent1 6 2 4 2 3" xfId="20363" xr:uid="{00000000-0005-0000-0000-0000BF2E0000}"/>
    <cellStyle name="40% - Accent1 6 2 4 3" xfId="10979" xr:uid="{00000000-0005-0000-0000-0000C02E0000}"/>
    <cellStyle name="40% - Accent1 6 2 4 3 2" xfId="24921" xr:uid="{00000000-0005-0000-0000-0000C12E0000}"/>
    <cellStyle name="40% - Accent1 6 2 4 4" xfId="20362" xr:uid="{00000000-0005-0000-0000-0000C22E0000}"/>
    <cellStyle name="40% - Accent1 6 2 5" xfId="3040" xr:uid="{00000000-0005-0000-0000-0000C32E0000}"/>
    <cellStyle name="40% - Accent1 6 2 5 2" xfId="12075" xr:uid="{00000000-0005-0000-0000-0000C42E0000}"/>
    <cellStyle name="40% - Accent1 6 2 5 2 2" xfId="25790" xr:uid="{00000000-0005-0000-0000-0000C52E0000}"/>
    <cellStyle name="40% - Accent1 6 2 5 3" xfId="20364" xr:uid="{00000000-0005-0000-0000-0000C62E0000}"/>
    <cellStyle name="40% - Accent1 6 2 6" xfId="3041" xr:uid="{00000000-0005-0000-0000-0000C72E0000}"/>
    <cellStyle name="40% - Accent1 6 2 6 2" xfId="12703" xr:uid="{00000000-0005-0000-0000-0000C82E0000}"/>
    <cellStyle name="40% - Accent1 6 2 6 2 2" xfId="26415" xr:uid="{00000000-0005-0000-0000-0000C92E0000}"/>
    <cellStyle name="40% - Accent1 6 2 6 3" xfId="20365" xr:uid="{00000000-0005-0000-0000-0000CA2E0000}"/>
    <cellStyle name="40% - Accent1 6 2 7" xfId="3042" xr:uid="{00000000-0005-0000-0000-0000CB2E0000}"/>
    <cellStyle name="40% - Accent1 6 2 7 2" xfId="13650" xr:uid="{00000000-0005-0000-0000-0000CC2E0000}"/>
    <cellStyle name="40% - Accent1 6 2 7 2 2" xfId="27199" xr:uid="{00000000-0005-0000-0000-0000CD2E0000}"/>
    <cellStyle name="40% - Accent1 6 2 7 3" xfId="20366" xr:uid="{00000000-0005-0000-0000-0000CE2E0000}"/>
    <cellStyle name="40% - Accent1 6 2 8" xfId="3043" xr:uid="{00000000-0005-0000-0000-0000CF2E0000}"/>
    <cellStyle name="40% - Accent1 6 2 8 2" xfId="14231" xr:uid="{00000000-0005-0000-0000-0000D02E0000}"/>
    <cellStyle name="40% - Accent1 6 2 8 2 2" xfId="27780" xr:uid="{00000000-0005-0000-0000-0000D12E0000}"/>
    <cellStyle name="40% - Accent1 6 2 8 3" xfId="20367" xr:uid="{00000000-0005-0000-0000-0000D22E0000}"/>
    <cellStyle name="40% - Accent1 6 2 9" xfId="3044" xr:uid="{00000000-0005-0000-0000-0000D32E0000}"/>
    <cellStyle name="40% - Accent1 6 2 9 2" xfId="15142" xr:uid="{00000000-0005-0000-0000-0000D42E0000}"/>
    <cellStyle name="40% - Accent1 6 2 9 2 2" xfId="28691" xr:uid="{00000000-0005-0000-0000-0000D52E0000}"/>
    <cellStyle name="40% - Accent1 6 2 9 3" xfId="20368" xr:uid="{00000000-0005-0000-0000-0000D62E0000}"/>
    <cellStyle name="40% - Accent1 6 3" xfId="3045" xr:uid="{00000000-0005-0000-0000-0000D72E0000}"/>
    <cellStyle name="40% - Accent1 6 3 10" xfId="9257" xr:uid="{00000000-0005-0000-0000-0000D82E0000}"/>
    <cellStyle name="40% - Accent1 6 3 10 2" xfId="23732" xr:uid="{00000000-0005-0000-0000-0000D92E0000}"/>
    <cellStyle name="40% - Accent1 6 3 11" xfId="20369" xr:uid="{00000000-0005-0000-0000-0000DA2E0000}"/>
    <cellStyle name="40% - Accent1 6 3 2" xfId="3046" xr:uid="{00000000-0005-0000-0000-0000DB2E0000}"/>
    <cellStyle name="40% - Accent1 6 3 2 2" xfId="3047" xr:uid="{00000000-0005-0000-0000-0000DC2E0000}"/>
    <cellStyle name="40% - Accent1 6 3 2 2 2" xfId="10984" xr:uid="{00000000-0005-0000-0000-0000DD2E0000}"/>
    <cellStyle name="40% - Accent1 6 3 2 2 2 2" xfId="24926" xr:uid="{00000000-0005-0000-0000-0000DE2E0000}"/>
    <cellStyle name="40% - Accent1 6 3 2 2 3" xfId="20371" xr:uid="{00000000-0005-0000-0000-0000DF2E0000}"/>
    <cellStyle name="40% - Accent1 6 3 2 3" xfId="3048" xr:uid="{00000000-0005-0000-0000-0000E02E0000}"/>
    <cellStyle name="40% - Accent1 6 3 2 3 2" xfId="12530" xr:uid="{00000000-0005-0000-0000-0000E12E0000}"/>
    <cellStyle name="40% - Accent1 6 3 2 3 2 2" xfId="26242" xr:uid="{00000000-0005-0000-0000-0000E22E0000}"/>
    <cellStyle name="40% - Accent1 6 3 2 3 3" xfId="20372" xr:uid="{00000000-0005-0000-0000-0000E32E0000}"/>
    <cellStyle name="40% - Accent1 6 3 2 4" xfId="3049" xr:uid="{00000000-0005-0000-0000-0000E42E0000}"/>
    <cellStyle name="40% - Accent1 6 3 2 4 2" xfId="15149" xr:uid="{00000000-0005-0000-0000-0000E52E0000}"/>
    <cellStyle name="40% - Accent1 6 3 2 4 2 2" xfId="28698" xr:uid="{00000000-0005-0000-0000-0000E62E0000}"/>
    <cellStyle name="40% - Accent1 6 3 2 4 3" xfId="20373" xr:uid="{00000000-0005-0000-0000-0000E72E0000}"/>
    <cellStyle name="40% - Accent1 6 3 2 5" xfId="3050" xr:uid="{00000000-0005-0000-0000-0000E82E0000}"/>
    <cellStyle name="40% - Accent1 6 3 2 5 2" xfId="16844" xr:uid="{00000000-0005-0000-0000-0000E92E0000}"/>
    <cellStyle name="40% - Accent1 6 3 2 5 2 2" xfId="30251" xr:uid="{00000000-0005-0000-0000-0000EA2E0000}"/>
    <cellStyle name="40% - Accent1 6 3 2 5 3" xfId="20374" xr:uid="{00000000-0005-0000-0000-0000EB2E0000}"/>
    <cellStyle name="40% - Accent1 6 3 2 6" xfId="9258" xr:uid="{00000000-0005-0000-0000-0000EC2E0000}"/>
    <cellStyle name="40% - Accent1 6 3 2 6 2" xfId="23733" xr:uid="{00000000-0005-0000-0000-0000ED2E0000}"/>
    <cellStyle name="40% - Accent1 6 3 2 7" xfId="20370" xr:uid="{00000000-0005-0000-0000-0000EE2E0000}"/>
    <cellStyle name="40% - Accent1 6 3 3" xfId="3051" xr:uid="{00000000-0005-0000-0000-0000EF2E0000}"/>
    <cellStyle name="40% - Accent1 6 3 3 2" xfId="3052" xr:uid="{00000000-0005-0000-0000-0000F02E0000}"/>
    <cellStyle name="40% - Accent1 6 3 3 2 2" xfId="15150" xr:uid="{00000000-0005-0000-0000-0000F12E0000}"/>
    <cellStyle name="40% - Accent1 6 3 3 2 2 2" xfId="28699" xr:uid="{00000000-0005-0000-0000-0000F22E0000}"/>
    <cellStyle name="40% - Accent1 6 3 3 2 3" xfId="20376" xr:uid="{00000000-0005-0000-0000-0000F32E0000}"/>
    <cellStyle name="40% - Accent1 6 3 3 3" xfId="10983" xr:uid="{00000000-0005-0000-0000-0000F42E0000}"/>
    <cellStyle name="40% - Accent1 6 3 3 3 2" xfId="24925" xr:uid="{00000000-0005-0000-0000-0000F52E0000}"/>
    <cellStyle name="40% - Accent1 6 3 3 4" xfId="20375" xr:uid="{00000000-0005-0000-0000-0000F62E0000}"/>
    <cellStyle name="40% - Accent1 6 3 4" xfId="3053" xr:uid="{00000000-0005-0000-0000-0000F72E0000}"/>
    <cellStyle name="40% - Accent1 6 3 4 2" xfId="12232" xr:uid="{00000000-0005-0000-0000-0000F82E0000}"/>
    <cellStyle name="40% - Accent1 6 3 4 2 2" xfId="25944" xr:uid="{00000000-0005-0000-0000-0000F92E0000}"/>
    <cellStyle name="40% - Accent1 6 3 4 3" xfId="20377" xr:uid="{00000000-0005-0000-0000-0000FA2E0000}"/>
    <cellStyle name="40% - Accent1 6 3 5" xfId="3054" xr:uid="{00000000-0005-0000-0000-0000FB2E0000}"/>
    <cellStyle name="40% - Accent1 6 3 5 2" xfId="12437" xr:uid="{00000000-0005-0000-0000-0000FC2E0000}"/>
    <cellStyle name="40% - Accent1 6 3 5 2 2" xfId="26149" xr:uid="{00000000-0005-0000-0000-0000FD2E0000}"/>
    <cellStyle name="40% - Accent1 6 3 5 3" xfId="20378" xr:uid="{00000000-0005-0000-0000-0000FE2E0000}"/>
    <cellStyle name="40% - Accent1 6 3 6" xfId="3055" xr:uid="{00000000-0005-0000-0000-0000FF2E0000}"/>
    <cellStyle name="40% - Accent1 6 3 6 2" xfId="13796" xr:uid="{00000000-0005-0000-0000-0000002F0000}"/>
    <cellStyle name="40% - Accent1 6 3 6 2 2" xfId="27345" xr:uid="{00000000-0005-0000-0000-0000012F0000}"/>
    <cellStyle name="40% - Accent1 6 3 6 3" xfId="20379" xr:uid="{00000000-0005-0000-0000-0000022F0000}"/>
    <cellStyle name="40% - Accent1 6 3 7" xfId="3056" xr:uid="{00000000-0005-0000-0000-0000032F0000}"/>
    <cellStyle name="40% - Accent1 6 3 7 2" xfId="14377" xr:uid="{00000000-0005-0000-0000-0000042F0000}"/>
    <cellStyle name="40% - Accent1 6 3 7 2 2" xfId="27926" xr:uid="{00000000-0005-0000-0000-0000052F0000}"/>
    <cellStyle name="40% - Accent1 6 3 7 3" xfId="20380" xr:uid="{00000000-0005-0000-0000-0000062F0000}"/>
    <cellStyle name="40% - Accent1 6 3 8" xfId="3057" xr:uid="{00000000-0005-0000-0000-0000072F0000}"/>
    <cellStyle name="40% - Accent1 6 3 8 2" xfId="15148" xr:uid="{00000000-0005-0000-0000-0000082F0000}"/>
    <cellStyle name="40% - Accent1 6 3 8 2 2" xfId="28697" xr:uid="{00000000-0005-0000-0000-0000092F0000}"/>
    <cellStyle name="40% - Accent1 6 3 8 3" xfId="20381" xr:uid="{00000000-0005-0000-0000-00000A2F0000}"/>
    <cellStyle name="40% - Accent1 6 3 9" xfId="3058" xr:uid="{00000000-0005-0000-0000-00000B2F0000}"/>
    <cellStyle name="40% - Accent1 6 3 9 2" xfId="16263" xr:uid="{00000000-0005-0000-0000-00000C2F0000}"/>
    <cellStyle name="40% - Accent1 6 3 9 2 2" xfId="29670" xr:uid="{00000000-0005-0000-0000-00000D2F0000}"/>
    <cellStyle name="40% - Accent1 6 3 9 3" xfId="20382" xr:uid="{00000000-0005-0000-0000-00000E2F0000}"/>
    <cellStyle name="40% - Accent1 6 4" xfId="3059" xr:uid="{00000000-0005-0000-0000-00000F2F0000}"/>
    <cellStyle name="40% - Accent1 6 4 2" xfId="3060" xr:uid="{00000000-0005-0000-0000-0000102F0000}"/>
    <cellStyle name="40% - Accent1 6 4 2 2" xfId="10985" xr:uid="{00000000-0005-0000-0000-0000112F0000}"/>
    <cellStyle name="40% - Accent1 6 4 2 2 2" xfId="24927" xr:uid="{00000000-0005-0000-0000-0000122F0000}"/>
    <cellStyle name="40% - Accent1 6 4 2 3" xfId="20384" xr:uid="{00000000-0005-0000-0000-0000132F0000}"/>
    <cellStyle name="40% - Accent1 6 4 3" xfId="3061" xr:uid="{00000000-0005-0000-0000-0000142F0000}"/>
    <cellStyle name="40% - Accent1 6 4 3 2" xfId="12445" xr:uid="{00000000-0005-0000-0000-0000152F0000}"/>
    <cellStyle name="40% - Accent1 6 4 3 2 2" xfId="26157" xr:uid="{00000000-0005-0000-0000-0000162F0000}"/>
    <cellStyle name="40% - Accent1 6 4 3 3" xfId="20385" xr:uid="{00000000-0005-0000-0000-0000172F0000}"/>
    <cellStyle name="40% - Accent1 6 4 4" xfId="3062" xr:uid="{00000000-0005-0000-0000-0000182F0000}"/>
    <cellStyle name="40% - Accent1 6 4 4 2" xfId="15151" xr:uid="{00000000-0005-0000-0000-0000192F0000}"/>
    <cellStyle name="40% - Accent1 6 4 4 2 2" xfId="28700" xr:uid="{00000000-0005-0000-0000-00001A2F0000}"/>
    <cellStyle name="40% - Accent1 6 4 4 3" xfId="20386" xr:uid="{00000000-0005-0000-0000-00001B2F0000}"/>
    <cellStyle name="40% - Accent1 6 4 5" xfId="3063" xr:uid="{00000000-0005-0000-0000-00001C2F0000}"/>
    <cellStyle name="40% - Accent1 6 4 5 2" xfId="16555" xr:uid="{00000000-0005-0000-0000-00001D2F0000}"/>
    <cellStyle name="40% - Accent1 6 4 5 2 2" xfId="29962" xr:uid="{00000000-0005-0000-0000-00001E2F0000}"/>
    <cellStyle name="40% - Accent1 6 4 5 3" xfId="20387" xr:uid="{00000000-0005-0000-0000-00001F2F0000}"/>
    <cellStyle name="40% - Accent1 6 4 6" xfId="9259" xr:uid="{00000000-0005-0000-0000-0000202F0000}"/>
    <cellStyle name="40% - Accent1 6 4 6 2" xfId="23734" xr:uid="{00000000-0005-0000-0000-0000212F0000}"/>
    <cellStyle name="40% - Accent1 6 4 7" xfId="20383" xr:uid="{00000000-0005-0000-0000-0000222F0000}"/>
    <cellStyle name="40% - Accent1 6 5" xfId="3064" xr:uid="{00000000-0005-0000-0000-0000232F0000}"/>
    <cellStyle name="40% - Accent1 6 5 2" xfId="3065" xr:uid="{00000000-0005-0000-0000-0000242F0000}"/>
    <cellStyle name="40% - Accent1 6 5 2 2" xfId="15152" xr:uid="{00000000-0005-0000-0000-0000252F0000}"/>
    <cellStyle name="40% - Accent1 6 5 2 2 2" xfId="28701" xr:uid="{00000000-0005-0000-0000-0000262F0000}"/>
    <cellStyle name="40% - Accent1 6 5 2 3" xfId="20389" xr:uid="{00000000-0005-0000-0000-0000272F0000}"/>
    <cellStyle name="40% - Accent1 6 5 3" xfId="10978" xr:uid="{00000000-0005-0000-0000-0000282F0000}"/>
    <cellStyle name="40% - Accent1 6 5 3 2" xfId="24920" xr:uid="{00000000-0005-0000-0000-0000292F0000}"/>
    <cellStyle name="40% - Accent1 6 5 4" xfId="20388" xr:uid="{00000000-0005-0000-0000-00002A2F0000}"/>
    <cellStyle name="40% - Accent1 6 6" xfId="3066" xr:uid="{00000000-0005-0000-0000-00002B2F0000}"/>
    <cellStyle name="40% - Accent1 6 6 2" xfId="11930" xr:uid="{00000000-0005-0000-0000-00002C2F0000}"/>
    <cellStyle name="40% - Accent1 6 6 2 2" xfId="25645" xr:uid="{00000000-0005-0000-0000-00002D2F0000}"/>
    <cellStyle name="40% - Accent1 6 6 3" xfId="20390" xr:uid="{00000000-0005-0000-0000-00002E2F0000}"/>
    <cellStyle name="40% - Accent1 6 7" xfId="3067" xr:uid="{00000000-0005-0000-0000-00002F2F0000}"/>
    <cellStyle name="40% - Accent1 6 7 2" xfId="12421" xr:uid="{00000000-0005-0000-0000-0000302F0000}"/>
    <cellStyle name="40% - Accent1 6 7 2 2" xfId="26133" xr:uid="{00000000-0005-0000-0000-0000312F0000}"/>
    <cellStyle name="40% - Accent1 6 7 3" xfId="20391" xr:uid="{00000000-0005-0000-0000-0000322F0000}"/>
    <cellStyle name="40% - Accent1 6 8" xfId="3068" xr:uid="{00000000-0005-0000-0000-0000332F0000}"/>
    <cellStyle name="40% - Accent1 6 8 2" xfId="13507" xr:uid="{00000000-0005-0000-0000-0000342F0000}"/>
    <cellStyle name="40% - Accent1 6 8 2 2" xfId="27056" xr:uid="{00000000-0005-0000-0000-0000352F0000}"/>
    <cellStyle name="40% - Accent1 6 8 3" xfId="20392" xr:uid="{00000000-0005-0000-0000-0000362F0000}"/>
    <cellStyle name="40% - Accent1 6 9" xfId="3069" xr:uid="{00000000-0005-0000-0000-0000372F0000}"/>
    <cellStyle name="40% - Accent1 6 9 2" xfId="14088" xr:uid="{00000000-0005-0000-0000-0000382F0000}"/>
    <cellStyle name="40% - Accent1 6 9 2 2" xfId="27637" xr:uid="{00000000-0005-0000-0000-0000392F0000}"/>
    <cellStyle name="40% - Accent1 6 9 3" xfId="20393" xr:uid="{00000000-0005-0000-0000-00003A2F0000}"/>
    <cellStyle name="40% - Accent1 7" xfId="3070" xr:uid="{00000000-0005-0000-0000-00003B2F0000}"/>
    <cellStyle name="40% - Accent1 7 10" xfId="3071" xr:uid="{00000000-0005-0000-0000-00003C2F0000}"/>
    <cellStyle name="40% - Accent1 7 10 2" xfId="15989" xr:uid="{00000000-0005-0000-0000-00003D2F0000}"/>
    <cellStyle name="40% - Accent1 7 10 2 2" xfId="29396" xr:uid="{00000000-0005-0000-0000-00003E2F0000}"/>
    <cellStyle name="40% - Accent1 7 10 3" xfId="20395" xr:uid="{00000000-0005-0000-0000-00003F2F0000}"/>
    <cellStyle name="40% - Accent1 7 11" xfId="9260" xr:uid="{00000000-0005-0000-0000-0000402F0000}"/>
    <cellStyle name="40% - Accent1 7 11 2" xfId="23735" xr:uid="{00000000-0005-0000-0000-0000412F0000}"/>
    <cellStyle name="40% - Accent1 7 12" xfId="20394" xr:uid="{00000000-0005-0000-0000-0000422F0000}"/>
    <cellStyle name="40% - Accent1 7 2" xfId="3072" xr:uid="{00000000-0005-0000-0000-0000432F0000}"/>
    <cellStyle name="40% - Accent1 7 2 10" xfId="9261" xr:uid="{00000000-0005-0000-0000-0000442F0000}"/>
    <cellStyle name="40% - Accent1 7 2 10 2" xfId="23736" xr:uid="{00000000-0005-0000-0000-0000452F0000}"/>
    <cellStyle name="40% - Accent1 7 2 11" xfId="20396" xr:uid="{00000000-0005-0000-0000-0000462F0000}"/>
    <cellStyle name="40% - Accent1 7 2 2" xfId="3073" xr:uid="{00000000-0005-0000-0000-0000472F0000}"/>
    <cellStyle name="40% - Accent1 7 2 2 2" xfId="3074" xr:uid="{00000000-0005-0000-0000-0000482F0000}"/>
    <cellStyle name="40% - Accent1 7 2 2 2 2" xfId="10988" xr:uid="{00000000-0005-0000-0000-0000492F0000}"/>
    <cellStyle name="40% - Accent1 7 2 2 2 2 2" xfId="24930" xr:uid="{00000000-0005-0000-0000-00004A2F0000}"/>
    <cellStyle name="40% - Accent1 7 2 2 2 3" xfId="20398" xr:uid="{00000000-0005-0000-0000-00004B2F0000}"/>
    <cellStyle name="40% - Accent1 7 2 2 3" xfId="3075" xr:uid="{00000000-0005-0000-0000-00004C2F0000}"/>
    <cellStyle name="40% - Accent1 7 2 2 3 2" xfId="12408" xr:uid="{00000000-0005-0000-0000-00004D2F0000}"/>
    <cellStyle name="40% - Accent1 7 2 2 3 2 2" xfId="26120" xr:uid="{00000000-0005-0000-0000-00004E2F0000}"/>
    <cellStyle name="40% - Accent1 7 2 2 3 3" xfId="20399" xr:uid="{00000000-0005-0000-0000-00004F2F0000}"/>
    <cellStyle name="40% - Accent1 7 2 2 4" xfId="3076" xr:uid="{00000000-0005-0000-0000-0000502F0000}"/>
    <cellStyle name="40% - Accent1 7 2 2 4 2" xfId="15155" xr:uid="{00000000-0005-0000-0000-0000512F0000}"/>
    <cellStyle name="40% - Accent1 7 2 2 4 2 2" xfId="28704" xr:uid="{00000000-0005-0000-0000-0000522F0000}"/>
    <cellStyle name="40% - Accent1 7 2 2 4 3" xfId="20400" xr:uid="{00000000-0005-0000-0000-0000532F0000}"/>
    <cellStyle name="40% - Accent1 7 2 2 5" xfId="3077" xr:uid="{00000000-0005-0000-0000-0000542F0000}"/>
    <cellStyle name="40% - Accent1 7 2 2 5 2" xfId="16859" xr:uid="{00000000-0005-0000-0000-0000552F0000}"/>
    <cellStyle name="40% - Accent1 7 2 2 5 2 2" xfId="30266" xr:uid="{00000000-0005-0000-0000-0000562F0000}"/>
    <cellStyle name="40% - Accent1 7 2 2 5 3" xfId="20401" xr:uid="{00000000-0005-0000-0000-0000572F0000}"/>
    <cellStyle name="40% - Accent1 7 2 2 6" xfId="9262" xr:uid="{00000000-0005-0000-0000-0000582F0000}"/>
    <cellStyle name="40% - Accent1 7 2 2 6 2" xfId="23737" xr:uid="{00000000-0005-0000-0000-0000592F0000}"/>
    <cellStyle name="40% - Accent1 7 2 2 7" xfId="20397" xr:uid="{00000000-0005-0000-0000-00005A2F0000}"/>
    <cellStyle name="40% - Accent1 7 2 3" xfId="3078" xr:uid="{00000000-0005-0000-0000-00005B2F0000}"/>
    <cellStyle name="40% - Accent1 7 2 3 2" xfId="3079" xr:uid="{00000000-0005-0000-0000-00005C2F0000}"/>
    <cellStyle name="40% - Accent1 7 2 3 2 2" xfId="15156" xr:uid="{00000000-0005-0000-0000-00005D2F0000}"/>
    <cellStyle name="40% - Accent1 7 2 3 2 2 2" xfId="28705" xr:uid="{00000000-0005-0000-0000-00005E2F0000}"/>
    <cellStyle name="40% - Accent1 7 2 3 2 3" xfId="20403" xr:uid="{00000000-0005-0000-0000-00005F2F0000}"/>
    <cellStyle name="40% - Accent1 7 2 3 3" xfId="10987" xr:uid="{00000000-0005-0000-0000-0000602F0000}"/>
    <cellStyle name="40% - Accent1 7 2 3 3 2" xfId="24929" xr:uid="{00000000-0005-0000-0000-0000612F0000}"/>
    <cellStyle name="40% - Accent1 7 2 3 4" xfId="20402" xr:uid="{00000000-0005-0000-0000-0000622F0000}"/>
    <cellStyle name="40% - Accent1 7 2 4" xfId="3080" xr:uid="{00000000-0005-0000-0000-0000632F0000}"/>
    <cellStyle name="40% - Accent1 7 2 4 2" xfId="12247" xr:uid="{00000000-0005-0000-0000-0000642F0000}"/>
    <cellStyle name="40% - Accent1 7 2 4 2 2" xfId="25959" xr:uid="{00000000-0005-0000-0000-0000652F0000}"/>
    <cellStyle name="40% - Accent1 7 2 4 3" xfId="20404" xr:uid="{00000000-0005-0000-0000-0000662F0000}"/>
    <cellStyle name="40% - Accent1 7 2 5" xfId="3081" xr:uid="{00000000-0005-0000-0000-0000672F0000}"/>
    <cellStyle name="40% - Accent1 7 2 5 2" xfId="12782" xr:uid="{00000000-0005-0000-0000-0000682F0000}"/>
    <cellStyle name="40% - Accent1 7 2 5 2 2" xfId="26494" xr:uid="{00000000-0005-0000-0000-0000692F0000}"/>
    <cellStyle name="40% - Accent1 7 2 5 3" xfId="20405" xr:uid="{00000000-0005-0000-0000-00006A2F0000}"/>
    <cellStyle name="40% - Accent1 7 2 6" xfId="3082" xr:uid="{00000000-0005-0000-0000-00006B2F0000}"/>
    <cellStyle name="40% - Accent1 7 2 6 2" xfId="13811" xr:uid="{00000000-0005-0000-0000-00006C2F0000}"/>
    <cellStyle name="40% - Accent1 7 2 6 2 2" xfId="27360" xr:uid="{00000000-0005-0000-0000-00006D2F0000}"/>
    <cellStyle name="40% - Accent1 7 2 6 3" xfId="20406" xr:uid="{00000000-0005-0000-0000-00006E2F0000}"/>
    <cellStyle name="40% - Accent1 7 2 7" xfId="3083" xr:uid="{00000000-0005-0000-0000-00006F2F0000}"/>
    <cellStyle name="40% - Accent1 7 2 7 2" xfId="14392" xr:uid="{00000000-0005-0000-0000-0000702F0000}"/>
    <cellStyle name="40% - Accent1 7 2 7 2 2" xfId="27941" xr:uid="{00000000-0005-0000-0000-0000712F0000}"/>
    <cellStyle name="40% - Accent1 7 2 7 3" xfId="20407" xr:uid="{00000000-0005-0000-0000-0000722F0000}"/>
    <cellStyle name="40% - Accent1 7 2 8" xfId="3084" xr:uid="{00000000-0005-0000-0000-0000732F0000}"/>
    <cellStyle name="40% - Accent1 7 2 8 2" xfId="15154" xr:uid="{00000000-0005-0000-0000-0000742F0000}"/>
    <cellStyle name="40% - Accent1 7 2 8 2 2" xfId="28703" xr:uid="{00000000-0005-0000-0000-0000752F0000}"/>
    <cellStyle name="40% - Accent1 7 2 8 3" xfId="20408" xr:uid="{00000000-0005-0000-0000-0000762F0000}"/>
    <cellStyle name="40% - Accent1 7 2 9" xfId="3085" xr:uid="{00000000-0005-0000-0000-0000772F0000}"/>
    <cellStyle name="40% - Accent1 7 2 9 2" xfId="16278" xr:uid="{00000000-0005-0000-0000-0000782F0000}"/>
    <cellStyle name="40% - Accent1 7 2 9 2 2" xfId="29685" xr:uid="{00000000-0005-0000-0000-0000792F0000}"/>
    <cellStyle name="40% - Accent1 7 2 9 3" xfId="20409" xr:uid="{00000000-0005-0000-0000-00007A2F0000}"/>
    <cellStyle name="40% - Accent1 7 3" xfId="3086" xr:uid="{00000000-0005-0000-0000-00007B2F0000}"/>
    <cellStyle name="40% - Accent1 7 3 2" xfId="3087" xr:uid="{00000000-0005-0000-0000-00007C2F0000}"/>
    <cellStyle name="40% - Accent1 7 3 2 2" xfId="10989" xr:uid="{00000000-0005-0000-0000-00007D2F0000}"/>
    <cellStyle name="40% - Accent1 7 3 2 2 2" xfId="24931" xr:uid="{00000000-0005-0000-0000-00007E2F0000}"/>
    <cellStyle name="40% - Accent1 7 3 2 3" xfId="20411" xr:uid="{00000000-0005-0000-0000-00007F2F0000}"/>
    <cellStyle name="40% - Accent1 7 3 3" xfId="3088" xr:uid="{00000000-0005-0000-0000-0000802F0000}"/>
    <cellStyle name="40% - Accent1 7 3 3 2" xfId="12444" xr:uid="{00000000-0005-0000-0000-0000812F0000}"/>
    <cellStyle name="40% - Accent1 7 3 3 2 2" xfId="26156" xr:uid="{00000000-0005-0000-0000-0000822F0000}"/>
    <cellStyle name="40% - Accent1 7 3 3 3" xfId="20412" xr:uid="{00000000-0005-0000-0000-0000832F0000}"/>
    <cellStyle name="40% - Accent1 7 3 4" xfId="3089" xr:uid="{00000000-0005-0000-0000-0000842F0000}"/>
    <cellStyle name="40% - Accent1 7 3 4 2" xfId="15157" xr:uid="{00000000-0005-0000-0000-0000852F0000}"/>
    <cellStyle name="40% - Accent1 7 3 4 2 2" xfId="28706" xr:uid="{00000000-0005-0000-0000-0000862F0000}"/>
    <cellStyle name="40% - Accent1 7 3 4 3" xfId="20413" xr:uid="{00000000-0005-0000-0000-0000872F0000}"/>
    <cellStyle name="40% - Accent1 7 3 5" xfId="3090" xr:uid="{00000000-0005-0000-0000-0000882F0000}"/>
    <cellStyle name="40% - Accent1 7 3 5 2" xfId="16570" xr:uid="{00000000-0005-0000-0000-0000892F0000}"/>
    <cellStyle name="40% - Accent1 7 3 5 2 2" xfId="29977" xr:uid="{00000000-0005-0000-0000-00008A2F0000}"/>
    <cellStyle name="40% - Accent1 7 3 5 3" xfId="20414" xr:uid="{00000000-0005-0000-0000-00008B2F0000}"/>
    <cellStyle name="40% - Accent1 7 3 6" xfId="9263" xr:uid="{00000000-0005-0000-0000-00008C2F0000}"/>
    <cellStyle name="40% - Accent1 7 3 6 2" xfId="23738" xr:uid="{00000000-0005-0000-0000-00008D2F0000}"/>
    <cellStyle name="40% - Accent1 7 3 7" xfId="20410" xr:uid="{00000000-0005-0000-0000-00008E2F0000}"/>
    <cellStyle name="40% - Accent1 7 4" xfId="3091" xr:uid="{00000000-0005-0000-0000-00008F2F0000}"/>
    <cellStyle name="40% - Accent1 7 4 2" xfId="3092" xr:uid="{00000000-0005-0000-0000-0000902F0000}"/>
    <cellStyle name="40% - Accent1 7 4 2 2" xfId="15158" xr:uid="{00000000-0005-0000-0000-0000912F0000}"/>
    <cellStyle name="40% - Accent1 7 4 2 2 2" xfId="28707" xr:uid="{00000000-0005-0000-0000-0000922F0000}"/>
    <cellStyle name="40% - Accent1 7 4 2 3" xfId="20416" xr:uid="{00000000-0005-0000-0000-0000932F0000}"/>
    <cellStyle name="40% - Accent1 7 4 3" xfId="10986" xr:uid="{00000000-0005-0000-0000-0000942F0000}"/>
    <cellStyle name="40% - Accent1 7 4 3 2" xfId="24928" xr:uid="{00000000-0005-0000-0000-0000952F0000}"/>
    <cellStyle name="40% - Accent1 7 4 4" xfId="20415" xr:uid="{00000000-0005-0000-0000-0000962F0000}"/>
    <cellStyle name="40% - Accent1 7 5" xfId="3093" xr:uid="{00000000-0005-0000-0000-0000972F0000}"/>
    <cellStyle name="40% - Accent1 7 5 2" xfId="11945" xr:uid="{00000000-0005-0000-0000-0000982F0000}"/>
    <cellStyle name="40% - Accent1 7 5 2 2" xfId="25660" xr:uid="{00000000-0005-0000-0000-0000992F0000}"/>
    <cellStyle name="40% - Accent1 7 5 3" xfId="20417" xr:uid="{00000000-0005-0000-0000-00009A2F0000}"/>
    <cellStyle name="40% - Accent1 7 6" xfId="3094" xr:uid="{00000000-0005-0000-0000-00009B2F0000}"/>
    <cellStyle name="40% - Accent1 7 6 2" xfId="12737" xr:uid="{00000000-0005-0000-0000-00009C2F0000}"/>
    <cellStyle name="40% - Accent1 7 6 2 2" xfId="26449" xr:uid="{00000000-0005-0000-0000-00009D2F0000}"/>
    <cellStyle name="40% - Accent1 7 6 3" xfId="20418" xr:uid="{00000000-0005-0000-0000-00009E2F0000}"/>
    <cellStyle name="40% - Accent1 7 7" xfId="3095" xr:uid="{00000000-0005-0000-0000-00009F2F0000}"/>
    <cellStyle name="40% - Accent1 7 7 2" xfId="13522" xr:uid="{00000000-0005-0000-0000-0000A02F0000}"/>
    <cellStyle name="40% - Accent1 7 7 2 2" xfId="27071" xr:uid="{00000000-0005-0000-0000-0000A12F0000}"/>
    <cellStyle name="40% - Accent1 7 7 3" xfId="20419" xr:uid="{00000000-0005-0000-0000-0000A22F0000}"/>
    <cellStyle name="40% - Accent1 7 8" xfId="3096" xr:uid="{00000000-0005-0000-0000-0000A32F0000}"/>
    <cellStyle name="40% - Accent1 7 8 2" xfId="14103" xr:uid="{00000000-0005-0000-0000-0000A42F0000}"/>
    <cellStyle name="40% - Accent1 7 8 2 2" xfId="27652" xr:uid="{00000000-0005-0000-0000-0000A52F0000}"/>
    <cellStyle name="40% - Accent1 7 8 3" xfId="20420" xr:uid="{00000000-0005-0000-0000-0000A62F0000}"/>
    <cellStyle name="40% - Accent1 7 9" xfId="3097" xr:uid="{00000000-0005-0000-0000-0000A72F0000}"/>
    <cellStyle name="40% - Accent1 7 9 2" xfId="15153" xr:uid="{00000000-0005-0000-0000-0000A82F0000}"/>
    <cellStyle name="40% - Accent1 7 9 2 2" xfId="28702" xr:uid="{00000000-0005-0000-0000-0000A92F0000}"/>
    <cellStyle name="40% - Accent1 7 9 3" xfId="20421" xr:uid="{00000000-0005-0000-0000-0000AA2F0000}"/>
    <cellStyle name="40% - Accent1 8" xfId="3098" xr:uid="{00000000-0005-0000-0000-0000AB2F0000}"/>
    <cellStyle name="40% - Accent1 8 10" xfId="9264" xr:uid="{00000000-0005-0000-0000-0000AC2F0000}"/>
    <cellStyle name="40% - Accent1 8 10 2" xfId="23739" xr:uid="{00000000-0005-0000-0000-0000AD2F0000}"/>
    <cellStyle name="40% - Accent1 8 11" xfId="20422" xr:uid="{00000000-0005-0000-0000-0000AE2F0000}"/>
    <cellStyle name="40% - Accent1 8 2" xfId="3099" xr:uid="{00000000-0005-0000-0000-0000AF2F0000}"/>
    <cellStyle name="40% - Accent1 8 2 2" xfId="3100" xr:uid="{00000000-0005-0000-0000-0000B02F0000}"/>
    <cellStyle name="40% - Accent1 8 2 2 2" xfId="10991" xr:uid="{00000000-0005-0000-0000-0000B12F0000}"/>
    <cellStyle name="40% - Accent1 8 2 2 2 2" xfId="24933" xr:uid="{00000000-0005-0000-0000-0000B22F0000}"/>
    <cellStyle name="40% - Accent1 8 2 2 3" xfId="20424" xr:uid="{00000000-0005-0000-0000-0000B32F0000}"/>
    <cellStyle name="40% - Accent1 8 2 3" xfId="3101" xr:uid="{00000000-0005-0000-0000-0000B42F0000}"/>
    <cellStyle name="40% - Accent1 8 2 3 2" xfId="12764" xr:uid="{00000000-0005-0000-0000-0000B52F0000}"/>
    <cellStyle name="40% - Accent1 8 2 3 2 2" xfId="26476" xr:uid="{00000000-0005-0000-0000-0000B62F0000}"/>
    <cellStyle name="40% - Accent1 8 2 3 3" xfId="20425" xr:uid="{00000000-0005-0000-0000-0000B72F0000}"/>
    <cellStyle name="40% - Accent1 8 2 4" xfId="3102" xr:uid="{00000000-0005-0000-0000-0000B82F0000}"/>
    <cellStyle name="40% - Accent1 8 2 4 2" xfId="15160" xr:uid="{00000000-0005-0000-0000-0000B92F0000}"/>
    <cellStyle name="40% - Accent1 8 2 4 2 2" xfId="28709" xr:uid="{00000000-0005-0000-0000-0000BA2F0000}"/>
    <cellStyle name="40% - Accent1 8 2 4 3" xfId="20426" xr:uid="{00000000-0005-0000-0000-0000BB2F0000}"/>
    <cellStyle name="40% - Accent1 8 2 5" xfId="3103" xr:uid="{00000000-0005-0000-0000-0000BC2F0000}"/>
    <cellStyle name="40% - Accent1 8 2 5 2" xfId="16718" xr:uid="{00000000-0005-0000-0000-0000BD2F0000}"/>
    <cellStyle name="40% - Accent1 8 2 5 2 2" xfId="30125" xr:uid="{00000000-0005-0000-0000-0000BE2F0000}"/>
    <cellStyle name="40% - Accent1 8 2 5 3" xfId="20427" xr:uid="{00000000-0005-0000-0000-0000BF2F0000}"/>
    <cellStyle name="40% - Accent1 8 2 6" xfId="9265" xr:uid="{00000000-0005-0000-0000-0000C02F0000}"/>
    <cellStyle name="40% - Accent1 8 2 6 2" xfId="23740" xr:uid="{00000000-0005-0000-0000-0000C12F0000}"/>
    <cellStyle name="40% - Accent1 8 2 7" xfId="20423" xr:uid="{00000000-0005-0000-0000-0000C22F0000}"/>
    <cellStyle name="40% - Accent1 8 3" xfId="3104" xr:uid="{00000000-0005-0000-0000-0000C32F0000}"/>
    <cellStyle name="40% - Accent1 8 3 2" xfId="3105" xr:uid="{00000000-0005-0000-0000-0000C42F0000}"/>
    <cellStyle name="40% - Accent1 8 3 2 2" xfId="15161" xr:uid="{00000000-0005-0000-0000-0000C52F0000}"/>
    <cellStyle name="40% - Accent1 8 3 2 2 2" xfId="28710" xr:uid="{00000000-0005-0000-0000-0000C62F0000}"/>
    <cellStyle name="40% - Accent1 8 3 2 3" xfId="20429" xr:uid="{00000000-0005-0000-0000-0000C72F0000}"/>
    <cellStyle name="40% - Accent1 8 3 3" xfId="10990" xr:uid="{00000000-0005-0000-0000-0000C82F0000}"/>
    <cellStyle name="40% - Accent1 8 3 3 2" xfId="24932" xr:uid="{00000000-0005-0000-0000-0000C92F0000}"/>
    <cellStyle name="40% - Accent1 8 3 4" xfId="20428" xr:uid="{00000000-0005-0000-0000-0000CA2F0000}"/>
    <cellStyle name="40% - Accent1 8 4" xfId="3106" xr:uid="{00000000-0005-0000-0000-0000CB2F0000}"/>
    <cellStyle name="40% - Accent1 8 4 2" xfId="12096" xr:uid="{00000000-0005-0000-0000-0000CC2F0000}"/>
    <cellStyle name="40% - Accent1 8 4 2 2" xfId="25810" xr:uid="{00000000-0005-0000-0000-0000CD2F0000}"/>
    <cellStyle name="40% - Accent1 8 4 3" xfId="20430" xr:uid="{00000000-0005-0000-0000-0000CE2F0000}"/>
    <cellStyle name="40% - Accent1 8 5" xfId="3107" xr:uid="{00000000-0005-0000-0000-0000CF2F0000}"/>
    <cellStyle name="40% - Accent1 8 5 2" xfId="12513" xr:uid="{00000000-0005-0000-0000-0000D02F0000}"/>
    <cellStyle name="40% - Accent1 8 5 2 2" xfId="26225" xr:uid="{00000000-0005-0000-0000-0000D12F0000}"/>
    <cellStyle name="40% - Accent1 8 5 3" xfId="20431" xr:uid="{00000000-0005-0000-0000-0000D22F0000}"/>
    <cellStyle name="40% - Accent1 8 6" xfId="3108" xr:uid="{00000000-0005-0000-0000-0000D32F0000}"/>
    <cellStyle name="40% - Accent1 8 6 2" xfId="13670" xr:uid="{00000000-0005-0000-0000-0000D42F0000}"/>
    <cellStyle name="40% - Accent1 8 6 2 2" xfId="27219" xr:uid="{00000000-0005-0000-0000-0000D52F0000}"/>
    <cellStyle name="40% - Accent1 8 6 3" xfId="20432" xr:uid="{00000000-0005-0000-0000-0000D62F0000}"/>
    <cellStyle name="40% - Accent1 8 7" xfId="3109" xr:uid="{00000000-0005-0000-0000-0000D72F0000}"/>
    <cellStyle name="40% - Accent1 8 7 2" xfId="14251" xr:uid="{00000000-0005-0000-0000-0000D82F0000}"/>
    <cellStyle name="40% - Accent1 8 7 2 2" xfId="27800" xr:uid="{00000000-0005-0000-0000-0000D92F0000}"/>
    <cellStyle name="40% - Accent1 8 7 3" xfId="20433" xr:uid="{00000000-0005-0000-0000-0000DA2F0000}"/>
    <cellStyle name="40% - Accent1 8 8" xfId="3110" xr:uid="{00000000-0005-0000-0000-0000DB2F0000}"/>
    <cellStyle name="40% - Accent1 8 8 2" xfId="15159" xr:uid="{00000000-0005-0000-0000-0000DC2F0000}"/>
    <cellStyle name="40% - Accent1 8 8 2 2" xfId="28708" xr:uid="{00000000-0005-0000-0000-0000DD2F0000}"/>
    <cellStyle name="40% - Accent1 8 8 3" xfId="20434" xr:uid="{00000000-0005-0000-0000-0000DE2F0000}"/>
    <cellStyle name="40% - Accent1 8 9" xfId="3111" xr:uid="{00000000-0005-0000-0000-0000DF2F0000}"/>
    <cellStyle name="40% - Accent1 8 9 2" xfId="16137" xr:uid="{00000000-0005-0000-0000-0000E02F0000}"/>
    <cellStyle name="40% - Accent1 8 9 2 2" xfId="29544" xr:uid="{00000000-0005-0000-0000-0000E12F0000}"/>
    <cellStyle name="40% - Accent1 8 9 3" xfId="20435" xr:uid="{00000000-0005-0000-0000-0000E22F0000}"/>
    <cellStyle name="40% - Accent1 9" xfId="3112" xr:uid="{00000000-0005-0000-0000-0000E32F0000}"/>
    <cellStyle name="40% - Accent1 9 2" xfId="3113" xr:uid="{00000000-0005-0000-0000-0000E42F0000}"/>
    <cellStyle name="40% - Accent1 9 2 2" xfId="10992" xr:uid="{00000000-0005-0000-0000-0000E52F0000}"/>
    <cellStyle name="40% - Accent1 9 2 2 2" xfId="24934" xr:uid="{00000000-0005-0000-0000-0000E62F0000}"/>
    <cellStyle name="40% - Accent1 9 2 3" xfId="20437" xr:uid="{00000000-0005-0000-0000-0000E72F0000}"/>
    <cellStyle name="40% - Accent1 9 3" xfId="3114" xr:uid="{00000000-0005-0000-0000-0000E82F0000}"/>
    <cellStyle name="40% - Accent1 9 3 2" xfId="11786" xr:uid="{00000000-0005-0000-0000-0000E92F0000}"/>
    <cellStyle name="40% - Accent1 9 3 2 2" xfId="25501" xr:uid="{00000000-0005-0000-0000-0000EA2F0000}"/>
    <cellStyle name="40% - Accent1 9 3 3" xfId="20438" xr:uid="{00000000-0005-0000-0000-0000EB2F0000}"/>
    <cellStyle name="40% - Accent1 9 4" xfId="3115" xr:uid="{00000000-0005-0000-0000-0000EC2F0000}"/>
    <cellStyle name="40% - Accent1 9 4 2" xfId="15162" xr:uid="{00000000-0005-0000-0000-0000ED2F0000}"/>
    <cellStyle name="40% - Accent1 9 4 2 2" xfId="28711" xr:uid="{00000000-0005-0000-0000-0000EE2F0000}"/>
    <cellStyle name="40% - Accent1 9 4 3" xfId="20439" xr:uid="{00000000-0005-0000-0000-0000EF2F0000}"/>
    <cellStyle name="40% - Accent1 9 5" xfId="3116" xr:uid="{00000000-0005-0000-0000-0000F02F0000}"/>
    <cellStyle name="40% - Accent1 9 5 2" xfId="17102" xr:uid="{00000000-0005-0000-0000-0000F12F0000}"/>
    <cellStyle name="40% - Accent1 9 5 2 2" xfId="30461" xr:uid="{00000000-0005-0000-0000-0000F22F0000}"/>
    <cellStyle name="40% - Accent1 9 5 3" xfId="20440" xr:uid="{00000000-0005-0000-0000-0000F32F0000}"/>
    <cellStyle name="40% - Accent1 9 6" xfId="9266" xr:uid="{00000000-0005-0000-0000-0000F42F0000}"/>
    <cellStyle name="40% - Accent1 9 6 2" xfId="23741" xr:uid="{00000000-0005-0000-0000-0000F52F0000}"/>
    <cellStyle name="40% - Accent1 9 7" xfId="20436" xr:uid="{00000000-0005-0000-0000-0000F62F0000}"/>
    <cellStyle name="40% - Accent2" xfId="33" builtinId="35" customBuiltin="1"/>
    <cellStyle name="40% - Accent2 10" xfId="3117" xr:uid="{00000000-0005-0000-0000-0000F82F0000}"/>
    <cellStyle name="40% - Accent2 10 2" xfId="3118" xr:uid="{00000000-0005-0000-0000-0000F92F0000}"/>
    <cellStyle name="40% - Accent2 10 2 2" xfId="11770" xr:uid="{00000000-0005-0000-0000-0000FA2F0000}"/>
    <cellStyle name="40% - Accent2 10 2 2 2" xfId="25485" xr:uid="{00000000-0005-0000-0000-0000FB2F0000}"/>
    <cellStyle name="40% - Accent2 10 2 3" xfId="20443" xr:uid="{00000000-0005-0000-0000-0000FC2F0000}"/>
    <cellStyle name="40% - Accent2 10 3" xfId="3119" xr:uid="{00000000-0005-0000-0000-0000FD2F0000}"/>
    <cellStyle name="40% - Accent2 10 3 2" xfId="15163" xr:uid="{00000000-0005-0000-0000-0000FE2F0000}"/>
    <cellStyle name="40% - Accent2 10 3 2 2" xfId="28712" xr:uid="{00000000-0005-0000-0000-0000FF2F0000}"/>
    <cellStyle name="40% - Accent2 10 3 3" xfId="20444" xr:uid="{00000000-0005-0000-0000-000000300000}"/>
    <cellStyle name="40% - Accent2 10 4" xfId="3120" xr:uid="{00000000-0005-0000-0000-000001300000}"/>
    <cellStyle name="40% - Accent2 10 4 2" xfId="17192" xr:uid="{00000000-0005-0000-0000-000002300000}"/>
    <cellStyle name="40% - Accent2 10 4 2 2" xfId="30551" xr:uid="{00000000-0005-0000-0000-000003300000}"/>
    <cellStyle name="40% - Accent2 10 4 3" xfId="20445" xr:uid="{00000000-0005-0000-0000-000004300000}"/>
    <cellStyle name="40% - Accent2 10 5" xfId="10510" xr:uid="{00000000-0005-0000-0000-000005300000}"/>
    <cellStyle name="40% - Accent2 10 5 2" xfId="24458" xr:uid="{00000000-0005-0000-0000-000006300000}"/>
    <cellStyle name="40% - Accent2 10 6" xfId="20442" xr:uid="{00000000-0005-0000-0000-000007300000}"/>
    <cellStyle name="40% - Accent2 11" xfId="3121" xr:uid="{00000000-0005-0000-0000-000008300000}"/>
    <cellStyle name="40% - Accent2 11 2" xfId="3122" xr:uid="{00000000-0005-0000-0000-000009300000}"/>
    <cellStyle name="40% - Accent2 11 2 2" xfId="12606" xr:uid="{00000000-0005-0000-0000-00000A300000}"/>
    <cellStyle name="40% - Accent2 11 2 2 2" xfId="26318" xr:uid="{00000000-0005-0000-0000-00000B300000}"/>
    <cellStyle name="40% - Accent2 11 2 3" xfId="20447" xr:uid="{00000000-0005-0000-0000-00000C300000}"/>
    <cellStyle name="40% - Accent2 11 3" xfId="3123" xr:uid="{00000000-0005-0000-0000-00000D300000}"/>
    <cellStyle name="40% - Accent2 11 3 2" xfId="15164" xr:uid="{00000000-0005-0000-0000-00000E300000}"/>
    <cellStyle name="40% - Accent2 11 3 2 2" xfId="28713" xr:uid="{00000000-0005-0000-0000-00000F300000}"/>
    <cellStyle name="40% - Accent2 11 3 3" xfId="20448" xr:uid="{00000000-0005-0000-0000-000010300000}"/>
    <cellStyle name="40% - Accent2 11 4" xfId="3124" xr:uid="{00000000-0005-0000-0000-000011300000}"/>
    <cellStyle name="40% - Accent2 11 4 2" xfId="17281" xr:uid="{00000000-0005-0000-0000-000012300000}"/>
    <cellStyle name="40% - Accent2 11 4 2 2" xfId="30640" xr:uid="{00000000-0005-0000-0000-000013300000}"/>
    <cellStyle name="40% - Accent2 11 4 3" xfId="20449" xr:uid="{00000000-0005-0000-0000-000014300000}"/>
    <cellStyle name="40% - Accent2 11 5" xfId="10993" xr:uid="{00000000-0005-0000-0000-000015300000}"/>
    <cellStyle name="40% - Accent2 11 5 2" xfId="24935" xr:uid="{00000000-0005-0000-0000-000016300000}"/>
    <cellStyle name="40% - Accent2 11 6" xfId="20446" xr:uid="{00000000-0005-0000-0000-000017300000}"/>
    <cellStyle name="40% - Accent2 12" xfId="3125" xr:uid="{00000000-0005-0000-0000-000018300000}"/>
    <cellStyle name="40% - Accent2 12 2" xfId="3126" xr:uid="{00000000-0005-0000-0000-000019300000}"/>
    <cellStyle name="40% - Accent2 12 2 2" xfId="16433" xr:uid="{00000000-0005-0000-0000-00001A300000}"/>
    <cellStyle name="40% - Accent2 12 2 2 2" xfId="29840" xr:uid="{00000000-0005-0000-0000-00001B300000}"/>
    <cellStyle name="40% - Accent2 12 2 3" xfId="20451" xr:uid="{00000000-0005-0000-0000-00001C300000}"/>
    <cellStyle name="40% - Accent2 12 3" xfId="11746" xr:uid="{00000000-0005-0000-0000-00001D300000}"/>
    <cellStyle name="40% - Accent2 12 3 2" xfId="25461" xr:uid="{00000000-0005-0000-0000-00001E300000}"/>
    <cellStyle name="40% - Accent2 12 4" xfId="20450" xr:uid="{00000000-0005-0000-0000-00001F300000}"/>
    <cellStyle name="40% - Accent2 13" xfId="3127" xr:uid="{00000000-0005-0000-0000-000020300000}"/>
    <cellStyle name="40% - Accent2 13 2" xfId="13385" xr:uid="{00000000-0005-0000-0000-000021300000}"/>
    <cellStyle name="40% - Accent2 13 2 2" xfId="26934" xr:uid="{00000000-0005-0000-0000-000022300000}"/>
    <cellStyle name="40% - Accent2 13 3" xfId="20452" xr:uid="{00000000-0005-0000-0000-000023300000}"/>
    <cellStyle name="40% - Accent2 14" xfId="3128" xr:uid="{00000000-0005-0000-0000-000024300000}"/>
    <cellStyle name="40% - Accent2 14 2" xfId="13966" xr:uid="{00000000-0005-0000-0000-000025300000}"/>
    <cellStyle name="40% - Accent2 14 2 2" xfId="27515" xr:uid="{00000000-0005-0000-0000-000026300000}"/>
    <cellStyle name="40% - Accent2 14 3" xfId="20453" xr:uid="{00000000-0005-0000-0000-000027300000}"/>
    <cellStyle name="40% - Accent2 15" xfId="3129" xr:uid="{00000000-0005-0000-0000-000028300000}"/>
    <cellStyle name="40% - Accent2 15 2" xfId="15834" xr:uid="{00000000-0005-0000-0000-000029300000}"/>
    <cellStyle name="40% - Accent2 15 2 2" xfId="29241" xr:uid="{00000000-0005-0000-0000-00002A300000}"/>
    <cellStyle name="40% - Accent2 15 3" xfId="20454" xr:uid="{00000000-0005-0000-0000-00002B300000}"/>
    <cellStyle name="40% - Accent2 16" xfId="3130" xr:uid="{00000000-0005-0000-0000-00002C300000}"/>
    <cellStyle name="40% - Accent2 16 2" xfId="15852" xr:uid="{00000000-0005-0000-0000-00002D300000}"/>
    <cellStyle name="40% - Accent2 16 2 2" xfId="29259" xr:uid="{00000000-0005-0000-0000-00002E300000}"/>
    <cellStyle name="40% - Accent2 16 3" xfId="20455" xr:uid="{00000000-0005-0000-0000-00002F300000}"/>
    <cellStyle name="40% - Accent2 17" xfId="8816" xr:uid="{00000000-0005-0000-0000-000030300000}"/>
    <cellStyle name="40% - Accent2 17 2" xfId="23292" xr:uid="{00000000-0005-0000-0000-000031300000}"/>
    <cellStyle name="40% - Accent2 18" xfId="20441" xr:uid="{00000000-0005-0000-0000-000032300000}"/>
    <cellStyle name="40% - Accent2 2" xfId="3131" xr:uid="{00000000-0005-0000-0000-000033300000}"/>
    <cellStyle name="40% - Accent2 2 10" xfId="3132" xr:uid="{00000000-0005-0000-0000-000034300000}"/>
    <cellStyle name="40% - Accent2 2 10 2" xfId="15905" xr:uid="{00000000-0005-0000-0000-000035300000}"/>
    <cellStyle name="40% - Accent2 2 10 2 2" xfId="29312" xr:uid="{00000000-0005-0000-0000-000036300000}"/>
    <cellStyle name="40% - Accent2 2 10 3" xfId="20457" xr:uid="{00000000-0005-0000-0000-000037300000}"/>
    <cellStyle name="40% - Accent2 2 11" xfId="9267" xr:uid="{00000000-0005-0000-0000-000038300000}"/>
    <cellStyle name="40% - Accent2 2 11 2" xfId="23742" xr:uid="{00000000-0005-0000-0000-000039300000}"/>
    <cellStyle name="40% - Accent2 2 12" xfId="20456" xr:uid="{00000000-0005-0000-0000-00003A300000}"/>
    <cellStyle name="40% - Accent2 2 13" xfId="33067" xr:uid="{00000000-0005-0000-0000-00003B300000}"/>
    <cellStyle name="40% - Accent2 2 2" xfId="3133" xr:uid="{00000000-0005-0000-0000-00003C300000}"/>
    <cellStyle name="40% - Accent2 2 2 10" xfId="20458" xr:uid="{00000000-0005-0000-0000-00003D300000}"/>
    <cellStyle name="40% - Accent2 2 2 2" xfId="3134" xr:uid="{00000000-0005-0000-0000-00003E300000}"/>
    <cellStyle name="40% - Accent2 2 2 2 2" xfId="3135" xr:uid="{00000000-0005-0000-0000-00003F300000}"/>
    <cellStyle name="40% - Accent2 2 2 2 2 2" xfId="3136" xr:uid="{00000000-0005-0000-0000-000040300000}"/>
    <cellStyle name="40% - Accent2 2 2 2 2 2 2" xfId="3137" xr:uid="{00000000-0005-0000-0000-000041300000}"/>
    <cellStyle name="40% - Accent2 2 2 2 2 2 2 2" xfId="16964" xr:uid="{00000000-0005-0000-0000-000042300000}"/>
    <cellStyle name="40% - Accent2 2 2 2 2 2 2 2 2" xfId="30371" xr:uid="{00000000-0005-0000-0000-000043300000}"/>
    <cellStyle name="40% - Accent2 2 2 2 2 2 2 3" xfId="20462" xr:uid="{00000000-0005-0000-0000-000044300000}"/>
    <cellStyle name="40% - Accent2 2 2 2 2 2 3" xfId="10997" xr:uid="{00000000-0005-0000-0000-000045300000}"/>
    <cellStyle name="40% - Accent2 2 2 2 2 2 3 2" xfId="24939" xr:uid="{00000000-0005-0000-0000-000046300000}"/>
    <cellStyle name="40% - Accent2 2 2 2 2 2 4" xfId="20461" xr:uid="{00000000-0005-0000-0000-000047300000}"/>
    <cellStyle name="40% - Accent2 2 2 2 2 3" xfId="3138" xr:uid="{00000000-0005-0000-0000-000048300000}"/>
    <cellStyle name="40% - Accent2 2 2 2 2 3 2" xfId="12352" xr:uid="{00000000-0005-0000-0000-000049300000}"/>
    <cellStyle name="40% - Accent2 2 2 2 2 3 2 2" xfId="26064" xr:uid="{00000000-0005-0000-0000-00004A300000}"/>
    <cellStyle name="40% - Accent2 2 2 2 2 3 3" xfId="20463" xr:uid="{00000000-0005-0000-0000-00004B300000}"/>
    <cellStyle name="40% - Accent2 2 2 2 2 4" xfId="3139" xr:uid="{00000000-0005-0000-0000-00004C300000}"/>
    <cellStyle name="40% - Accent2 2 2 2 2 4 2" xfId="13916" xr:uid="{00000000-0005-0000-0000-00004D300000}"/>
    <cellStyle name="40% - Accent2 2 2 2 2 4 2 2" xfId="27465" xr:uid="{00000000-0005-0000-0000-00004E300000}"/>
    <cellStyle name="40% - Accent2 2 2 2 2 4 3" xfId="20464" xr:uid="{00000000-0005-0000-0000-00004F300000}"/>
    <cellStyle name="40% - Accent2 2 2 2 2 5" xfId="3140" xr:uid="{00000000-0005-0000-0000-000050300000}"/>
    <cellStyle name="40% - Accent2 2 2 2 2 5 2" xfId="14497" xr:uid="{00000000-0005-0000-0000-000051300000}"/>
    <cellStyle name="40% - Accent2 2 2 2 2 5 2 2" xfId="28046" xr:uid="{00000000-0005-0000-0000-000052300000}"/>
    <cellStyle name="40% - Accent2 2 2 2 2 5 3" xfId="20465" xr:uid="{00000000-0005-0000-0000-000053300000}"/>
    <cellStyle name="40% - Accent2 2 2 2 2 6" xfId="3141" xr:uid="{00000000-0005-0000-0000-000054300000}"/>
    <cellStyle name="40% - Accent2 2 2 2 2 6 2" xfId="16383" xr:uid="{00000000-0005-0000-0000-000055300000}"/>
    <cellStyle name="40% - Accent2 2 2 2 2 6 2 2" xfId="29790" xr:uid="{00000000-0005-0000-0000-000056300000}"/>
    <cellStyle name="40% - Accent2 2 2 2 2 6 3" xfId="20466" xr:uid="{00000000-0005-0000-0000-000057300000}"/>
    <cellStyle name="40% - Accent2 2 2 2 2 7" xfId="9270" xr:uid="{00000000-0005-0000-0000-000058300000}"/>
    <cellStyle name="40% - Accent2 2 2 2 2 7 2" xfId="23745" xr:uid="{00000000-0005-0000-0000-000059300000}"/>
    <cellStyle name="40% - Accent2 2 2 2 2 8" xfId="20460" xr:uid="{00000000-0005-0000-0000-00005A300000}"/>
    <cellStyle name="40% - Accent2 2 2 2 3" xfId="3142" xr:uid="{00000000-0005-0000-0000-00005B300000}"/>
    <cellStyle name="40% - Accent2 2 2 2 3 2" xfId="3143" xr:uid="{00000000-0005-0000-0000-00005C300000}"/>
    <cellStyle name="40% - Accent2 2 2 2 3 2 2" xfId="16675" xr:uid="{00000000-0005-0000-0000-00005D300000}"/>
    <cellStyle name="40% - Accent2 2 2 2 3 2 2 2" xfId="30082" xr:uid="{00000000-0005-0000-0000-00005E300000}"/>
    <cellStyle name="40% - Accent2 2 2 2 3 2 3" xfId="20468" xr:uid="{00000000-0005-0000-0000-00005F300000}"/>
    <cellStyle name="40% - Accent2 2 2 2 3 3" xfId="10996" xr:uid="{00000000-0005-0000-0000-000060300000}"/>
    <cellStyle name="40% - Accent2 2 2 2 3 3 2" xfId="24938" xr:uid="{00000000-0005-0000-0000-000061300000}"/>
    <cellStyle name="40% - Accent2 2 2 2 3 4" xfId="20467" xr:uid="{00000000-0005-0000-0000-000062300000}"/>
    <cellStyle name="40% - Accent2 2 2 2 4" xfId="3144" xr:uid="{00000000-0005-0000-0000-000063300000}"/>
    <cellStyle name="40% - Accent2 2 2 2 4 2" xfId="12052" xr:uid="{00000000-0005-0000-0000-000064300000}"/>
    <cellStyle name="40% - Accent2 2 2 2 4 2 2" xfId="25767" xr:uid="{00000000-0005-0000-0000-000065300000}"/>
    <cellStyle name="40% - Accent2 2 2 2 4 3" xfId="20469" xr:uid="{00000000-0005-0000-0000-000066300000}"/>
    <cellStyle name="40% - Accent2 2 2 2 5" xfId="3145" xr:uid="{00000000-0005-0000-0000-000067300000}"/>
    <cellStyle name="40% - Accent2 2 2 2 5 2" xfId="13627" xr:uid="{00000000-0005-0000-0000-000068300000}"/>
    <cellStyle name="40% - Accent2 2 2 2 5 2 2" xfId="27176" xr:uid="{00000000-0005-0000-0000-000069300000}"/>
    <cellStyle name="40% - Accent2 2 2 2 5 3" xfId="20470" xr:uid="{00000000-0005-0000-0000-00006A300000}"/>
    <cellStyle name="40% - Accent2 2 2 2 6" xfId="3146" xr:uid="{00000000-0005-0000-0000-00006B300000}"/>
    <cellStyle name="40% - Accent2 2 2 2 6 2" xfId="14208" xr:uid="{00000000-0005-0000-0000-00006C300000}"/>
    <cellStyle name="40% - Accent2 2 2 2 6 2 2" xfId="27757" xr:uid="{00000000-0005-0000-0000-00006D300000}"/>
    <cellStyle name="40% - Accent2 2 2 2 6 3" xfId="20471" xr:uid="{00000000-0005-0000-0000-00006E300000}"/>
    <cellStyle name="40% - Accent2 2 2 2 7" xfId="3147" xr:uid="{00000000-0005-0000-0000-00006F300000}"/>
    <cellStyle name="40% - Accent2 2 2 2 7 2" xfId="16094" xr:uid="{00000000-0005-0000-0000-000070300000}"/>
    <cellStyle name="40% - Accent2 2 2 2 7 2 2" xfId="29501" xr:uid="{00000000-0005-0000-0000-000071300000}"/>
    <cellStyle name="40% - Accent2 2 2 2 7 3" xfId="20472" xr:uid="{00000000-0005-0000-0000-000072300000}"/>
    <cellStyle name="40% - Accent2 2 2 2 8" xfId="9269" xr:uid="{00000000-0005-0000-0000-000073300000}"/>
    <cellStyle name="40% - Accent2 2 2 2 8 2" xfId="23744" xr:uid="{00000000-0005-0000-0000-000074300000}"/>
    <cellStyle name="40% - Accent2 2 2 2 9" xfId="20459" xr:uid="{00000000-0005-0000-0000-000075300000}"/>
    <cellStyle name="40% - Accent2 2 2 3" xfId="3148" xr:uid="{00000000-0005-0000-0000-000076300000}"/>
    <cellStyle name="40% - Accent2 2 2 3 2" xfId="3149" xr:uid="{00000000-0005-0000-0000-000077300000}"/>
    <cellStyle name="40% - Accent2 2 2 3 2 2" xfId="3150" xr:uid="{00000000-0005-0000-0000-000078300000}"/>
    <cellStyle name="40% - Accent2 2 2 3 2 2 2" xfId="16821" xr:uid="{00000000-0005-0000-0000-000079300000}"/>
    <cellStyle name="40% - Accent2 2 2 3 2 2 2 2" xfId="30228" xr:uid="{00000000-0005-0000-0000-00007A300000}"/>
    <cellStyle name="40% - Accent2 2 2 3 2 2 3" xfId="20475" xr:uid="{00000000-0005-0000-0000-00007B300000}"/>
    <cellStyle name="40% - Accent2 2 2 3 2 3" xfId="10998" xr:uid="{00000000-0005-0000-0000-00007C300000}"/>
    <cellStyle name="40% - Accent2 2 2 3 2 3 2" xfId="24940" xr:uid="{00000000-0005-0000-0000-00007D300000}"/>
    <cellStyle name="40% - Accent2 2 2 3 2 4" xfId="20474" xr:uid="{00000000-0005-0000-0000-00007E300000}"/>
    <cellStyle name="40% - Accent2 2 2 3 3" xfId="3151" xr:uid="{00000000-0005-0000-0000-00007F300000}"/>
    <cellStyle name="40% - Accent2 2 2 3 3 2" xfId="12209" xr:uid="{00000000-0005-0000-0000-000080300000}"/>
    <cellStyle name="40% - Accent2 2 2 3 3 2 2" xfId="25921" xr:uid="{00000000-0005-0000-0000-000081300000}"/>
    <cellStyle name="40% - Accent2 2 2 3 3 3" xfId="20476" xr:uid="{00000000-0005-0000-0000-000082300000}"/>
    <cellStyle name="40% - Accent2 2 2 3 4" xfId="3152" xr:uid="{00000000-0005-0000-0000-000083300000}"/>
    <cellStyle name="40% - Accent2 2 2 3 4 2" xfId="13773" xr:uid="{00000000-0005-0000-0000-000084300000}"/>
    <cellStyle name="40% - Accent2 2 2 3 4 2 2" xfId="27322" xr:uid="{00000000-0005-0000-0000-000085300000}"/>
    <cellStyle name="40% - Accent2 2 2 3 4 3" xfId="20477" xr:uid="{00000000-0005-0000-0000-000086300000}"/>
    <cellStyle name="40% - Accent2 2 2 3 5" xfId="3153" xr:uid="{00000000-0005-0000-0000-000087300000}"/>
    <cellStyle name="40% - Accent2 2 2 3 5 2" xfId="14354" xr:uid="{00000000-0005-0000-0000-000088300000}"/>
    <cellStyle name="40% - Accent2 2 2 3 5 2 2" xfId="27903" xr:uid="{00000000-0005-0000-0000-000089300000}"/>
    <cellStyle name="40% - Accent2 2 2 3 5 3" xfId="20478" xr:uid="{00000000-0005-0000-0000-00008A300000}"/>
    <cellStyle name="40% - Accent2 2 2 3 6" xfId="3154" xr:uid="{00000000-0005-0000-0000-00008B300000}"/>
    <cellStyle name="40% - Accent2 2 2 3 6 2" xfId="16240" xr:uid="{00000000-0005-0000-0000-00008C300000}"/>
    <cellStyle name="40% - Accent2 2 2 3 6 2 2" xfId="29647" xr:uid="{00000000-0005-0000-0000-00008D300000}"/>
    <cellStyle name="40% - Accent2 2 2 3 6 3" xfId="20479" xr:uid="{00000000-0005-0000-0000-00008E300000}"/>
    <cellStyle name="40% - Accent2 2 2 3 7" xfId="9271" xr:uid="{00000000-0005-0000-0000-00008F300000}"/>
    <cellStyle name="40% - Accent2 2 2 3 7 2" xfId="23746" xr:uid="{00000000-0005-0000-0000-000090300000}"/>
    <cellStyle name="40% - Accent2 2 2 3 8" xfId="20473" xr:uid="{00000000-0005-0000-0000-000091300000}"/>
    <cellStyle name="40% - Accent2 2 2 4" xfId="3155" xr:uid="{00000000-0005-0000-0000-000092300000}"/>
    <cellStyle name="40% - Accent2 2 2 4 2" xfId="3156" xr:uid="{00000000-0005-0000-0000-000093300000}"/>
    <cellStyle name="40% - Accent2 2 2 4 2 2" xfId="17168" xr:uid="{00000000-0005-0000-0000-000094300000}"/>
    <cellStyle name="40% - Accent2 2 2 4 2 2 2" xfId="30527" xr:uid="{00000000-0005-0000-0000-000095300000}"/>
    <cellStyle name="40% - Accent2 2 2 4 2 3" xfId="20481" xr:uid="{00000000-0005-0000-0000-000096300000}"/>
    <cellStyle name="40% - Accent2 2 2 4 3" xfId="10995" xr:uid="{00000000-0005-0000-0000-000097300000}"/>
    <cellStyle name="40% - Accent2 2 2 4 3 2" xfId="24937" xr:uid="{00000000-0005-0000-0000-000098300000}"/>
    <cellStyle name="40% - Accent2 2 2 4 4" xfId="20480" xr:uid="{00000000-0005-0000-0000-000099300000}"/>
    <cellStyle name="40% - Accent2 2 2 5" xfId="3157" xr:uid="{00000000-0005-0000-0000-00009A300000}"/>
    <cellStyle name="40% - Accent2 2 2 5 2" xfId="3158" xr:uid="{00000000-0005-0000-0000-00009B300000}"/>
    <cellStyle name="40% - Accent2 2 2 5 2 2" xfId="17257" xr:uid="{00000000-0005-0000-0000-00009C300000}"/>
    <cellStyle name="40% - Accent2 2 2 5 2 2 2" xfId="30616" xr:uid="{00000000-0005-0000-0000-00009D300000}"/>
    <cellStyle name="40% - Accent2 2 2 5 2 3" xfId="20483" xr:uid="{00000000-0005-0000-0000-00009E300000}"/>
    <cellStyle name="40% - Accent2 2 2 5 3" xfId="11907" xr:uid="{00000000-0005-0000-0000-00009F300000}"/>
    <cellStyle name="40% - Accent2 2 2 5 3 2" xfId="25622" xr:uid="{00000000-0005-0000-0000-0000A0300000}"/>
    <cellStyle name="40% - Accent2 2 2 5 4" xfId="20482" xr:uid="{00000000-0005-0000-0000-0000A1300000}"/>
    <cellStyle name="40% - Accent2 2 2 6" xfId="3159" xr:uid="{00000000-0005-0000-0000-0000A2300000}"/>
    <cellStyle name="40% - Accent2 2 2 6 2" xfId="3160" xr:uid="{00000000-0005-0000-0000-0000A3300000}"/>
    <cellStyle name="40% - Accent2 2 2 6 2 2" xfId="16532" xr:uid="{00000000-0005-0000-0000-0000A4300000}"/>
    <cellStyle name="40% - Accent2 2 2 6 2 2 2" xfId="29939" xr:uid="{00000000-0005-0000-0000-0000A5300000}"/>
    <cellStyle name="40% - Accent2 2 2 6 2 3" xfId="20485" xr:uid="{00000000-0005-0000-0000-0000A6300000}"/>
    <cellStyle name="40% - Accent2 2 2 6 3" xfId="13484" xr:uid="{00000000-0005-0000-0000-0000A7300000}"/>
    <cellStyle name="40% - Accent2 2 2 6 3 2" xfId="27033" xr:uid="{00000000-0005-0000-0000-0000A8300000}"/>
    <cellStyle name="40% - Accent2 2 2 6 4" xfId="20484" xr:uid="{00000000-0005-0000-0000-0000A9300000}"/>
    <cellStyle name="40% - Accent2 2 2 7" xfId="3161" xr:uid="{00000000-0005-0000-0000-0000AA300000}"/>
    <cellStyle name="40% - Accent2 2 2 7 2" xfId="14065" xr:uid="{00000000-0005-0000-0000-0000AB300000}"/>
    <cellStyle name="40% - Accent2 2 2 7 2 2" xfId="27614" xr:uid="{00000000-0005-0000-0000-0000AC300000}"/>
    <cellStyle name="40% - Accent2 2 2 7 3" xfId="20486" xr:uid="{00000000-0005-0000-0000-0000AD300000}"/>
    <cellStyle name="40% - Accent2 2 2 8" xfId="3162" xr:uid="{00000000-0005-0000-0000-0000AE300000}"/>
    <cellStyle name="40% - Accent2 2 2 8 2" xfId="15951" xr:uid="{00000000-0005-0000-0000-0000AF300000}"/>
    <cellStyle name="40% - Accent2 2 2 8 2 2" xfId="29358" xr:uid="{00000000-0005-0000-0000-0000B0300000}"/>
    <cellStyle name="40% - Accent2 2 2 8 3" xfId="20487" xr:uid="{00000000-0005-0000-0000-0000B1300000}"/>
    <cellStyle name="40% - Accent2 2 2 9" xfId="9268" xr:uid="{00000000-0005-0000-0000-0000B2300000}"/>
    <cellStyle name="40% - Accent2 2 2 9 2" xfId="23743" xr:uid="{00000000-0005-0000-0000-0000B3300000}"/>
    <cellStyle name="40% - Accent2 2 3" xfId="3163" xr:uid="{00000000-0005-0000-0000-0000B4300000}"/>
    <cellStyle name="40% - Accent2 2 3 2" xfId="3164" xr:uid="{00000000-0005-0000-0000-0000B5300000}"/>
    <cellStyle name="40% - Accent2 2 3 2 2" xfId="3165" xr:uid="{00000000-0005-0000-0000-0000B6300000}"/>
    <cellStyle name="40% - Accent2 2 3 2 2 2" xfId="3166" xr:uid="{00000000-0005-0000-0000-0000B7300000}"/>
    <cellStyle name="40% - Accent2 2 3 2 2 2 2" xfId="16918" xr:uid="{00000000-0005-0000-0000-0000B8300000}"/>
    <cellStyle name="40% - Accent2 2 3 2 2 2 2 2" xfId="30325" xr:uid="{00000000-0005-0000-0000-0000B9300000}"/>
    <cellStyle name="40% - Accent2 2 3 2 2 2 3" xfId="20491" xr:uid="{00000000-0005-0000-0000-0000BA300000}"/>
    <cellStyle name="40% - Accent2 2 3 2 2 3" xfId="11000" xr:uid="{00000000-0005-0000-0000-0000BB300000}"/>
    <cellStyle name="40% - Accent2 2 3 2 2 3 2" xfId="24942" xr:uid="{00000000-0005-0000-0000-0000BC300000}"/>
    <cellStyle name="40% - Accent2 2 3 2 2 4" xfId="20490" xr:uid="{00000000-0005-0000-0000-0000BD300000}"/>
    <cellStyle name="40% - Accent2 2 3 2 3" xfId="3167" xr:uid="{00000000-0005-0000-0000-0000BE300000}"/>
    <cellStyle name="40% - Accent2 2 3 2 3 2" xfId="12306" xr:uid="{00000000-0005-0000-0000-0000BF300000}"/>
    <cellStyle name="40% - Accent2 2 3 2 3 2 2" xfId="26018" xr:uid="{00000000-0005-0000-0000-0000C0300000}"/>
    <cellStyle name="40% - Accent2 2 3 2 3 3" xfId="20492" xr:uid="{00000000-0005-0000-0000-0000C1300000}"/>
    <cellStyle name="40% - Accent2 2 3 2 4" xfId="3168" xr:uid="{00000000-0005-0000-0000-0000C2300000}"/>
    <cellStyle name="40% - Accent2 2 3 2 4 2" xfId="13870" xr:uid="{00000000-0005-0000-0000-0000C3300000}"/>
    <cellStyle name="40% - Accent2 2 3 2 4 2 2" xfId="27419" xr:uid="{00000000-0005-0000-0000-0000C4300000}"/>
    <cellStyle name="40% - Accent2 2 3 2 4 3" xfId="20493" xr:uid="{00000000-0005-0000-0000-0000C5300000}"/>
    <cellStyle name="40% - Accent2 2 3 2 5" xfId="3169" xr:uid="{00000000-0005-0000-0000-0000C6300000}"/>
    <cellStyle name="40% - Accent2 2 3 2 5 2" xfId="14451" xr:uid="{00000000-0005-0000-0000-0000C7300000}"/>
    <cellStyle name="40% - Accent2 2 3 2 5 2 2" xfId="28000" xr:uid="{00000000-0005-0000-0000-0000C8300000}"/>
    <cellStyle name="40% - Accent2 2 3 2 5 3" xfId="20494" xr:uid="{00000000-0005-0000-0000-0000C9300000}"/>
    <cellStyle name="40% - Accent2 2 3 2 6" xfId="3170" xr:uid="{00000000-0005-0000-0000-0000CA300000}"/>
    <cellStyle name="40% - Accent2 2 3 2 6 2" xfId="16337" xr:uid="{00000000-0005-0000-0000-0000CB300000}"/>
    <cellStyle name="40% - Accent2 2 3 2 6 2 2" xfId="29744" xr:uid="{00000000-0005-0000-0000-0000CC300000}"/>
    <cellStyle name="40% - Accent2 2 3 2 6 3" xfId="20495" xr:uid="{00000000-0005-0000-0000-0000CD300000}"/>
    <cellStyle name="40% - Accent2 2 3 2 7" xfId="9273" xr:uid="{00000000-0005-0000-0000-0000CE300000}"/>
    <cellStyle name="40% - Accent2 2 3 2 7 2" xfId="23748" xr:uid="{00000000-0005-0000-0000-0000CF300000}"/>
    <cellStyle name="40% - Accent2 2 3 2 8" xfId="20489" xr:uid="{00000000-0005-0000-0000-0000D0300000}"/>
    <cellStyle name="40% - Accent2 2 3 3" xfId="3171" xr:uid="{00000000-0005-0000-0000-0000D1300000}"/>
    <cellStyle name="40% - Accent2 2 3 3 2" xfId="3172" xr:uid="{00000000-0005-0000-0000-0000D2300000}"/>
    <cellStyle name="40% - Accent2 2 3 3 2 2" xfId="16629" xr:uid="{00000000-0005-0000-0000-0000D3300000}"/>
    <cellStyle name="40% - Accent2 2 3 3 2 2 2" xfId="30036" xr:uid="{00000000-0005-0000-0000-0000D4300000}"/>
    <cellStyle name="40% - Accent2 2 3 3 2 3" xfId="20497" xr:uid="{00000000-0005-0000-0000-0000D5300000}"/>
    <cellStyle name="40% - Accent2 2 3 3 3" xfId="10999" xr:uid="{00000000-0005-0000-0000-0000D6300000}"/>
    <cellStyle name="40% - Accent2 2 3 3 3 2" xfId="24941" xr:uid="{00000000-0005-0000-0000-0000D7300000}"/>
    <cellStyle name="40% - Accent2 2 3 3 4" xfId="20496" xr:uid="{00000000-0005-0000-0000-0000D8300000}"/>
    <cellStyle name="40% - Accent2 2 3 4" xfId="3173" xr:uid="{00000000-0005-0000-0000-0000D9300000}"/>
    <cellStyle name="40% - Accent2 2 3 4 2" xfId="12006" xr:uid="{00000000-0005-0000-0000-0000DA300000}"/>
    <cellStyle name="40% - Accent2 2 3 4 2 2" xfId="25721" xr:uid="{00000000-0005-0000-0000-0000DB300000}"/>
    <cellStyle name="40% - Accent2 2 3 4 3" xfId="20498" xr:uid="{00000000-0005-0000-0000-0000DC300000}"/>
    <cellStyle name="40% - Accent2 2 3 5" xfId="3174" xr:uid="{00000000-0005-0000-0000-0000DD300000}"/>
    <cellStyle name="40% - Accent2 2 3 5 2" xfId="13581" xr:uid="{00000000-0005-0000-0000-0000DE300000}"/>
    <cellStyle name="40% - Accent2 2 3 5 2 2" xfId="27130" xr:uid="{00000000-0005-0000-0000-0000DF300000}"/>
    <cellStyle name="40% - Accent2 2 3 5 3" xfId="20499" xr:uid="{00000000-0005-0000-0000-0000E0300000}"/>
    <cellStyle name="40% - Accent2 2 3 6" xfId="3175" xr:uid="{00000000-0005-0000-0000-0000E1300000}"/>
    <cellStyle name="40% - Accent2 2 3 6 2" xfId="14162" xr:uid="{00000000-0005-0000-0000-0000E2300000}"/>
    <cellStyle name="40% - Accent2 2 3 6 2 2" xfId="27711" xr:uid="{00000000-0005-0000-0000-0000E3300000}"/>
    <cellStyle name="40% - Accent2 2 3 6 3" xfId="20500" xr:uid="{00000000-0005-0000-0000-0000E4300000}"/>
    <cellStyle name="40% - Accent2 2 3 7" xfId="3176" xr:uid="{00000000-0005-0000-0000-0000E5300000}"/>
    <cellStyle name="40% - Accent2 2 3 7 2" xfId="16048" xr:uid="{00000000-0005-0000-0000-0000E6300000}"/>
    <cellStyle name="40% - Accent2 2 3 7 2 2" xfId="29455" xr:uid="{00000000-0005-0000-0000-0000E7300000}"/>
    <cellStyle name="40% - Accent2 2 3 7 3" xfId="20501" xr:uid="{00000000-0005-0000-0000-0000E8300000}"/>
    <cellStyle name="40% - Accent2 2 3 8" xfId="9272" xr:uid="{00000000-0005-0000-0000-0000E9300000}"/>
    <cellStyle name="40% - Accent2 2 3 8 2" xfId="23747" xr:uid="{00000000-0005-0000-0000-0000EA300000}"/>
    <cellStyle name="40% - Accent2 2 3 9" xfId="20488" xr:uid="{00000000-0005-0000-0000-0000EB300000}"/>
    <cellStyle name="40% - Accent2 2 4" xfId="3177" xr:uid="{00000000-0005-0000-0000-0000EC300000}"/>
    <cellStyle name="40% - Accent2 2 4 2" xfId="3178" xr:uid="{00000000-0005-0000-0000-0000ED300000}"/>
    <cellStyle name="40% - Accent2 2 4 2 2" xfId="3179" xr:uid="{00000000-0005-0000-0000-0000EE300000}"/>
    <cellStyle name="40% - Accent2 2 4 2 2 2" xfId="16775" xr:uid="{00000000-0005-0000-0000-0000EF300000}"/>
    <cellStyle name="40% - Accent2 2 4 2 2 2 2" xfId="30182" xr:uid="{00000000-0005-0000-0000-0000F0300000}"/>
    <cellStyle name="40% - Accent2 2 4 2 2 3" xfId="20504" xr:uid="{00000000-0005-0000-0000-0000F1300000}"/>
    <cellStyle name="40% - Accent2 2 4 2 3" xfId="11001" xr:uid="{00000000-0005-0000-0000-0000F2300000}"/>
    <cellStyle name="40% - Accent2 2 4 2 3 2" xfId="24943" xr:uid="{00000000-0005-0000-0000-0000F3300000}"/>
    <cellStyle name="40% - Accent2 2 4 2 4" xfId="20503" xr:uid="{00000000-0005-0000-0000-0000F4300000}"/>
    <cellStyle name="40% - Accent2 2 4 3" xfId="3180" xr:uid="{00000000-0005-0000-0000-0000F5300000}"/>
    <cellStyle name="40% - Accent2 2 4 3 2" xfId="12163" xr:uid="{00000000-0005-0000-0000-0000F6300000}"/>
    <cellStyle name="40% - Accent2 2 4 3 2 2" xfId="25875" xr:uid="{00000000-0005-0000-0000-0000F7300000}"/>
    <cellStyle name="40% - Accent2 2 4 3 3" xfId="20505" xr:uid="{00000000-0005-0000-0000-0000F8300000}"/>
    <cellStyle name="40% - Accent2 2 4 4" xfId="3181" xr:uid="{00000000-0005-0000-0000-0000F9300000}"/>
    <cellStyle name="40% - Accent2 2 4 4 2" xfId="13727" xr:uid="{00000000-0005-0000-0000-0000FA300000}"/>
    <cellStyle name="40% - Accent2 2 4 4 2 2" xfId="27276" xr:uid="{00000000-0005-0000-0000-0000FB300000}"/>
    <cellStyle name="40% - Accent2 2 4 4 3" xfId="20506" xr:uid="{00000000-0005-0000-0000-0000FC300000}"/>
    <cellStyle name="40% - Accent2 2 4 5" xfId="3182" xr:uid="{00000000-0005-0000-0000-0000FD300000}"/>
    <cellStyle name="40% - Accent2 2 4 5 2" xfId="14308" xr:uid="{00000000-0005-0000-0000-0000FE300000}"/>
    <cellStyle name="40% - Accent2 2 4 5 2 2" xfId="27857" xr:uid="{00000000-0005-0000-0000-0000FF300000}"/>
    <cellStyle name="40% - Accent2 2 4 5 3" xfId="20507" xr:uid="{00000000-0005-0000-0000-000000310000}"/>
    <cellStyle name="40% - Accent2 2 4 6" xfId="3183" xr:uid="{00000000-0005-0000-0000-000001310000}"/>
    <cellStyle name="40% - Accent2 2 4 6 2" xfId="16194" xr:uid="{00000000-0005-0000-0000-000002310000}"/>
    <cellStyle name="40% - Accent2 2 4 6 2 2" xfId="29601" xr:uid="{00000000-0005-0000-0000-000003310000}"/>
    <cellStyle name="40% - Accent2 2 4 6 3" xfId="20508" xr:uid="{00000000-0005-0000-0000-000004310000}"/>
    <cellStyle name="40% - Accent2 2 4 7" xfId="9274" xr:uid="{00000000-0005-0000-0000-000005310000}"/>
    <cellStyle name="40% - Accent2 2 4 7 2" xfId="23749" xr:uid="{00000000-0005-0000-0000-000006310000}"/>
    <cellStyle name="40% - Accent2 2 4 8" xfId="20502" xr:uid="{00000000-0005-0000-0000-000007310000}"/>
    <cellStyle name="40% - Accent2 2 5" xfId="3184" xr:uid="{00000000-0005-0000-0000-000008310000}"/>
    <cellStyle name="40% - Accent2 2 5 2" xfId="3185" xr:uid="{00000000-0005-0000-0000-000009310000}"/>
    <cellStyle name="40% - Accent2 2 5 2 2" xfId="12622" xr:uid="{00000000-0005-0000-0000-00000A310000}"/>
    <cellStyle name="40% - Accent2 2 5 2 2 2" xfId="26334" xr:uid="{00000000-0005-0000-0000-00000B310000}"/>
    <cellStyle name="40% - Accent2 2 5 2 3" xfId="20510" xr:uid="{00000000-0005-0000-0000-00000C310000}"/>
    <cellStyle name="40% - Accent2 2 5 3" xfId="3186" xr:uid="{00000000-0005-0000-0000-00000D310000}"/>
    <cellStyle name="40% - Accent2 2 5 3 2" xfId="15165" xr:uid="{00000000-0005-0000-0000-00000E310000}"/>
    <cellStyle name="40% - Accent2 2 5 3 2 2" xfId="28714" xr:uid="{00000000-0005-0000-0000-00000F310000}"/>
    <cellStyle name="40% - Accent2 2 5 3 3" xfId="20511" xr:uid="{00000000-0005-0000-0000-000010310000}"/>
    <cellStyle name="40% - Accent2 2 5 4" xfId="3187" xr:uid="{00000000-0005-0000-0000-000011310000}"/>
    <cellStyle name="40% - Accent2 2 5 4 2" xfId="17014" xr:uid="{00000000-0005-0000-0000-000012310000}"/>
    <cellStyle name="40% - Accent2 2 5 4 2 2" xfId="30421" xr:uid="{00000000-0005-0000-0000-000013310000}"/>
    <cellStyle name="40% - Accent2 2 5 4 3" xfId="20512" xr:uid="{00000000-0005-0000-0000-000014310000}"/>
    <cellStyle name="40% - Accent2 2 5 5" xfId="10535" xr:uid="{00000000-0005-0000-0000-000015310000}"/>
    <cellStyle name="40% - Accent2 2 5 5 2" xfId="24477" xr:uid="{00000000-0005-0000-0000-000016310000}"/>
    <cellStyle name="40% - Accent2 2 5 6" xfId="20509" xr:uid="{00000000-0005-0000-0000-000017310000}"/>
    <cellStyle name="40% - Accent2 2 6" xfId="3188" xr:uid="{00000000-0005-0000-0000-000018310000}"/>
    <cellStyle name="40% - Accent2 2 6 2" xfId="3189" xr:uid="{00000000-0005-0000-0000-000019310000}"/>
    <cellStyle name="40% - Accent2 2 6 2 2" xfId="12739" xr:uid="{00000000-0005-0000-0000-00001A310000}"/>
    <cellStyle name="40% - Accent2 2 6 2 2 2" xfId="26451" xr:uid="{00000000-0005-0000-0000-00001B310000}"/>
    <cellStyle name="40% - Accent2 2 6 2 3" xfId="20514" xr:uid="{00000000-0005-0000-0000-00001C310000}"/>
    <cellStyle name="40% - Accent2 2 6 3" xfId="3190" xr:uid="{00000000-0005-0000-0000-00001D310000}"/>
    <cellStyle name="40% - Accent2 2 6 3 2" xfId="15166" xr:uid="{00000000-0005-0000-0000-00001E310000}"/>
    <cellStyle name="40% - Accent2 2 6 3 2 2" xfId="28715" xr:uid="{00000000-0005-0000-0000-00001F310000}"/>
    <cellStyle name="40% - Accent2 2 6 3 3" xfId="20515" xr:uid="{00000000-0005-0000-0000-000020310000}"/>
    <cellStyle name="40% - Accent2 2 6 4" xfId="3191" xr:uid="{00000000-0005-0000-0000-000021310000}"/>
    <cellStyle name="40% - Accent2 2 6 4 2" xfId="17122" xr:uid="{00000000-0005-0000-0000-000022310000}"/>
    <cellStyle name="40% - Accent2 2 6 4 2 2" xfId="30481" xr:uid="{00000000-0005-0000-0000-000023310000}"/>
    <cellStyle name="40% - Accent2 2 6 4 3" xfId="20516" xr:uid="{00000000-0005-0000-0000-000024310000}"/>
    <cellStyle name="40% - Accent2 2 6 5" xfId="10994" xr:uid="{00000000-0005-0000-0000-000025310000}"/>
    <cellStyle name="40% - Accent2 2 6 5 2" xfId="24936" xr:uid="{00000000-0005-0000-0000-000026310000}"/>
    <cellStyle name="40% - Accent2 2 6 6" xfId="20513" xr:uid="{00000000-0005-0000-0000-000027310000}"/>
    <cellStyle name="40% - Accent2 2 7" xfId="3192" xr:uid="{00000000-0005-0000-0000-000028310000}"/>
    <cellStyle name="40% - Accent2 2 7 2" xfId="3193" xr:uid="{00000000-0005-0000-0000-000029310000}"/>
    <cellStyle name="40% - Accent2 2 7 2 2" xfId="17211" xr:uid="{00000000-0005-0000-0000-00002A310000}"/>
    <cellStyle name="40% - Accent2 2 7 2 2 2" xfId="30570" xr:uid="{00000000-0005-0000-0000-00002B310000}"/>
    <cellStyle name="40% - Accent2 2 7 2 3" xfId="20518" xr:uid="{00000000-0005-0000-0000-00002C310000}"/>
    <cellStyle name="40% - Accent2 2 7 3" xfId="11839" xr:uid="{00000000-0005-0000-0000-00002D310000}"/>
    <cellStyle name="40% - Accent2 2 7 3 2" xfId="25554" xr:uid="{00000000-0005-0000-0000-00002E310000}"/>
    <cellStyle name="40% - Accent2 2 7 4" xfId="20517" xr:uid="{00000000-0005-0000-0000-00002F310000}"/>
    <cellStyle name="40% - Accent2 2 8" xfId="3194" xr:uid="{00000000-0005-0000-0000-000030310000}"/>
    <cellStyle name="40% - Accent2 2 8 2" xfId="3195" xr:uid="{00000000-0005-0000-0000-000031310000}"/>
    <cellStyle name="40% - Accent2 2 8 2 2" xfId="16486" xr:uid="{00000000-0005-0000-0000-000032310000}"/>
    <cellStyle name="40% - Accent2 2 8 2 2 2" xfId="29893" xr:uid="{00000000-0005-0000-0000-000033310000}"/>
    <cellStyle name="40% - Accent2 2 8 2 3" xfId="20520" xr:uid="{00000000-0005-0000-0000-000034310000}"/>
    <cellStyle name="40% - Accent2 2 8 3" xfId="13438" xr:uid="{00000000-0005-0000-0000-000035310000}"/>
    <cellStyle name="40% - Accent2 2 8 3 2" xfId="26987" xr:uid="{00000000-0005-0000-0000-000036310000}"/>
    <cellStyle name="40% - Accent2 2 8 4" xfId="20519" xr:uid="{00000000-0005-0000-0000-000037310000}"/>
    <cellStyle name="40% - Accent2 2 9" xfId="3196" xr:uid="{00000000-0005-0000-0000-000038310000}"/>
    <cellStyle name="40% - Accent2 2 9 2" xfId="14019" xr:uid="{00000000-0005-0000-0000-000039310000}"/>
    <cellStyle name="40% - Accent2 2 9 2 2" xfId="27568" xr:uid="{00000000-0005-0000-0000-00003A310000}"/>
    <cellStyle name="40% - Accent2 2 9 3" xfId="20521" xr:uid="{00000000-0005-0000-0000-00003B310000}"/>
    <cellStyle name="40% - Accent2 3" xfId="3197" xr:uid="{00000000-0005-0000-0000-00003C310000}"/>
    <cellStyle name="40% - Accent2 3 10" xfId="20522" xr:uid="{00000000-0005-0000-0000-00003D310000}"/>
    <cellStyle name="40% - Accent2 3 2" xfId="3198" xr:uid="{00000000-0005-0000-0000-00003E310000}"/>
    <cellStyle name="40% - Accent2 3 2 2" xfId="3199" xr:uid="{00000000-0005-0000-0000-00003F310000}"/>
    <cellStyle name="40% - Accent2 3 2 2 2" xfId="3200" xr:uid="{00000000-0005-0000-0000-000040310000}"/>
    <cellStyle name="40% - Accent2 3 2 2 2 2" xfId="3201" xr:uid="{00000000-0005-0000-0000-000041310000}"/>
    <cellStyle name="40% - Accent2 3 2 2 2 2 2" xfId="16941" xr:uid="{00000000-0005-0000-0000-000042310000}"/>
    <cellStyle name="40% - Accent2 3 2 2 2 2 2 2" xfId="30348" xr:uid="{00000000-0005-0000-0000-000043310000}"/>
    <cellStyle name="40% - Accent2 3 2 2 2 2 3" xfId="20526" xr:uid="{00000000-0005-0000-0000-000044310000}"/>
    <cellStyle name="40% - Accent2 3 2 2 2 3" xfId="11004" xr:uid="{00000000-0005-0000-0000-000045310000}"/>
    <cellStyle name="40% - Accent2 3 2 2 2 3 2" xfId="24946" xr:uid="{00000000-0005-0000-0000-000046310000}"/>
    <cellStyle name="40% - Accent2 3 2 2 2 4" xfId="20525" xr:uid="{00000000-0005-0000-0000-000047310000}"/>
    <cellStyle name="40% - Accent2 3 2 2 3" xfId="3202" xr:uid="{00000000-0005-0000-0000-000048310000}"/>
    <cellStyle name="40% - Accent2 3 2 2 3 2" xfId="12329" xr:uid="{00000000-0005-0000-0000-000049310000}"/>
    <cellStyle name="40% - Accent2 3 2 2 3 2 2" xfId="26041" xr:uid="{00000000-0005-0000-0000-00004A310000}"/>
    <cellStyle name="40% - Accent2 3 2 2 3 3" xfId="20527" xr:uid="{00000000-0005-0000-0000-00004B310000}"/>
    <cellStyle name="40% - Accent2 3 2 2 4" xfId="3203" xr:uid="{00000000-0005-0000-0000-00004C310000}"/>
    <cellStyle name="40% - Accent2 3 2 2 4 2" xfId="13893" xr:uid="{00000000-0005-0000-0000-00004D310000}"/>
    <cellStyle name="40% - Accent2 3 2 2 4 2 2" xfId="27442" xr:uid="{00000000-0005-0000-0000-00004E310000}"/>
    <cellStyle name="40% - Accent2 3 2 2 4 3" xfId="20528" xr:uid="{00000000-0005-0000-0000-00004F310000}"/>
    <cellStyle name="40% - Accent2 3 2 2 5" xfId="3204" xr:uid="{00000000-0005-0000-0000-000050310000}"/>
    <cellStyle name="40% - Accent2 3 2 2 5 2" xfId="14474" xr:uid="{00000000-0005-0000-0000-000051310000}"/>
    <cellStyle name="40% - Accent2 3 2 2 5 2 2" xfId="28023" xr:uid="{00000000-0005-0000-0000-000052310000}"/>
    <cellStyle name="40% - Accent2 3 2 2 5 3" xfId="20529" xr:uid="{00000000-0005-0000-0000-000053310000}"/>
    <cellStyle name="40% - Accent2 3 2 2 6" xfId="3205" xr:uid="{00000000-0005-0000-0000-000054310000}"/>
    <cellStyle name="40% - Accent2 3 2 2 6 2" xfId="16360" xr:uid="{00000000-0005-0000-0000-000055310000}"/>
    <cellStyle name="40% - Accent2 3 2 2 6 2 2" xfId="29767" xr:uid="{00000000-0005-0000-0000-000056310000}"/>
    <cellStyle name="40% - Accent2 3 2 2 6 3" xfId="20530" xr:uid="{00000000-0005-0000-0000-000057310000}"/>
    <cellStyle name="40% - Accent2 3 2 2 7" xfId="9277" xr:uid="{00000000-0005-0000-0000-000058310000}"/>
    <cellStyle name="40% - Accent2 3 2 2 7 2" xfId="23752" xr:uid="{00000000-0005-0000-0000-000059310000}"/>
    <cellStyle name="40% - Accent2 3 2 2 8" xfId="20524" xr:uid="{00000000-0005-0000-0000-00005A310000}"/>
    <cellStyle name="40% - Accent2 3 2 3" xfId="3206" xr:uid="{00000000-0005-0000-0000-00005B310000}"/>
    <cellStyle name="40% - Accent2 3 2 3 2" xfId="3207" xr:uid="{00000000-0005-0000-0000-00005C310000}"/>
    <cellStyle name="40% - Accent2 3 2 3 2 2" xfId="16652" xr:uid="{00000000-0005-0000-0000-00005D310000}"/>
    <cellStyle name="40% - Accent2 3 2 3 2 2 2" xfId="30059" xr:uid="{00000000-0005-0000-0000-00005E310000}"/>
    <cellStyle name="40% - Accent2 3 2 3 2 3" xfId="20532" xr:uid="{00000000-0005-0000-0000-00005F310000}"/>
    <cellStyle name="40% - Accent2 3 2 3 3" xfId="11003" xr:uid="{00000000-0005-0000-0000-000060310000}"/>
    <cellStyle name="40% - Accent2 3 2 3 3 2" xfId="24945" xr:uid="{00000000-0005-0000-0000-000061310000}"/>
    <cellStyle name="40% - Accent2 3 2 3 4" xfId="20531" xr:uid="{00000000-0005-0000-0000-000062310000}"/>
    <cellStyle name="40% - Accent2 3 2 4" xfId="3208" xr:uid="{00000000-0005-0000-0000-000063310000}"/>
    <cellStyle name="40% - Accent2 3 2 4 2" xfId="12029" xr:uid="{00000000-0005-0000-0000-000064310000}"/>
    <cellStyle name="40% - Accent2 3 2 4 2 2" xfId="25744" xr:uid="{00000000-0005-0000-0000-000065310000}"/>
    <cellStyle name="40% - Accent2 3 2 4 3" xfId="20533" xr:uid="{00000000-0005-0000-0000-000066310000}"/>
    <cellStyle name="40% - Accent2 3 2 5" xfId="3209" xr:uid="{00000000-0005-0000-0000-000067310000}"/>
    <cellStyle name="40% - Accent2 3 2 5 2" xfId="13604" xr:uid="{00000000-0005-0000-0000-000068310000}"/>
    <cellStyle name="40% - Accent2 3 2 5 2 2" xfId="27153" xr:uid="{00000000-0005-0000-0000-000069310000}"/>
    <cellStyle name="40% - Accent2 3 2 5 3" xfId="20534" xr:uid="{00000000-0005-0000-0000-00006A310000}"/>
    <cellStyle name="40% - Accent2 3 2 6" xfId="3210" xr:uid="{00000000-0005-0000-0000-00006B310000}"/>
    <cellStyle name="40% - Accent2 3 2 6 2" xfId="14185" xr:uid="{00000000-0005-0000-0000-00006C310000}"/>
    <cellStyle name="40% - Accent2 3 2 6 2 2" xfId="27734" xr:uid="{00000000-0005-0000-0000-00006D310000}"/>
    <cellStyle name="40% - Accent2 3 2 6 3" xfId="20535" xr:uid="{00000000-0005-0000-0000-00006E310000}"/>
    <cellStyle name="40% - Accent2 3 2 7" xfId="3211" xr:uid="{00000000-0005-0000-0000-00006F310000}"/>
    <cellStyle name="40% - Accent2 3 2 7 2" xfId="16071" xr:uid="{00000000-0005-0000-0000-000070310000}"/>
    <cellStyle name="40% - Accent2 3 2 7 2 2" xfId="29478" xr:uid="{00000000-0005-0000-0000-000071310000}"/>
    <cellStyle name="40% - Accent2 3 2 7 3" xfId="20536" xr:uid="{00000000-0005-0000-0000-000072310000}"/>
    <cellStyle name="40% - Accent2 3 2 8" xfId="9276" xr:uid="{00000000-0005-0000-0000-000073310000}"/>
    <cellStyle name="40% - Accent2 3 2 8 2" xfId="23751" xr:uid="{00000000-0005-0000-0000-000074310000}"/>
    <cellStyle name="40% - Accent2 3 2 9" xfId="20523" xr:uid="{00000000-0005-0000-0000-000075310000}"/>
    <cellStyle name="40% - Accent2 3 3" xfId="3212" xr:uid="{00000000-0005-0000-0000-000076310000}"/>
    <cellStyle name="40% - Accent2 3 3 2" xfId="3213" xr:uid="{00000000-0005-0000-0000-000077310000}"/>
    <cellStyle name="40% - Accent2 3 3 2 2" xfId="3214" xr:uid="{00000000-0005-0000-0000-000078310000}"/>
    <cellStyle name="40% - Accent2 3 3 2 2 2" xfId="16798" xr:uid="{00000000-0005-0000-0000-000079310000}"/>
    <cellStyle name="40% - Accent2 3 3 2 2 2 2" xfId="30205" xr:uid="{00000000-0005-0000-0000-00007A310000}"/>
    <cellStyle name="40% - Accent2 3 3 2 2 3" xfId="20539" xr:uid="{00000000-0005-0000-0000-00007B310000}"/>
    <cellStyle name="40% - Accent2 3 3 2 3" xfId="11005" xr:uid="{00000000-0005-0000-0000-00007C310000}"/>
    <cellStyle name="40% - Accent2 3 3 2 3 2" xfId="24947" xr:uid="{00000000-0005-0000-0000-00007D310000}"/>
    <cellStyle name="40% - Accent2 3 3 2 4" xfId="20538" xr:uid="{00000000-0005-0000-0000-00007E310000}"/>
    <cellStyle name="40% - Accent2 3 3 3" xfId="3215" xr:uid="{00000000-0005-0000-0000-00007F310000}"/>
    <cellStyle name="40% - Accent2 3 3 3 2" xfId="12186" xr:uid="{00000000-0005-0000-0000-000080310000}"/>
    <cellStyle name="40% - Accent2 3 3 3 2 2" xfId="25898" xr:uid="{00000000-0005-0000-0000-000081310000}"/>
    <cellStyle name="40% - Accent2 3 3 3 3" xfId="20540" xr:uid="{00000000-0005-0000-0000-000082310000}"/>
    <cellStyle name="40% - Accent2 3 3 4" xfId="3216" xr:uid="{00000000-0005-0000-0000-000083310000}"/>
    <cellStyle name="40% - Accent2 3 3 4 2" xfId="13750" xr:uid="{00000000-0005-0000-0000-000084310000}"/>
    <cellStyle name="40% - Accent2 3 3 4 2 2" xfId="27299" xr:uid="{00000000-0005-0000-0000-000085310000}"/>
    <cellStyle name="40% - Accent2 3 3 4 3" xfId="20541" xr:uid="{00000000-0005-0000-0000-000086310000}"/>
    <cellStyle name="40% - Accent2 3 3 5" xfId="3217" xr:uid="{00000000-0005-0000-0000-000087310000}"/>
    <cellStyle name="40% - Accent2 3 3 5 2" xfId="14331" xr:uid="{00000000-0005-0000-0000-000088310000}"/>
    <cellStyle name="40% - Accent2 3 3 5 2 2" xfId="27880" xr:uid="{00000000-0005-0000-0000-000089310000}"/>
    <cellStyle name="40% - Accent2 3 3 5 3" xfId="20542" xr:uid="{00000000-0005-0000-0000-00008A310000}"/>
    <cellStyle name="40% - Accent2 3 3 6" xfId="3218" xr:uid="{00000000-0005-0000-0000-00008B310000}"/>
    <cellStyle name="40% - Accent2 3 3 6 2" xfId="16217" xr:uid="{00000000-0005-0000-0000-00008C310000}"/>
    <cellStyle name="40% - Accent2 3 3 6 2 2" xfId="29624" xr:uid="{00000000-0005-0000-0000-00008D310000}"/>
    <cellStyle name="40% - Accent2 3 3 6 3" xfId="20543" xr:uid="{00000000-0005-0000-0000-00008E310000}"/>
    <cellStyle name="40% - Accent2 3 3 7" xfId="9278" xr:uid="{00000000-0005-0000-0000-00008F310000}"/>
    <cellStyle name="40% - Accent2 3 3 7 2" xfId="23753" xr:uid="{00000000-0005-0000-0000-000090310000}"/>
    <cellStyle name="40% - Accent2 3 3 8" xfId="20537" xr:uid="{00000000-0005-0000-0000-000091310000}"/>
    <cellStyle name="40% - Accent2 3 4" xfId="3219" xr:uid="{00000000-0005-0000-0000-000092310000}"/>
    <cellStyle name="40% - Accent2 3 4 2" xfId="3220" xr:uid="{00000000-0005-0000-0000-000093310000}"/>
    <cellStyle name="40% - Accent2 3 4 2 2" xfId="17145" xr:uid="{00000000-0005-0000-0000-000094310000}"/>
    <cellStyle name="40% - Accent2 3 4 2 2 2" xfId="30504" xr:uid="{00000000-0005-0000-0000-000095310000}"/>
    <cellStyle name="40% - Accent2 3 4 2 3" xfId="20545" xr:uid="{00000000-0005-0000-0000-000096310000}"/>
    <cellStyle name="40% - Accent2 3 4 3" xfId="11002" xr:uid="{00000000-0005-0000-0000-000097310000}"/>
    <cellStyle name="40% - Accent2 3 4 3 2" xfId="24944" xr:uid="{00000000-0005-0000-0000-000098310000}"/>
    <cellStyle name="40% - Accent2 3 4 4" xfId="20544" xr:uid="{00000000-0005-0000-0000-000099310000}"/>
    <cellStyle name="40% - Accent2 3 5" xfId="3221" xr:uid="{00000000-0005-0000-0000-00009A310000}"/>
    <cellStyle name="40% - Accent2 3 5 2" xfId="3222" xr:uid="{00000000-0005-0000-0000-00009B310000}"/>
    <cellStyle name="40% - Accent2 3 5 2 2" xfId="17234" xr:uid="{00000000-0005-0000-0000-00009C310000}"/>
    <cellStyle name="40% - Accent2 3 5 2 2 2" xfId="30593" xr:uid="{00000000-0005-0000-0000-00009D310000}"/>
    <cellStyle name="40% - Accent2 3 5 2 3" xfId="20547" xr:uid="{00000000-0005-0000-0000-00009E310000}"/>
    <cellStyle name="40% - Accent2 3 5 3" xfId="11881" xr:uid="{00000000-0005-0000-0000-00009F310000}"/>
    <cellStyle name="40% - Accent2 3 5 3 2" xfId="25596" xr:uid="{00000000-0005-0000-0000-0000A0310000}"/>
    <cellStyle name="40% - Accent2 3 5 4" xfId="20546" xr:uid="{00000000-0005-0000-0000-0000A1310000}"/>
    <cellStyle name="40% - Accent2 3 6" xfId="3223" xr:uid="{00000000-0005-0000-0000-0000A2310000}"/>
    <cellStyle name="40% - Accent2 3 6 2" xfId="3224" xr:uid="{00000000-0005-0000-0000-0000A3310000}"/>
    <cellStyle name="40% - Accent2 3 6 2 2" xfId="16509" xr:uid="{00000000-0005-0000-0000-0000A4310000}"/>
    <cellStyle name="40% - Accent2 3 6 2 2 2" xfId="29916" xr:uid="{00000000-0005-0000-0000-0000A5310000}"/>
    <cellStyle name="40% - Accent2 3 6 2 3" xfId="20549" xr:uid="{00000000-0005-0000-0000-0000A6310000}"/>
    <cellStyle name="40% - Accent2 3 6 3" xfId="13461" xr:uid="{00000000-0005-0000-0000-0000A7310000}"/>
    <cellStyle name="40% - Accent2 3 6 3 2" xfId="27010" xr:uid="{00000000-0005-0000-0000-0000A8310000}"/>
    <cellStyle name="40% - Accent2 3 6 4" xfId="20548" xr:uid="{00000000-0005-0000-0000-0000A9310000}"/>
    <cellStyle name="40% - Accent2 3 7" xfId="3225" xr:uid="{00000000-0005-0000-0000-0000AA310000}"/>
    <cellStyle name="40% - Accent2 3 7 2" xfId="14042" xr:uid="{00000000-0005-0000-0000-0000AB310000}"/>
    <cellStyle name="40% - Accent2 3 7 2 2" xfId="27591" xr:uid="{00000000-0005-0000-0000-0000AC310000}"/>
    <cellStyle name="40% - Accent2 3 7 3" xfId="20550" xr:uid="{00000000-0005-0000-0000-0000AD310000}"/>
    <cellStyle name="40% - Accent2 3 8" xfId="3226" xr:uid="{00000000-0005-0000-0000-0000AE310000}"/>
    <cellStyle name="40% - Accent2 3 8 2" xfId="15928" xr:uid="{00000000-0005-0000-0000-0000AF310000}"/>
    <cellStyle name="40% - Accent2 3 8 2 2" xfId="29335" xr:uid="{00000000-0005-0000-0000-0000B0310000}"/>
    <cellStyle name="40% - Accent2 3 8 3" xfId="20551" xr:uid="{00000000-0005-0000-0000-0000B1310000}"/>
    <cellStyle name="40% - Accent2 3 9" xfId="9275" xr:uid="{00000000-0005-0000-0000-0000B2310000}"/>
    <cellStyle name="40% - Accent2 3 9 2" xfId="23750" xr:uid="{00000000-0005-0000-0000-0000B3310000}"/>
    <cellStyle name="40% - Accent2 4" xfId="3227" xr:uid="{00000000-0005-0000-0000-0000B4310000}"/>
    <cellStyle name="40% - Accent2 4 10" xfId="20552" xr:uid="{00000000-0005-0000-0000-0000B5310000}"/>
    <cellStyle name="40% - Accent2 4 2" xfId="3228" xr:uid="{00000000-0005-0000-0000-0000B6310000}"/>
    <cellStyle name="40% - Accent2 4 2 2" xfId="3229" xr:uid="{00000000-0005-0000-0000-0000B7310000}"/>
    <cellStyle name="40% - Accent2 4 2 2 2" xfId="3230" xr:uid="{00000000-0005-0000-0000-0000B8310000}"/>
    <cellStyle name="40% - Accent2 4 2 2 2 2" xfId="3231" xr:uid="{00000000-0005-0000-0000-0000B9310000}"/>
    <cellStyle name="40% - Accent2 4 2 2 2 2 2" xfId="16899" xr:uid="{00000000-0005-0000-0000-0000BA310000}"/>
    <cellStyle name="40% - Accent2 4 2 2 2 2 2 2" xfId="30306" xr:uid="{00000000-0005-0000-0000-0000BB310000}"/>
    <cellStyle name="40% - Accent2 4 2 2 2 2 3" xfId="20556" xr:uid="{00000000-0005-0000-0000-0000BC310000}"/>
    <cellStyle name="40% - Accent2 4 2 2 2 3" xfId="11008" xr:uid="{00000000-0005-0000-0000-0000BD310000}"/>
    <cellStyle name="40% - Accent2 4 2 2 2 3 2" xfId="24950" xr:uid="{00000000-0005-0000-0000-0000BE310000}"/>
    <cellStyle name="40% - Accent2 4 2 2 2 4" xfId="20555" xr:uid="{00000000-0005-0000-0000-0000BF310000}"/>
    <cellStyle name="40% - Accent2 4 2 2 3" xfId="3232" xr:uid="{00000000-0005-0000-0000-0000C0310000}"/>
    <cellStyle name="40% - Accent2 4 2 2 3 2" xfId="12287" xr:uid="{00000000-0005-0000-0000-0000C1310000}"/>
    <cellStyle name="40% - Accent2 4 2 2 3 2 2" xfId="25999" xr:uid="{00000000-0005-0000-0000-0000C2310000}"/>
    <cellStyle name="40% - Accent2 4 2 2 3 3" xfId="20557" xr:uid="{00000000-0005-0000-0000-0000C3310000}"/>
    <cellStyle name="40% - Accent2 4 2 2 4" xfId="3233" xr:uid="{00000000-0005-0000-0000-0000C4310000}"/>
    <cellStyle name="40% - Accent2 4 2 2 4 2" xfId="13851" xr:uid="{00000000-0005-0000-0000-0000C5310000}"/>
    <cellStyle name="40% - Accent2 4 2 2 4 2 2" xfId="27400" xr:uid="{00000000-0005-0000-0000-0000C6310000}"/>
    <cellStyle name="40% - Accent2 4 2 2 4 3" xfId="20558" xr:uid="{00000000-0005-0000-0000-0000C7310000}"/>
    <cellStyle name="40% - Accent2 4 2 2 5" xfId="3234" xr:uid="{00000000-0005-0000-0000-0000C8310000}"/>
    <cellStyle name="40% - Accent2 4 2 2 5 2" xfId="14432" xr:uid="{00000000-0005-0000-0000-0000C9310000}"/>
    <cellStyle name="40% - Accent2 4 2 2 5 2 2" xfId="27981" xr:uid="{00000000-0005-0000-0000-0000CA310000}"/>
    <cellStyle name="40% - Accent2 4 2 2 5 3" xfId="20559" xr:uid="{00000000-0005-0000-0000-0000CB310000}"/>
    <cellStyle name="40% - Accent2 4 2 2 6" xfId="3235" xr:uid="{00000000-0005-0000-0000-0000CC310000}"/>
    <cellStyle name="40% - Accent2 4 2 2 6 2" xfId="16318" xr:uid="{00000000-0005-0000-0000-0000CD310000}"/>
    <cellStyle name="40% - Accent2 4 2 2 6 2 2" xfId="29725" xr:uid="{00000000-0005-0000-0000-0000CE310000}"/>
    <cellStyle name="40% - Accent2 4 2 2 6 3" xfId="20560" xr:uid="{00000000-0005-0000-0000-0000CF310000}"/>
    <cellStyle name="40% - Accent2 4 2 2 7" xfId="9281" xr:uid="{00000000-0005-0000-0000-0000D0310000}"/>
    <cellStyle name="40% - Accent2 4 2 2 7 2" xfId="23756" xr:uid="{00000000-0005-0000-0000-0000D1310000}"/>
    <cellStyle name="40% - Accent2 4 2 2 8" xfId="20554" xr:uid="{00000000-0005-0000-0000-0000D2310000}"/>
    <cellStyle name="40% - Accent2 4 2 3" xfId="3236" xr:uid="{00000000-0005-0000-0000-0000D3310000}"/>
    <cellStyle name="40% - Accent2 4 2 3 2" xfId="3237" xr:uid="{00000000-0005-0000-0000-0000D4310000}"/>
    <cellStyle name="40% - Accent2 4 2 3 2 2" xfId="16610" xr:uid="{00000000-0005-0000-0000-0000D5310000}"/>
    <cellStyle name="40% - Accent2 4 2 3 2 2 2" xfId="30017" xr:uid="{00000000-0005-0000-0000-0000D6310000}"/>
    <cellStyle name="40% - Accent2 4 2 3 2 3" xfId="20562" xr:uid="{00000000-0005-0000-0000-0000D7310000}"/>
    <cellStyle name="40% - Accent2 4 2 3 3" xfId="11007" xr:uid="{00000000-0005-0000-0000-0000D8310000}"/>
    <cellStyle name="40% - Accent2 4 2 3 3 2" xfId="24949" xr:uid="{00000000-0005-0000-0000-0000D9310000}"/>
    <cellStyle name="40% - Accent2 4 2 3 4" xfId="20561" xr:uid="{00000000-0005-0000-0000-0000DA310000}"/>
    <cellStyle name="40% - Accent2 4 2 4" xfId="3238" xr:uid="{00000000-0005-0000-0000-0000DB310000}"/>
    <cellStyle name="40% - Accent2 4 2 4 2" xfId="11987" xr:uid="{00000000-0005-0000-0000-0000DC310000}"/>
    <cellStyle name="40% - Accent2 4 2 4 2 2" xfId="25702" xr:uid="{00000000-0005-0000-0000-0000DD310000}"/>
    <cellStyle name="40% - Accent2 4 2 4 3" xfId="20563" xr:uid="{00000000-0005-0000-0000-0000DE310000}"/>
    <cellStyle name="40% - Accent2 4 2 5" xfId="3239" xr:uid="{00000000-0005-0000-0000-0000DF310000}"/>
    <cellStyle name="40% - Accent2 4 2 5 2" xfId="13562" xr:uid="{00000000-0005-0000-0000-0000E0310000}"/>
    <cellStyle name="40% - Accent2 4 2 5 2 2" xfId="27111" xr:uid="{00000000-0005-0000-0000-0000E1310000}"/>
    <cellStyle name="40% - Accent2 4 2 5 3" xfId="20564" xr:uid="{00000000-0005-0000-0000-0000E2310000}"/>
    <cellStyle name="40% - Accent2 4 2 6" xfId="3240" xr:uid="{00000000-0005-0000-0000-0000E3310000}"/>
    <cellStyle name="40% - Accent2 4 2 6 2" xfId="14143" xr:uid="{00000000-0005-0000-0000-0000E4310000}"/>
    <cellStyle name="40% - Accent2 4 2 6 2 2" xfId="27692" xr:uid="{00000000-0005-0000-0000-0000E5310000}"/>
    <cellStyle name="40% - Accent2 4 2 6 3" xfId="20565" xr:uid="{00000000-0005-0000-0000-0000E6310000}"/>
    <cellStyle name="40% - Accent2 4 2 7" xfId="3241" xr:uid="{00000000-0005-0000-0000-0000E7310000}"/>
    <cellStyle name="40% - Accent2 4 2 7 2" xfId="16029" xr:uid="{00000000-0005-0000-0000-0000E8310000}"/>
    <cellStyle name="40% - Accent2 4 2 7 2 2" xfId="29436" xr:uid="{00000000-0005-0000-0000-0000E9310000}"/>
    <cellStyle name="40% - Accent2 4 2 7 3" xfId="20566" xr:uid="{00000000-0005-0000-0000-0000EA310000}"/>
    <cellStyle name="40% - Accent2 4 2 8" xfId="9280" xr:uid="{00000000-0005-0000-0000-0000EB310000}"/>
    <cellStyle name="40% - Accent2 4 2 8 2" xfId="23755" xr:uid="{00000000-0005-0000-0000-0000EC310000}"/>
    <cellStyle name="40% - Accent2 4 2 9" xfId="20553" xr:uid="{00000000-0005-0000-0000-0000ED310000}"/>
    <cellStyle name="40% - Accent2 4 3" xfId="3242" xr:uid="{00000000-0005-0000-0000-0000EE310000}"/>
    <cellStyle name="40% - Accent2 4 3 2" xfId="3243" xr:uid="{00000000-0005-0000-0000-0000EF310000}"/>
    <cellStyle name="40% - Accent2 4 3 2 2" xfId="3244" xr:uid="{00000000-0005-0000-0000-0000F0310000}"/>
    <cellStyle name="40% - Accent2 4 3 2 2 2" xfId="16759" xr:uid="{00000000-0005-0000-0000-0000F1310000}"/>
    <cellStyle name="40% - Accent2 4 3 2 2 2 2" xfId="30166" xr:uid="{00000000-0005-0000-0000-0000F2310000}"/>
    <cellStyle name="40% - Accent2 4 3 2 2 3" xfId="20569" xr:uid="{00000000-0005-0000-0000-0000F3310000}"/>
    <cellStyle name="40% - Accent2 4 3 2 3" xfId="11009" xr:uid="{00000000-0005-0000-0000-0000F4310000}"/>
    <cellStyle name="40% - Accent2 4 3 2 3 2" xfId="24951" xr:uid="{00000000-0005-0000-0000-0000F5310000}"/>
    <cellStyle name="40% - Accent2 4 3 2 4" xfId="20568" xr:uid="{00000000-0005-0000-0000-0000F6310000}"/>
    <cellStyle name="40% - Accent2 4 3 3" xfId="3245" xr:uid="{00000000-0005-0000-0000-0000F7310000}"/>
    <cellStyle name="40% - Accent2 4 3 3 2" xfId="12147" xr:uid="{00000000-0005-0000-0000-0000F8310000}"/>
    <cellStyle name="40% - Accent2 4 3 3 2 2" xfId="25859" xr:uid="{00000000-0005-0000-0000-0000F9310000}"/>
    <cellStyle name="40% - Accent2 4 3 3 3" xfId="20570" xr:uid="{00000000-0005-0000-0000-0000FA310000}"/>
    <cellStyle name="40% - Accent2 4 3 4" xfId="3246" xr:uid="{00000000-0005-0000-0000-0000FB310000}"/>
    <cellStyle name="40% - Accent2 4 3 4 2" xfId="13711" xr:uid="{00000000-0005-0000-0000-0000FC310000}"/>
    <cellStyle name="40% - Accent2 4 3 4 2 2" xfId="27260" xr:uid="{00000000-0005-0000-0000-0000FD310000}"/>
    <cellStyle name="40% - Accent2 4 3 4 3" xfId="20571" xr:uid="{00000000-0005-0000-0000-0000FE310000}"/>
    <cellStyle name="40% - Accent2 4 3 5" xfId="3247" xr:uid="{00000000-0005-0000-0000-0000FF310000}"/>
    <cellStyle name="40% - Accent2 4 3 5 2" xfId="14292" xr:uid="{00000000-0005-0000-0000-000000320000}"/>
    <cellStyle name="40% - Accent2 4 3 5 2 2" xfId="27841" xr:uid="{00000000-0005-0000-0000-000001320000}"/>
    <cellStyle name="40% - Accent2 4 3 5 3" xfId="20572" xr:uid="{00000000-0005-0000-0000-000002320000}"/>
    <cellStyle name="40% - Accent2 4 3 6" xfId="3248" xr:uid="{00000000-0005-0000-0000-000003320000}"/>
    <cellStyle name="40% - Accent2 4 3 6 2" xfId="16178" xr:uid="{00000000-0005-0000-0000-000004320000}"/>
    <cellStyle name="40% - Accent2 4 3 6 2 2" xfId="29585" xr:uid="{00000000-0005-0000-0000-000005320000}"/>
    <cellStyle name="40% - Accent2 4 3 6 3" xfId="20573" xr:uid="{00000000-0005-0000-0000-000006320000}"/>
    <cellStyle name="40% - Accent2 4 3 7" xfId="9282" xr:uid="{00000000-0005-0000-0000-000007320000}"/>
    <cellStyle name="40% - Accent2 4 3 7 2" xfId="23757" xr:uid="{00000000-0005-0000-0000-000008320000}"/>
    <cellStyle name="40% - Accent2 4 3 8" xfId="20567" xr:uid="{00000000-0005-0000-0000-000009320000}"/>
    <cellStyle name="40% - Accent2 4 4" xfId="3249" xr:uid="{00000000-0005-0000-0000-00000A320000}"/>
    <cellStyle name="40% - Accent2 4 4 2" xfId="3250" xr:uid="{00000000-0005-0000-0000-00000B320000}"/>
    <cellStyle name="40% - Accent2 4 4 2 2" xfId="16467" xr:uid="{00000000-0005-0000-0000-00000C320000}"/>
    <cellStyle name="40% - Accent2 4 4 2 2 2" xfId="29874" xr:uid="{00000000-0005-0000-0000-00000D320000}"/>
    <cellStyle name="40% - Accent2 4 4 2 3" xfId="20575" xr:uid="{00000000-0005-0000-0000-00000E320000}"/>
    <cellStyle name="40% - Accent2 4 4 3" xfId="11006" xr:uid="{00000000-0005-0000-0000-00000F320000}"/>
    <cellStyle name="40% - Accent2 4 4 3 2" xfId="24948" xr:uid="{00000000-0005-0000-0000-000010320000}"/>
    <cellStyle name="40% - Accent2 4 4 4" xfId="20574" xr:uid="{00000000-0005-0000-0000-000011320000}"/>
    <cellStyle name="40% - Accent2 4 5" xfId="3251" xr:uid="{00000000-0005-0000-0000-000012320000}"/>
    <cellStyle name="40% - Accent2 4 5 2" xfId="11818" xr:uid="{00000000-0005-0000-0000-000013320000}"/>
    <cellStyle name="40% - Accent2 4 5 2 2" xfId="25533" xr:uid="{00000000-0005-0000-0000-000014320000}"/>
    <cellStyle name="40% - Accent2 4 5 3" xfId="20576" xr:uid="{00000000-0005-0000-0000-000015320000}"/>
    <cellStyle name="40% - Accent2 4 6" xfId="3252" xr:uid="{00000000-0005-0000-0000-000016320000}"/>
    <cellStyle name="40% - Accent2 4 6 2" xfId="13419" xr:uid="{00000000-0005-0000-0000-000017320000}"/>
    <cellStyle name="40% - Accent2 4 6 2 2" xfId="26968" xr:uid="{00000000-0005-0000-0000-000018320000}"/>
    <cellStyle name="40% - Accent2 4 6 3" xfId="20577" xr:uid="{00000000-0005-0000-0000-000019320000}"/>
    <cellStyle name="40% - Accent2 4 7" xfId="3253" xr:uid="{00000000-0005-0000-0000-00001A320000}"/>
    <cellStyle name="40% - Accent2 4 7 2" xfId="14000" xr:uid="{00000000-0005-0000-0000-00001B320000}"/>
    <cellStyle name="40% - Accent2 4 7 2 2" xfId="27549" xr:uid="{00000000-0005-0000-0000-00001C320000}"/>
    <cellStyle name="40% - Accent2 4 7 3" xfId="20578" xr:uid="{00000000-0005-0000-0000-00001D320000}"/>
    <cellStyle name="40% - Accent2 4 8" xfId="3254" xr:uid="{00000000-0005-0000-0000-00001E320000}"/>
    <cellStyle name="40% - Accent2 4 8 2" xfId="15886" xr:uid="{00000000-0005-0000-0000-00001F320000}"/>
    <cellStyle name="40% - Accent2 4 8 2 2" xfId="29293" xr:uid="{00000000-0005-0000-0000-000020320000}"/>
    <cellStyle name="40% - Accent2 4 8 3" xfId="20579" xr:uid="{00000000-0005-0000-0000-000021320000}"/>
    <cellStyle name="40% - Accent2 4 9" xfId="9279" xr:uid="{00000000-0005-0000-0000-000022320000}"/>
    <cellStyle name="40% - Accent2 4 9 2" xfId="23754" xr:uid="{00000000-0005-0000-0000-000023320000}"/>
    <cellStyle name="40% - Accent2 5" xfId="3255" xr:uid="{00000000-0005-0000-0000-000024320000}"/>
    <cellStyle name="40% - Accent2 5 10" xfId="20580" xr:uid="{00000000-0005-0000-0000-000025320000}"/>
    <cellStyle name="40% - Accent2 5 2" xfId="3256" xr:uid="{00000000-0005-0000-0000-000026320000}"/>
    <cellStyle name="40% - Accent2 5 2 2" xfId="3257" xr:uid="{00000000-0005-0000-0000-000027320000}"/>
    <cellStyle name="40% - Accent2 5 2 2 2" xfId="3258" xr:uid="{00000000-0005-0000-0000-000028320000}"/>
    <cellStyle name="40% - Accent2 5 2 2 2 2" xfId="3259" xr:uid="{00000000-0005-0000-0000-000029320000}"/>
    <cellStyle name="40% - Accent2 5 2 2 2 2 2" xfId="16882" xr:uid="{00000000-0005-0000-0000-00002A320000}"/>
    <cellStyle name="40% - Accent2 5 2 2 2 2 2 2" xfId="30289" xr:uid="{00000000-0005-0000-0000-00002B320000}"/>
    <cellStyle name="40% - Accent2 5 2 2 2 2 3" xfId="20584" xr:uid="{00000000-0005-0000-0000-00002C320000}"/>
    <cellStyle name="40% - Accent2 5 2 2 2 3" xfId="11012" xr:uid="{00000000-0005-0000-0000-00002D320000}"/>
    <cellStyle name="40% - Accent2 5 2 2 2 3 2" xfId="24954" xr:uid="{00000000-0005-0000-0000-00002E320000}"/>
    <cellStyle name="40% - Accent2 5 2 2 2 4" xfId="20583" xr:uid="{00000000-0005-0000-0000-00002F320000}"/>
    <cellStyle name="40% - Accent2 5 2 2 3" xfId="3260" xr:uid="{00000000-0005-0000-0000-000030320000}"/>
    <cellStyle name="40% - Accent2 5 2 2 3 2" xfId="12270" xr:uid="{00000000-0005-0000-0000-000031320000}"/>
    <cellStyle name="40% - Accent2 5 2 2 3 2 2" xfId="25982" xr:uid="{00000000-0005-0000-0000-000032320000}"/>
    <cellStyle name="40% - Accent2 5 2 2 3 3" xfId="20585" xr:uid="{00000000-0005-0000-0000-000033320000}"/>
    <cellStyle name="40% - Accent2 5 2 2 4" xfId="3261" xr:uid="{00000000-0005-0000-0000-000034320000}"/>
    <cellStyle name="40% - Accent2 5 2 2 4 2" xfId="13834" xr:uid="{00000000-0005-0000-0000-000035320000}"/>
    <cellStyle name="40% - Accent2 5 2 2 4 2 2" xfId="27383" xr:uid="{00000000-0005-0000-0000-000036320000}"/>
    <cellStyle name="40% - Accent2 5 2 2 4 3" xfId="20586" xr:uid="{00000000-0005-0000-0000-000037320000}"/>
    <cellStyle name="40% - Accent2 5 2 2 5" xfId="3262" xr:uid="{00000000-0005-0000-0000-000038320000}"/>
    <cellStyle name="40% - Accent2 5 2 2 5 2" xfId="14415" xr:uid="{00000000-0005-0000-0000-000039320000}"/>
    <cellStyle name="40% - Accent2 5 2 2 5 2 2" xfId="27964" xr:uid="{00000000-0005-0000-0000-00003A320000}"/>
    <cellStyle name="40% - Accent2 5 2 2 5 3" xfId="20587" xr:uid="{00000000-0005-0000-0000-00003B320000}"/>
    <cellStyle name="40% - Accent2 5 2 2 6" xfId="3263" xr:uid="{00000000-0005-0000-0000-00003C320000}"/>
    <cellStyle name="40% - Accent2 5 2 2 6 2" xfId="16301" xr:uid="{00000000-0005-0000-0000-00003D320000}"/>
    <cellStyle name="40% - Accent2 5 2 2 6 2 2" xfId="29708" xr:uid="{00000000-0005-0000-0000-00003E320000}"/>
    <cellStyle name="40% - Accent2 5 2 2 6 3" xfId="20588" xr:uid="{00000000-0005-0000-0000-00003F320000}"/>
    <cellStyle name="40% - Accent2 5 2 2 7" xfId="9285" xr:uid="{00000000-0005-0000-0000-000040320000}"/>
    <cellStyle name="40% - Accent2 5 2 2 7 2" xfId="23760" xr:uid="{00000000-0005-0000-0000-000041320000}"/>
    <cellStyle name="40% - Accent2 5 2 2 8" xfId="20582" xr:uid="{00000000-0005-0000-0000-000042320000}"/>
    <cellStyle name="40% - Accent2 5 2 3" xfId="3264" xr:uid="{00000000-0005-0000-0000-000043320000}"/>
    <cellStyle name="40% - Accent2 5 2 3 2" xfId="3265" xr:uid="{00000000-0005-0000-0000-000044320000}"/>
    <cellStyle name="40% - Accent2 5 2 3 2 2" xfId="16593" xr:uid="{00000000-0005-0000-0000-000045320000}"/>
    <cellStyle name="40% - Accent2 5 2 3 2 2 2" xfId="30000" xr:uid="{00000000-0005-0000-0000-000046320000}"/>
    <cellStyle name="40% - Accent2 5 2 3 2 3" xfId="20590" xr:uid="{00000000-0005-0000-0000-000047320000}"/>
    <cellStyle name="40% - Accent2 5 2 3 3" xfId="11011" xr:uid="{00000000-0005-0000-0000-000048320000}"/>
    <cellStyle name="40% - Accent2 5 2 3 3 2" xfId="24953" xr:uid="{00000000-0005-0000-0000-000049320000}"/>
    <cellStyle name="40% - Accent2 5 2 3 4" xfId="20589" xr:uid="{00000000-0005-0000-0000-00004A320000}"/>
    <cellStyle name="40% - Accent2 5 2 4" xfId="3266" xr:uid="{00000000-0005-0000-0000-00004B320000}"/>
    <cellStyle name="40% - Accent2 5 2 4 2" xfId="11970" xr:uid="{00000000-0005-0000-0000-00004C320000}"/>
    <cellStyle name="40% - Accent2 5 2 4 2 2" xfId="25685" xr:uid="{00000000-0005-0000-0000-00004D320000}"/>
    <cellStyle name="40% - Accent2 5 2 4 3" xfId="20591" xr:uid="{00000000-0005-0000-0000-00004E320000}"/>
    <cellStyle name="40% - Accent2 5 2 5" xfId="3267" xr:uid="{00000000-0005-0000-0000-00004F320000}"/>
    <cellStyle name="40% - Accent2 5 2 5 2" xfId="13545" xr:uid="{00000000-0005-0000-0000-000050320000}"/>
    <cellStyle name="40% - Accent2 5 2 5 2 2" xfId="27094" xr:uid="{00000000-0005-0000-0000-000051320000}"/>
    <cellStyle name="40% - Accent2 5 2 5 3" xfId="20592" xr:uid="{00000000-0005-0000-0000-000052320000}"/>
    <cellStyle name="40% - Accent2 5 2 6" xfId="3268" xr:uid="{00000000-0005-0000-0000-000053320000}"/>
    <cellStyle name="40% - Accent2 5 2 6 2" xfId="14126" xr:uid="{00000000-0005-0000-0000-000054320000}"/>
    <cellStyle name="40% - Accent2 5 2 6 2 2" xfId="27675" xr:uid="{00000000-0005-0000-0000-000055320000}"/>
    <cellStyle name="40% - Accent2 5 2 6 3" xfId="20593" xr:uid="{00000000-0005-0000-0000-000056320000}"/>
    <cellStyle name="40% - Accent2 5 2 7" xfId="3269" xr:uid="{00000000-0005-0000-0000-000057320000}"/>
    <cellStyle name="40% - Accent2 5 2 7 2" xfId="16012" xr:uid="{00000000-0005-0000-0000-000058320000}"/>
    <cellStyle name="40% - Accent2 5 2 7 2 2" xfId="29419" xr:uid="{00000000-0005-0000-0000-000059320000}"/>
    <cellStyle name="40% - Accent2 5 2 7 3" xfId="20594" xr:uid="{00000000-0005-0000-0000-00005A320000}"/>
    <cellStyle name="40% - Accent2 5 2 8" xfId="9284" xr:uid="{00000000-0005-0000-0000-00005B320000}"/>
    <cellStyle name="40% - Accent2 5 2 8 2" xfId="23759" xr:uid="{00000000-0005-0000-0000-00005C320000}"/>
    <cellStyle name="40% - Accent2 5 2 9" xfId="20581" xr:uid="{00000000-0005-0000-0000-00005D320000}"/>
    <cellStyle name="40% - Accent2 5 3" xfId="3270" xr:uid="{00000000-0005-0000-0000-00005E320000}"/>
    <cellStyle name="40% - Accent2 5 3 2" xfId="3271" xr:uid="{00000000-0005-0000-0000-00005F320000}"/>
    <cellStyle name="40% - Accent2 5 3 2 2" xfId="3272" xr:uid="{00000000-0005-0000-0000-000060320000}"/>
    <cellStyle name="40% - Accent2 5 3 2 2 2" xfId="16742" xr:uid="{00000000-0005-0000-0000-000061320000}"/>
    <cellStyle name="40% - Accent2 5 3 2 2 2 2" xfId="30149" xr:uid="{00000000-0005-0000-0000-000062320000}"/>
    <cellStyle name="40% - Accent2 5 3 2 2 3" xfId="20597" xr:uid="{00000000-0005-0000-0000-000063320000}"/>
    <cellStyle name="40% - Accent2 5 3 2 3" xfId="11013" xr:uid="{00000000-0005-0000-0000-000064320000}"/>
    <cellStyle name="40% - Accent2 5 3 2 3 2" xfId="24955" xr:uid="{00000000-0005-0000-0000-000065320000}"/>
    <cellStyle name="40% - Accent2 5 3 2 4" xfId="20596" xr:uid="{00000000-0005-0000-0000-000066320000}"/>
    <cellStyle name="40% - Accent2 5 3 3" xfId="3273" xr:uid="{00000000-0005-0000-0000-000067320000}"/>
    <cellStyle name="40% - Accent2 5 3 3 2" xfId="12130" xr:uid="{00000000-0005-0000-0000-000068320000}"/>
    <cellStyle name="40% - Accent2 5 3 3 2 2" xfId="25842" xr:uid="{00000000-0005-0000-0000-000069320000}"/>
    <cellStyle name="40% - Accent2 5 3 3 3" xfId="20598" xr:uid="{00000000-0005-0000-0000-00006A320000}"/>
    <cellStyle name="40% - Accent2 5 3 4" xfId="3274" xr:uid="{00000000-0005-0000-0000-00006B320000}"/>
    <cellStyle name="40% - Accent2 5 3 4 2" xfId="13694" xr:uid="{00000000-0005-0000-0000-00006C320000}"/>
    <cellStyle name="40% - Accent2 5 3 4 2 2" xfId="27243" xr:uid="{00000000-0005-0000-0000-00006D320000}"/>
    <cellStyle name="40% - Accent2 5 3 4 3" xfId="20599" xr:uid="{00000000-0005-0000-0000-00006E320000}"/>
    <cellStyle name="40% - Accent2 5 3 5" xfId="3275" xr:uid="{00000000-0005-0000-0000-00006F320000}"/>
    <cellStyle name="40% - Accent2 5 3 5 2" xfId="14275" xr:uid="{00000000-0005-0000-0000-000070320000}"/>
    <cellStyle name="40% - Accent2 5 3 5 2 2" xfId="27824" xr:uid="{00000000-0005-0000-0000-000071320000}"/>
    <cellStyle name="40% - Accent2 5 3 5 3" xfId="20600" xr:uid="{00000000-0005-0000-0000-000072320000}"/>
    <cellStyle name="40% - Accent2 5 3 6" xfId="3276" xr:uid="{00000000-0005-0000-0000-000073320000}"/>
    <cellStyle name="40% - Accent2 5 3 6 2" xfId="16161" xr:uid="{00000000-0005-0000-0000-000074320000}"/>
    <cellStyle name="40% - Accent2 5 3 6 2 2" xfId="29568" xr:uid="{00000000-0005-0000-0000-000075320000}"/>
    <cellStyle name="40% - Accent2 5 3 6 3" xfId="20601" xr:uid="{00000000-0005-0000-0000-000076320000}"/>
    <cellStyle name="40% - Accent2 5 3 7" xfId="9286" xr:uid="{00000000-0005-0000-0000-000077320000}"/>
    <cellStyle name="40% - Accent2 5 3 7 2" xfId="23761" xr:uid="{00000000-0005-0000-0000-000078320000}"/>
    <cellStyle name="40% - Accent2 5 3 8" xfId="20595" xr:uid="{00000000-0005-0000-0000-000079320000}"/>
    <cellStyle name="40% - Accent2 5 4" xfId="3277" xr:uid="{00000000-0005-0000-0000-00007A320000}"/>
    <cellStyle name="40% - Accent2 5 4 2" xfId="3278" xr:uid="{00000000-0005-0000-0000-00007B320000}"/>
    <cellStyle name="40% - Accent2 5 4 2 2" xfId="16450" xr:uid="{00000000-0005-0000-0000-00007C320000}"/>
    <cellStyle name="40% - Accent2 5 4 2 2 2" xfId="29857" xr:uid="{00000000-0005-0000-0000-00007D320000}"/>
    <cellStyle name="40% - Accent2 5 4 2 3" xfId="20603" xr:uid="{00000000-0005-0000-0000-00007E320000}"/>
    <cellStyle name="40% - Accent2 5 4 3" xfId="11010" xr:uid="{00000000-0005-0000-0000-00007F320000}"/>
    <cellStyle name="40% - Accent2 5 4 3 2" xfId="24952" xr:uid="{00000000-0005-0000-0000-000080320000}"/>
    <cellStyle name="40% - Accent2 5 4 4" xfId="20602" xr:uid="{00000000-0005-0000-0000-000081320000}"/>
    <cellStyle name="40% - Accent2 5 5" xfId="3279" xr:uid="{00000000-0005-0000-0000-000082320000}"/>
    <cellStyle name="40% - Accent2 5 5 2" xfId="11801" xr:uid="{00000000-0005-0000-0000-000083320000}"/>
    <cellStyle name="40% - Accent2 5 5 2 2" xfId="25516" xr:uid="{00000000-0005-0000-0000-000084320000}"/>
    <cellStyle name="40% - Accent2 5 5 3" xfId="20604" xr:uid="{00000000-0005-0000-0000-000085320000}"/>
    <cellStyle name="40% - Accent2 5 6" xfId="3280" xr:uid="{00000000-0005-0000-0000-000086320000}"/>
    <cellStyle name="40% - Accent2 5 6 2" xfId="13402" xr:uid="{00000000-0005-0000-0000-000087320000}"/>
    <cellStyle name="40% - Accent2 5 6 2 2" xfId="26951" xr:uid="{00000000-0005-0000-0000-000088320000}"/>
    <cellStyle name="40% - Accent2 5 6 3" xfId="20605" xr:uid="{00000000-0005-0000-0000-000089320000}"/>
    <cellStyle name="40% - Accent2 5 7" xfId="3281" xr:uid="{00000000-0005-0000-0000-00008A320000}"/>
    <cellStyle name="40% - Accent2 5 7 2" xfId="13983" xr:uid="{00000000-0005-0000-0000-00008B320000}"/>
    <cellStyle name="40% - Accent2 5 7 2 2" xfId="27532" xr:uid="{00000000-0005-0000-0000-00008C320000}"/>
    <cellStyle name="40% - Accent2 5 7 3" xfId="20606" xr:uid="{00000000-0005-0000-0000-00008D320000}"/>
    <cellStyle name="40% - Accent2 5 8" xfId="3282" xr:uid="{00000000-0005-0000-0000-00008E320000}"/>
    <cellStyle name="40% - Accent2 5 8 2" xfId="15869" xr:uid="{00000000-0005-0000-0000-00008F320000}"/>
    <cellStyle name="40% - Accent2 5 8 2 2" xfId="29276" xr:uid="{00000000-0005-0000-0000-000090320000}"/>
    <cellStyle name="40% - Accent2 5 8 3" xfId="20607" xr:uid="{00000000-0005-0000-0000-000091320000}"/>
    <cellStyle name="40% - Accent2 5 9" xfId="9283" xr:uid="{00000000-0005-0000-0000-000092320000}"/>
    <cellStyle name="40% - Accent2 5 9 2" xfId="23758" xr:uid="{00000000-0005-0000-0000-000093320000}"/>
    <cellStyle name="40% - Accent2 6" xfId="3283" xr:uid="{00000000-0005-0000-0000-000094320000}"/>
    <cellStyle name="40% - Accent2 6 10" xfId="20608" xr:uid="{00000000-0005-0000-0000-000095320000}"/>
    <cellStyle name="40% - Accent2 6 2" xfId="3284" xr:uid="{00000000-0005-0000-0000-000096320000}"/>
    <cellStyle name="40% - Accent2 6 2 2" xfId="3285" xr:uid="{00000000-0005-0000-0000-000097320000}"/>
    <cellStyle name="40% - Accent2 6 2 2 2" xfId="3286" xr:uid="{00000000-0005-0000-0000-000098320000}"/>
    <cellStyle name="40% - Accent2 6 2 2 2 2" xfId="3287" xr:uid="{00000000-0005-0000-0000-000099320000}"/>
    <cellStyle name="40% - Accent2 6 2 2 2 2 2" xfId="16988" xr:uid="{00000000-0005-0000-0000-00009A320000}"/>
    <cellStyle name="40% - Accent2 6 2 2 2 2 2 2" xfId="30395" xr:uid="{00000000-0005-0000-0000-00009B320000}"/>
    <cellStyle name="40% - Accent2 6 2 2 2 2 3" xfId="20612" xr:uid="{00000000-0005-0000-0000-00009C320000}"/>
    <cellStyle name="40% - Accent2 6 2 2 2 3" xfId="11016" xr:uid="{00000000-0005-0000-0000-00009D320000}"/>
    <cellStyle name="40% - Accent2 6 2 2 2 3 2" xfId="24958" xr:uid="{00000000-0005-0000-0000-00009E320000}"/>
    <cellStyle name="40% - Accent2 6 2 2 2 4" xfId="20611" xr:uid="{00000000-0005-0000-0000-00009F320000}"/>
    <cellStyle name="40% - Accent2 6 2 2 3" xfId="3288" xr:uid="{00000000-0005-0000-0000-0000A0320000}"/>
    <cellStyle name="40% - Accent2 6 2 2 3 2" xfId="12376" xr:uid="{00000000-0005-0000-0000-0000A1320000}"/>
    <cellStyle name="40% - Accent2 6 2 2 3 2 2" xfId="26088" xr:uid="{00000000-0005-0000-0000-0000A2320000}"/>
    <cellStyle name="40% - Accent2 6 2 2 3 3" xfId="20613" xr:uid="{00000000-0005-0000-0000-0000A3320000}"/>
    <cellStyle name="40% - Accent2 6 2 2 4" xfId="3289" xr:uid="{00000000-0005-0000-0000-0000A4320000}"/>
    <cellStyle name="40% - Accent2 6 2 2 4 2" xfId="13940" xr:uid="{00000000-0005-0000-0000-0000A5320000}"/>
    <cellStyle name="40% - Accent2 6 2 2 4 2 2" xfId="27489" xr:uid="{00000000-0005-0000-0000-0000A6320000}"/>
    <cellStyle name="40% - Accent2 6 2 2 4 3" xfId="20614" xr:uid="{00000000-0005-0000-0000-0000A7320000}"/>
    <cellStyle name="40% - Accent2 6 2 2 5" xfId="3290" xr:uid="{00000000-0005-0000-0000-0000A8320000}"/>
    <cellStyle name="40% - Accent2 6 2 2 5 2" xfId="14521" xr:uid="{00000000-0005-0000-0000-0000A9320000}"/>
    <cellStyle name="40% - Accent2 6 2 2 5 2 2" xfId="28070" xr:uid="{00000000-0005-0000-0000-0000AA320000}"/>
    <cellStyle name="40% - Accent2 6 2 2 5 3" xfId="20615" xr:uid="{00000000-0005-0000-0000-0000AB320000}"/>
    <cellStyle name="40% - Accent2 6 2 2 6" xfId="3291" xr:uid="{00000000-0005-0000-0000-0000AC320000}"/>
    <cellStyle name="40% - Accent2 6 2 2 6 2" xfId="16407" xr:uid="{00000000-0005-0000-0000-0000AD320000}"/>
    <cellStyle name="40% - Accent2 6 2 2 6 2 2" xfId="29814" xr:uid="{00000000-0005-0000-0000-0000AE320000}"/>
    <cellStyle name="40% - Accent2 6 2 2 6 3" xfId="20616" xr:uid="{00000000-0005-0000-0000-0000AF320000}"/>
    <cellStyle name="40% - Accent2 6 2 2 7" xfId="9289" xr:uid="{00000000-0005-0000-0000-0000B0320000}"/>
    <cellStyle name="40% - Accent2 6 2 2 7 2" xfId="23764" xr:uid="{00000000-0005-0000-0000-0000B1320000}"/>
    <cellStyle name="40% - Accent2 6 2 2 8" xfId="20610" xr:uid="{00000000-0005-0000-0000-0000B2320000}"/>
    <cellStyle name="40% - Accent2 6 2 3" xfId="3292" xr:uid="{00000000-0005-0000-0000-0000B3320000}"/>
    <cellStyle name="40% - Accent2 6 2 3 2" xfId="3293" xr:uid="{00000000-0005-0000-0000-0000B4320000}"/>
    <cellStyle name="40% - Accent2 6 2 3 2 2" xfId="16699" xr:uid="{00000000-0005-0000-0000-0000B5320000}"/>
    <cellStyle name="40% - Accent2 6 2 3 2 2 2" xfId="30106" xr:uid="{00000000-0005-0000-0000-0000B6320000}"/>
    <cellStyle name="40% - Accent2 6 2 3 2 3" xfId="20618" xr:uid="{00000000-0005-0000-0000-0000B7320000}"/>
    <cellStyle name="40% - Accent2 6 2 3 3" xfId="11015" xr:uid="{00000000-0005-0000-0000-0000B8320000}"/>
    <cellStyle name="40% - Accent2 6 2 3 3 2" xfId="24957" xr:uid="{00000000-0005-0000-0000-0000B9320000}"/>
    <cellStyle name="40% - Accent2 6 2 3 4" xfId="20617" xr:uid="{00000000-0005-0000-0000-0000BA320000}"/>
    <cellStyle name="40% - Accent2 6 2 4" xfId="3294" xr:uid="{00000000-0005-0000-0000-0000BB320000}"/>
    <cellStyle name="40% - Accent2 6 2 4 2" xfId="12076" xr:uid="{00000000-0005-0000-0000-0000BC320000}"/>
    <cellStyle name="40% - Accent2 6 2 4 2 2" xfId="25791" xr:uid="{00000000-0005-0000-0000-0000BD320000}"/>
    <cellStyle name="40% - Accent2 6 2 4 3" xfId="20619" xr:uid="{00000000-0005-0000-0000-0000BE320000}"/>
    <cellStyle name="40% - Accent2 6 2 5" xfId="3295" xr:uid="{00000000-0005-0000-0000-0000BF320000}"/>
    <cellStyle name="40% - Accent2 6 2 5 2" xfId="13651" xr:uid="{00000000-0005-0000-0000-0000C0320000}"/>
    <cellStyle name="40% - Accent2 6 2 5 2 2" xfId="27200" xr:uid="{00000000-0005-0000-0000-0000C1320000}"/>
    <cellStyle name="40% - Accent2 6 2 5 3" xfId="20620" xr:uid="{00000000-0005-0000-0000-0000C2320000}"/>
    <cellStyle name="40% - Accent2 6 2 6" xfId="3296" xr:uid="{00000000-0005-0000-0000-0000C3320000}"/>
    <cellStyle name="40% - Accent2 6 2 6 2" xfId="14232" xr:uid="{00000000-0005-0000-0000-0000C4320000}"/>
    <cellStyle name="40% - Accent2 6 2 6 2 2" xfId="27781" xr:uid="{00000000-0005-0000-0000-0000C5320000}"/>
    <cellStyle name="40% - Accent2 6 2 6 3" xfId="20621" xr:uid="{00000000-0005-0000-0000-0000C6320000}"/>
    <cellStyle name="40% - Accent2 6 2 7" xfId="3297" xr:uid="{00000000-0005-0000-0000-0000C7320000}"/>
    <cellStyle name="40% - Accent2 6 2 7 2" xfId="16118" xr:uid="{00000000-0005-0000-0000-0000C8320000}"/>
    <cellStyle name="40% - Accent2 6 2 7 2 2" xfId="29525" xr:uid="{00000000-0005-0000-0000-0000C9320000}"/>
    <cellStyle name="40% - Accent2 6 2 7 3" xfId="20622" xr:uid="{00000000-0005-0000-0000-0000CA320000}"/>
    <cellStyle name="40% - Accent2 6 2 8" xfId="9288" xr:uid="{00000000-0005-0000-0000-0000CB320000}"/>
    <cellStyle name="40% - Accent2 6 2 8 2" xfId="23763" xr:uid="{00000000-0005-0000-0000-0000CC320000}"/>
    <cellStyle name="40% - Accent2 6 2 9" xfId="20609" xr:uid="{00000000-0005-0000-0000-0000CD320000}"/>
    <cellStyle name="40% - Accent2 6 3" xfId="3298" xr:uid="{00000000-0005-0000-0000-0000CE320000}"/>
    <cellStyle name="40% - Accent2 6 3 2" xfId="3299" xr:uid="{00000000-0005-0000-0000-0000CF320000}"/>
    <cellStyle name="40% - Accent2 6 3 2 2" xfId="3300" xr:uid="{00000000-0005-0000-0000-0000D0320000}"/>
    <cellStyle name="40% - Accent2 6 3 2 2 2" xfId="16845" xr:uid="{00000000-0005-0000-0000-0000D1320000}"/>
    <cellStyle name="40% - Accent2 6 3 2 2 2 2" xfId="30252" xr:uid="{00000000-0005-0000-0000-0000D2320000}"/>
    <cellStyle name="40% - Accent2 6 3 2 2 3" xfId="20625" xr:uid="{00000000-0005-0000-0000-0000D3320000}"/>
    <cellStyle name="40% - Accent2 6 3 2 3" xfId="11017" xr:uid="{00000000-0005-0000-0000-0000D4320000}"/>
    <cellStyle name="40% - Accent2 6 3 2 3 2" xfId="24959" xr:uid="{00000000-0005-0000-0000-0000D5320000}"/>
    <cellStyle name="40% - Accent2 6 3 2 4" xfId="20624" xr:uid="{00000000-0005-0000-0000-0000D6320000}"/>
    <cellStyle name="40% - Accent2 6 3 3" xfId="3301" xr:uid="{00000000-0005-0000-0000-0000D7320000}"/>
    <cellStyle name="40% - Accent2 6 3 3 2" xfId="12233" xr:uid="{00000000-0005-0000-0000-0000D8320000}"/>
    <cellStyle name="40% - Accent2 6 3 3 2 2" xfId="25945" xr:uid="{00000000-0005-0000-0000-0000D9320000}"/>
    <cellStyle name="40% - Accent2 6 3 3 3" xfId="20626" xr:uid="{00000000-0005-0000-0000-0000DA320000}"/>
    <cellStyle name="40% - Accent2 6 3 4" xfId="3302" xr:uid="{00000000-0005-0000-0000-0000DB320000}"/>
    <cellStyle name="40% - Accent2 6 3 4 2" xfId="13797" xr:uid="{00000000-0005-0000-0000-0000DC320000}"/>
    <cellStyle name="40% - Accent2 6 3 4 2 2" xfId="27346" xr:uid="{00000000-0005-0000-0000-0000DD320000}"/>
    <cellStyle name="40% - Accent2 6 3 4 3" xfId="20627" xr:uid="{00000000-0005-0000-0000-0000DE320000}"/>
    <cellStyle name="40% - Accent2 6 3 5" xfId="3303" xr:uid="{00000000-0005-0000-0000-0000DF320000}"/>
    <cellStyle name="40% - Accent2 6 3 5 2" xfId="14378" xr:uid="{00000000-0005-0000-0000-0000E0320000}"/>
    <cellStyle name="40% - Accent2 6 3 5 2 2" xfId="27927" xr:uid="{00000000-0005-0000-0000-0000E1320000}"/>
    <cellStyle name="40% - Accent2 6 3 5 3" xfId="20628" xr:uid="{00000000-0005-0000-0000-0000E2320000}"/>
    <cellStyle name="40% - Accent2 6 3 6" xfId="3304" xr:uid="{00000000-0005-0000-0000-0000E3320000}"/>
    <cellStyle name="40% - Accent2 6 3 6 2" xfId="16264" xr:uid="{00000000-0005-0000-0000-0000E4320000}"/>
    <cellStyle name="40% - Accent2 6 3 6 2 2" xfId="29671" xr:uid="{00000000-0005-0000-0000-0000E5320000}"/>
    <cellStyle name="40% - Accent2 6 3 6 3" xfId="20629" xr:uid="{00000000-0005-0000-0000-0000E6320000}"/>
    <cellStyle name="40% - Accent2 6 3 7" xfId="9290" xr:uid="{00000000-0005-0000-0000-0000E7320000}"/>
    <cellStyle name="40% - Accent2 6 3 7 2" xfId="23765" xr:uid="{00000000-0005-0000-0000-0000E8320000}"/>
    <cellStyle name="40% - Accent2 6 3 8" xfId="20623" xr:uid="{00000000-0005-0000-0000-0000E9320000}"/>
    <cellStyle name="40% - Accent2 6 4" xfId="3305" xr:uid="{00000000-0005-0000-0000-0000EA320000}"/>
    <cellStyle name="40% - Accent2 6 4 2" xfId="3306" xr:uid="{00000000-0005-0000-0000-0000EB320000}"/>
    <cellStyle name="40% - Accent2 6 4 2 2" xfId="16556" xr:uid="{00000000-0005-0000-0000-0000EC320000}"/>
    <cellStyle name="40% - Accent2 6 4 2 2 2" xfId="29963" xr:uid="{00000000-0005-0000-0000-0000ED320000}"/>
    <cellStyle name="40% - Accent2 6 4 2 3" xfId="20631" xr:uid="{00000000-0005-0000-0000-0000EE320000}"/>
    <cellStyle name="40% - Accent2 6 4 3" xfId="11014" xr:uid="{00000000-0005-0000-0000-0000EF320000}"/>
    <cellStyle name="40% - Accent2 6 4 3 2" xfId="24956" xr:uid="{00000000-0005-0000-0000-0000F0320000}"/>
    <cellStyle name="40% - Accent2 6 4 4" xfId="20630" xr:uid="{00000000-0005-0000-0000-0000F1320000}"/>
    <cellStyle name="40% - Accent2 6 5" xfId="3307" xr:uid="{00000000-0005-0000-0000-0000F2320000}"/>
    <cellStyle name="40% - Accent2 6 5 2" xfId="11931" xr:uid="{00000000-0005-0000-0000-0000F3320000}"/>
    <cellStyle name="40% - Accent2 6 5 2 2" xfId="25646" xr:uid="{00000000-0005-0000-0000-0000F4320000}"/>
    <cellStyle name="40% - Accent2 6 5 3" xfId="20632" xr:uid="{00000000-0005-0000-0000-0000F5320000}"/>
    <cellStyle name="40% - Accent2 6 6" xfId="3308" xr:uid="{00000000-0005-0000-0000-0000F6320000}"/>
    <cellStyle name="40% - Accent2 6 6 2" xfId="13508" xr:uid="{00000000-0005-0000-0000-0000F7320000}"/>
    <cellStyle name="40% - Accent2 6 6 2 2" xfId="27057" xr:uid="{00000000-0005-0000-0000-0000F8320000}"/>
    <cellStyle name="40% - Accent2 6 6 3" xfId="20633" xr:uid="{00000000-0005-0000-0000-0000F9320000}"/>
    <cellStyle name="40% - Accent2 6 7" xfId="3309" xr:uid="{00000000-0005-0000-0000-0000FA320000}"/>
    <cellStyle name="40% - Accent2 6 7 2" xfId="14089" xr:uid="{00000000-0005-0000-0000-0000FB320000}"/>
    <cellStyle name="40% - Accent2 6 7 2 2" xfId="27638" xr:uid="{00000000-0005-0000-0000-0000FC320000}"/>
    <cellStyle name="40% - Accent2 6 7 3" xfId="20634" xr:uid="{00000000-0005-0000-0000-0000FD320000}"/>
    <cellStyle name="40% - Accent2 6 8" xfId="3310" xr:uid="{00000000-0005-0000-0000-0000FE320000}"/>
    <cellStyle name="40% - Accent2 6 8 2" xfId="15975" xr:uid="{00000000-0005-0000-0000-0000FF320000}"/>
    <cellStyle name="40% - Accent2 6 8 2 2" xfId="29382" xr:uid="{00000000-0005-0000-0000-000000330000}"/>
    <cellStyle name="40% - Accent2 6 8 3" xfId="20635" xr:uid="{00000000-0005-0000-0000-000001330000}"/>
    <cellStyle name="40% - Accent2 6 9" xfId="9287" xr:uid="{00000000-0005-0000-0000-000002330000}"/>
    <cellStyle name="40% - Accent2 6 9 2" xfId="23762" xr:uid="{00000000-0005-0000-0000-000003330000}"/>
    <cellStyle name="40% - Accent2 7" xfId="3311" xr:uid="{00000000-0005-0000-0000-000004330000}"/>
    <cellStyle name="40% - Accent2 7 2" xfId="3312" xr:uid="{00000000-0005-0000-0000-000005330000}"/>
    <cellStyle name="40% - Accent2 7 2 2" xfId="3313" xr:uid="{00000000-0005-0000-0000-000006330000}"/>
    <cellStyle name="40% - Accent2 7 2 2 2" xfId="3314" xr:uid="{00000000-0005-0000-0000-000007330000}"/>
    <cellStyle name="40% - Accent2 7 2 2 2 2" xfId="16861" xr:uid="{00000000-0005-0000-0000-000008330000}"/>
    <cellStyle name="40% - Accent2 7 2 2 2 2 2" xfId="30268" xr:uid="{00000000-0005-0000-0000-000009330000}"/>
    <cellStyle name="40% - Accent2 7 2 2 2 3" xfId="20639" xr:uid="{00000000-0005-0000-0000-00000A330000}"/>
    <cellStyle name="40% - Accent2 7 2 2 3" xfId="11019" xr:uid="{00000000-0005-0000-0000-00000B330000}"/>
    <cellStyle name="40% - Accent2 7 2 2 3 2" xfId="24961" xr:uid="{00000000-0005-0000-0000-00000C330000}"/>
    <cellStyle name="40% - Accent2 7 2 2 4" xfId="20638" xr:uid="{00000000-0005-0000-0000-00000D330000}"/>
    <cellStyle name="40% - Accent2 7 2 3" xfId="3315" xr:uid="{00000000-0005-0000-0000-00000E330000}"/>
    <cellStyle name="40% - Accent2 7 2 3 2" xfId="12249" xr:uid="{00000000-0005-0000-0000-00000F330000}"/>
    <cellStyle name="40% - Accent2 7 2 3 2 2" xfId="25961" xr:uid="{00000000-0005-0000-0000-000010330000}"/>
    <cellStyle name="40% - Accent2 7 2 3 3" xfId="20640" xr:uid="{00000000-0005-0000-0000-000011330000}"/>
    <cellStyle name="40% - Accent2 7 2 4" xfId="3316" xr:uid="{00000000-0005-0000-0000-000012330000}"/>
    <cellStyle name="40% - Accent2 7 2 4 2" xfId="13813" xr:uid="{00000000-0005-0000-0000-000013330000}"/>
    <cellStyle name="40% - Accent2 7 2 4 2 2" xfId="27362" xr:uid="{00000000-0005-0000-0000-000014330000}"/>
    <cellStyle name="40% - Accent2 7 2 4 3" xfId="20641" xr:uid="{00000000-0005-0000-0000-000015330000}"/>
    <cellStyle name="40% - Accent2 7 2 5" xfId="3317" xr:uid="{00000000-0005-0000-0000-000016330000}"/>
    <cellStyle name="40% - Accent2 7 2 5 2" xfId="14394" xr:uid="{00000000-0005-0000-0000-000017330000}"/>
    <cellStyle name="40% - Accent2 7 2 5 2 2" xfId="27943" xr:uid="{00000000-0005-0000-0000-000018330000}"/>
    <cellStyle name="40% - Accent2 7 2 5 3" xfId="20642" xr:uid="{00000000-0005-0000-0000-000019330000}"/>
    <cellStyle name="40% - Accent2 7 2 6" xfId="3318" xr:uid="{00000000-0005-0000-0000-00001A330000}"/>
    <cellStyle name="40% - Accent2 7 2 6 2" xfId="16280" xr:uid="{00000000-0005-0000-0000-00001B330000}"/>
    <cellStyle name="40% - Accent2 7 2 6 2 2" xfId="29687" xr:uid="{00000000-0005-0000-0000-00001C330000}"/>
    <cellStyle name="40% - Accent2 7 2 6 3" xfId="20643" xr:uid="{00000000-0005-0000-0000-00001D330000}"/>
    <cellStyle name="40% - Accent2 7 2 7" xfId="9292" xr:uid="{00000000-0005-0000-0000-00001E330000}"/>
    <cellStyle name="40% - Accent2 7 2 7 2" xfId="23767" xr:uid="{00000000-0005-0000-0000-00001F330000}"/>
    <cellStyle name="40% - Accent2 7 2 8" xfId="20637" xr:uid="{00000000-0005-0000-0000-000020330000}"/>
    <cellStyle name="40% - Accent2 7 3" xfId="3319" xr:uid="{00000000-0005-0000-0000-000021330000}"/>
    <cellStyle name="40% - Accent2 7 3 2" xfId="3320" xr:uid="{00000000-0005-0000-0000-000022330000}"/>
    <cellStyle name="40% - Accent2 7 3 2 2" xfId="16572" xr:uid="{00000000-0005-0000-0000-000023330000}"/>
    <cellStyle name="40% - Accent2 7 3 2 2 2" xfId="29979" xr:uid="{00000000-0005-0000-0000-000024330000}"/>
    <cellStyle name="40% - Accent2 7 3 2 3" xfId="20645" xr:uid="{00000000-0005-0000-0000-000025330000}"/>
    <cellStyle name="40% - Accent2 7 3 3" xfId="11018" xr:uid="{00000000-0005-0000-0000-000026330000}"/>
    <cellStyle name="40% - Accent2 7 3 3 2" xfId="24960" xr:uid="{00000000-0005-0000-0000-000027330000}"/>
    <cellStyle name="40% - Accent2 7 3 4" xfId="20644" xr:uid="{00000000-0005-0000-0000-000028330000}"/>
    <cellStyle name="40% - Accent2 7 4" xfId="3321" xr:uid="{00000000-0005-0000-0000-000029330000}"/>
    <cellStyle name="40% - Accent2 7 4 2" xfId="11947" xr:uid="{00000000-0005-0000-0000-00002A330000}"/>
    <cellStyle name="40% - Accent2 7 4 2 2" xfId="25662" xr:uid="{00000000-0005-0000-0000-00002B330000}"/>
    <cellStyle name="40% - Accent2 7 4 3" xfId="20646" xr:uid="{00000000-0005-0000-0000-00002C330000}"/>
    <cellStyle name="40% - Accent2 7 5" xfId="3322" xr:uid="{00000000-0005-0000-0000-00002D330000}"/>
    <cellStyle name="40% - Accent2 7 5 2" xfId="13524" xr:uid="{00000000-0005-0000-0000-00002E330000}"/>
    <cellStyle name="40% - Accent2 7 5 2 2" xfId="27073" xr:uid="{00000000-0005-0000-0000-00002F330000}"/>
    <cellStyle name="40% - Accent2 7 5 3" xfId="20647" xr:uid="{00000000-0005-0000-0000-000030330000}"/>
    <cellStyle name="40% - Accent2 7 6" xfId="3323" xr:uid="{00000000-0005-0000-0000-000031330000}"/>
    <cellStyle name="40% - Accent2 7 6 2" xfId="14105" xr:uid="{00000000-0005-0000-0000-000032330000}"/>
    <cellStyle name="40% - Accent2 7 6 2 2" xfId="27654" xr:uid="{00000000-0005-0000-0000-000033330000}"/>
    <cellStyle name="40% - Accent2 7 6 3" xfId="20648" xr:uid="{00000000-0005-0000-0000-000034330000}"/>
    <cellStyle name="40% - Accent2 7 7" xfId="3324" xr:uid="{00000000-0005-0000-0000-000035330000}"/>
    <cellStyle name="40% - Accent2 7 7 2" xfId="15991" xr:uid="{00000000-0005-0000-0000-000036330000}"/>
    <cellStyle name="40% - Accent2 7 7 2 2" xfId="29398" xr:uid="{00000000-0005-0000-0000-000037330000}"/>
    <cellStyle name="40% - Accent2 7 7 3" xfId="20649" xr:uid="{00000000-0005-0000-0000-000038330000}"/>
    <cellStyle name="40% - Accent2 7 8" xfId="9291" xr:uid="{00000000-0005-0000-0000-000039330000}"/>
    <cellStyle name="40% - Accent2 7 8 2" xfId="23766" xr:uid="{00000000-0005-0000-0000-00003A330000}"/>
    <cellStyle name="40% - Accent2 7 9" xfId="20636" xr:uid="{00000000-0005-0000-0000-00003B330000}"/>
    <cellStyle name="40% - Accent2 8" xfId="3325" xr:uid="{00000000-0005-0000-0000-00003C330000}"/>
    <cellStyle name="40% - Accent2 8 2" xfId="3326" xr:uid="{00000000-0005-0000-0000-00003D330000}"/>
    <cellStyle name="40% - Accent2 8 2 2" xfId="3327" xr:uid="{00000000-0005-0000-0000-00003E330000}"/>
    <cellStyle name="40% - Accent2 8 2 2 2" xfId="16719" xr:uid="{00000000-0005-0000-0000-00003F330000}"/>
    <cellStyle name="40% - Accent2 8 2 2 2 2" xfId="30126" xr:uid="{00000000-0005-0000-0000-000040330000}"/>
    <cellStyle name="40% - Accent2 8 2 2 3" xfId="20652" xr:uid="{00000000-0005-0000-0000-000041330000}"/>
    <cellStyle name="40% - Accent2 8 2 3" xfId="11020" xr:uid="{00000000-0005-0000-0000-000042330000}"/>
    <cellStyle name="40% - Accent2 8 2 3 2" xfId="24962" xr:uid="{00000000-0005-0000-0000-000043330000}"/>
    <cellStyle name="40% - Accent2 8 2 4" xfId="20651" xr:uid="{00000000-0005-0000-0000-000044330000}"/>
    <cellStyle name="40% - Accent2 8 3" xfId="3328" xr:uid="{00000000-0005-0000-0000-000045330000}"/>
    <cellStyle name="40% - Accent2 8 3 2" xfId="12097" xr:uid="{00000000-0005-0000-0000-000046330000}"/>
    <cellStyle name="40% - Accent2 8 3 2 2" xfId="25811" xr:uid="{00000000-0005-0000-0000-000047330000}"/>
    <cellStyle name="40% - Accent2 8 3 3" xfId="20653" xr:uid="{00000000-0005-0000-0000-000048330000}"/>
    <cellStyle name="40% - Accent2 8 4" xfId="3329" xr:uid="{00000000-0005-0000-0000-000049330000}"/>
    <cellStyle name="40% - Accent2 8 4 2" xfId="13671" xr:uid="{00000000-0005-0000-0000-00004A330000}"/>
    <cellStyle name="40% - Accent2 8 4 2 2" xfId="27220" xr:uid="{00000000-0005-0000-0000-00004B330000}"/>
    <cellStyle name="40% - Accent2 8 4 3" xfId="20654" xr:uid="{00000000-0005-0000-0000-00004C330000}"/>
    <cellStyle name="40% - Accent2 8 5" xfId="3330" xr:uid="{00000000-0005-0000-0000-00004D330000}"/>
    <cellStyle name="40% - Accent2 8 5 2" xfId="14252" xr:uid="{00000000-0005-0000-0000-00004E330000}"/>
    <cellStyle name="40% - Accent2 8 5 2 2" xfId="27801" xr:uid="{00000000-0005-0000-0000-00004F330000}"/>
    <cellStyle name="40% - Accent2 8 5 3" xfId="20655" xr:uid="{00000000-0005-0000-0000-000050330000}"/>
    <cellStyle name="40% - Accent2 8 6" xfId="3331" xr:uid="{00000000-0005-0000-0000-000051330000}"/>
    <cellStyle name="40% - Accent2 8 6 2" xfId="16138" xr:uid="{00000000-0005-0000-0000-000052330000}"/>
    <cellStyle name="40% - Accent2 8 6 2 2" xfId="29545" xr:uid="{00000000-0005-0000-0000-000053330000}"/>
    <cellStyle name="40% - Accent2 8 6 3" xfId="20656" xr:uid="{00000000-0005-0000-0000-000054330000}"/>
    <cellStyle name="40% - Accent2 8 7" xfId="9293" xr:uid="{00000000-0005-0000-0000-000055330000}"/>
    <cellStyle name="40% - Accent2 8 7 2" xfId="23768" xr:uid="{00000000-0005-0000-0000-000056330000}"/>
    <cellStyle name="40% - Accent2 8 8" xfId="20650" xr:uid="{00000000-0005-0000-0000-000057330000}"/>
    <cellStyle name="40% - Accent2 9" xfId="3332" xr:uid="{00000000-0005-0000-0000-000058330000}"/>
    <cellStyle name="40% - Accent2 9 2" xfId="3333" xr:uid="{00000000-0005-0000-0000-000059330000}"/>
    <cellStyle name="40% - Accent2 9 2 2" xfId="11717" xr:uid="{00000000-0005-0000-0000-00005A330000}"/>
    <cellStyle name="40% - Accent2 9 2 2 2" xfId="25437" xr:uid="{00000000-0005-0000-0000-00005B330000}"/>
    <cellStyle name="40% - Accent2 9 2 3" xfId="20658" xr:uid="{00000000-0005-0000-0000-00005C330000}"/>
    <cellStyle name="40% - Accent2 9 3" xfId="3334" xr:uid="{00000000-0005-0000-0000-00005D330000}"/>
    <cellStyle name="40% - Accent2 9 3 2" xfId="12534" xr:uid="{00000000-0005-0000-0000-00005E330000}"/>
    <cellStyle name="40% - Accent2 9 3 2 2" xfId="26246" xr:uid="{00000000-0005-0000-0000-00005F330000}"/>
    <cellStyle name="40% - Accent2 9 3 3" xfId="20659" xr:uid="{00000000-0005-0000-0000-000060330000}"/>
    <cellStyle name="40% - Accent2 9 4" xfId="3335" xr:uid="{00000000-0005-0000-0000-000061330000}"/>
    <cellStyle name="40% - Accent2 9 4 2" xfId="15167" xr:uid="{00000000-0005-0000-0000-000062330000}"/>
    <cellStyle name="40% - Accent2 9 4 2 2" xfId="28716" xr:uid="{00000000-0005-0000-0000-000063330000}"/>
    <cellStyle name="40% - Accent2 9 4 3" xfId="20660" xr:uid="{00000000-0005-0000-0000-000064330000}"/>
    <cellStyle name="40% - Accent2 9 5" xfId="3336" xr:uid="{00000000-0005-0000-0000-000065330000}"/>
    <cellStyle name="40% - Accent2 9 5 2" xfId="17103" xr:uid="{00000000-0005-0000-0000-000066330000}"/>
    <cellStyle name="40% - Accent2 9 5 2 2" xfId="30462" xr:uid="{00000000-0005-0000-0000-000067330000}"/>
    <cellStyle name="40% - Accent2 9 5 3" xfId="20661" xr:uid="{00000000-0005-0000-0000-000068330000}"/>
    <cellStyle name="40% - Accent2 9 6" xfId="10469" xr:uid="{00000000-0005-0000-0000-000069330000}"/>
    <cellStyle name="40% - Accent2 9 6 2" xfId="24428" xr:uid="{00000000-0005-0000-0000-00006A330000}"/>
    <cellStyle name="40% - Accent2 9 7" xfId="20657" xr:uid="{00000000-0005-0000-0000-00006B330000}"/>
    <cellStyle name="40% - Accent3" xfId="37" builtinId="39" customBuiltin="1"/>
    <cellStyle name="40% - Accent3 10" xfId="3337" xr:uid="{00000000-0005-0000-0000-00006D330000}"/>
    <cellStyle name="40% - Accent3 10 2" xfId="3338" xr:uid="{00000000-0005-0000-0000-00006E330000}"/>
    <cellStyle name="40% - Accent3 10 2 2" xfId="3339" xr:uid="{00000000-0005-0000-0000-00006F330000}"/>
    <cellStyle name="40% - Accent3 10 2 2 2" xfId="12792" xr:uid="{00000000-0005-0000-0000-000070330000}"/>
    <cellStyle name="40% - Accent3 10 2 2 2 2" xfId="26504" xr:uid="{00000000-0005-0000-0000-000071330000}"/>
    <cellStyle name="40% - Accent3 10 2 2 3" xfId="20664" xr:uid="{00000000-0005-0000-0000-000072330000}"/>
    <cellStyle name="40% - Accent3 10 2 3" xfId="3340" xr:uid="{00000000-0005-0000-0000-000073330000}"/>
    <cellStyle name="40% - Accent3 10 2 3 2" xfId="15170" xr:uid="{00000000-0005-0000-0000-000074330000}"/>
    <cellStyle name="40% - Accent3 10 2 3 2 2" xfId="28719" xr:uid="{00000000-0005-0000-0000-000075330000}"/>
    <cellStyle name="40% - Accent3 10 2 3 3" xfId="20665" xr:uid="{00000000-0005-0000-0000-000076330000}"/>
    <cellStyle name="40% - Accent3 10 2 4" xfId="11022" xr:uid="{00000000-0005-0000-0000-000077330000}"/>
    <cellStyle name="40% - Accent3 10 2 4 2" xfId="24964" xr:uid="{00000000-0005-0000-0000-000078330000}"/>
    <cellStyle name="40% - Accent3 10 2 5" xfId="20663" xr:uid="{00000000-0005-0000-0000-000079330000}"/>
    <cellStyle name="40% - Accent3 10 3" xfId="3341" xr:uid="{00000000-0005-0000-0000-00007A330000}"/>
    <cellStyle name="40% - Accent3 10 3 2" xfId="12706" xr:uid="{00000000-0005-0000-0000-00007B330000}"/>
    <cellStyle name="40% - Accent3 10 3 2 2" xfId="26418" xr:uid="{00000000-0005-0000-0000-00007C330000}"/>
    <cellStyle name="40% - Accent3 10 3 3" xfId="20666" xr:uid="{00000000-0005-0000-0000-00007D330000}"/>
    <cellStyle name="40% - Accent3 10 4" xfId="3342" xr:uid="{00000000-0005-0000-0000-00007E330000}"/>
    <cellStyle name="40% - Accent3 10 4 2" xfId="15169" xr:uid="{00000000-0005-0000-0000-00007F330000}"/>
    <cellStyle name="40% - Accent3 10 4 2 2" xfId="28718" xr:uid="{00000000-0005-0000-0000-000080330000}"/>
    <cellStyle name="40% - Accent3 10 4 3" xfId="20667" xr:uid="{00000000-0005-0000-0000-000081330000}"/>
    <cellStyle name="40% - Accent3 10 5" xfId="3343" xr:uid="{00000000-0005-0000-0000-000082330000}"/>
    <cellStyle name="40% - Accent3 10 5 2" xfId="17193" xr:uid="{00000000-0005-0000-0000-000083330000}"/>
    <cellStyle name="40% - Accent3 10 5 2 2" xfId="30552" xr:uid="{00000000-0005-0000-0000-000084330000}"/>
    <cellStyle name="40% - Accent3 10 5 3" xfId="20668" xr:uid="{00000000-0005-0000-0000-000085330000}"/>
    <cellStyle name="40% - Accent3 10 6" xfId="9295" xr:uid="{00000000-0005-0000-0000-000086330000}"/>
    <cellStyle name="40% - Accent3 10 6 2" xfId="23770" xr:uid="{00000000-0005-0000-0000-000087330000}"/>
    <cellStyle name="40% - Accent3 10 7" xfId="20662" xr:uid="{00000000-0005-0000-0000-000088330000}"/>
    <cellStyle name="40% - Accent3 11" xfId="3344" xr:uid="{00000000-0005-0000-0000-000089330000}"/>
    <cellStyle name="40% - Accent3 11 2" xfId="3345" xr:uid="{00000000-0005-0000-0000-00008A330000}"/>
    <cellStyle name="40% - Accent3 11 2 2" xfId="11023" xr:uid="{00000000-0005-0000-0000-00008B330000}"/>
    <cellStyle name="40% - Accent3 11 2 2 2" xfId="24965" xr:uid="{00000000-0005-0000-0000-00008C330000}"/>
    <cellStyle name="40% - Accent3 11 2 3" xfId="20670" xr:uid="{00000000-0005-0000-0000-00008D330000}"/>
    <cellStyle name="40% - Accent3 11 3" xfId="3346" xr:uid="{00000000-0005-0000-0000-00008E330000}"/>
    <cellStyle name="40% - Accent3 11 3 2" xfId="12625" xr:uid="{00000000-0005-0000-0000-00008F330000}"/>
    <cellStyle name="40% - Accent3 11 3 2 2" xfId="26337" xr:uid="{00000000-0005-0000-0000-000090330000}"/>
    <cellStyle name="40% - Accent3 11 3 3" xfId="20671" xr:uid="{00000000-0005-0000-0000-000091330000}"/>
    <cellStyle name="40% - Accent3 11 4" xfId="3347" xr:uid="{00000000-0005-0000-0000-000092330000}"/>
    <cellStyle name="40% - Accent3 11 4 2" xfId="15171" xr:uid="{00000000-0005-0000-0000-000093330000}"/>
    <cellStyle name="40% - Accent3 11 4 2 2" xfId="28720" xr:uid="{00000000-0005-0000-0000-000094330000}"/>
    <cellStyle name="40% - Accent3 11 4 3" xfId="20672" xr:uid="{00000000-0005-0000-0000-000095330000}"/>
    <cellStyle name="40% - Accent3 11 5" xfId="3348" xr:uid="{00000000-0005-0000-0000-000096330000}"/>
    <cellStyle name="40% - Accent3 11 5 2" xfId="17282" xr:uid="{00000000-0005-0000-0000-000097330000}"/>
    <cellStyle name="40% - Accent3 11 5 2 2" xfId="30641" xr:uid="{00000000-0005-0000-0000-000098330000}"/>
    <cellStyle name="40% - Accent3 11 5 3" xfId="20673" xr:uid="{00000000-0005-0000-0000-000099330000}"/>
    <cellStyle name="40% - Accent3 11 6" xfId="9296" xr:uid="{00000000-0005-0000-0000-00009A330000}"/>
    <cellStyle name="40% - Accent3 11 6 2" xfId="23771" xr:uid="{00000000-0005-0000-0000-00009B330000}"/>
    <cellStyle name="40% - Accent3 11 7" xfId="20669" xr:uid="{00000000-0005-0000-0000-00009C330000}"/>
    <cellStyle name="40% - Accent3 12" xfId="3349" xr:uid="{00000000-0005-0000-0000-00009D330000}"/>
    <cellStyle name="40% - Accent3 12 2" xfId="3350" xr:uid="{00000000-0005-0000-0000-00009E330000}"/>
    <cellStyle name="40% - Accent3 12 2 2" xfId="3351" xr:uid="{00000000-0005-0000-0000-00009F330000}"/>
    <cellStyle name="40% - Accent3 12 2 2 2" xfId="11025" xr:uid="{00000000-0005-0000-0000-0000A0330000}"/>
    <cellStyle name="40% - Accent3 12 2 2 2 2" xfId="24967" xr:uid="{00000000-0005-0000-0000-0000A1330000}"/>
    <cellStyle name="40% - Accent3 12 2 2 3" xfId="20676" xr:uid="{00000000-0005-0000-0000-0000A2330000}"/>
    <cellStyle name="40% - Accent3 12 2 3" xfId="3352" xr:uid="{00000000-0005-0000-0000-0000A3330000}"/>
    <cellStyle name="40% - Accent3 12 2 3 2" xfId="12637" xr:uid="{00000000-0005-0000-0000-0000A4330000}"/>
    <cellStyle name="40% - Accent3 12 2 3 2 2" xfId="26349" xr:uid="{00000000-0005-0000-0000-0000A5330000}"/>
    <cellStyle name="40% - Accent3 12 2 3 3" xfId="20677" xr:uid="{00000000-0005-0000-0000-0000A6330000}"/>
    <cellStyle name="40% - Accent3 12 2 4" xfId="3353" xr:uid="{00000000-0005-0000-0000-0000A7330000}"/>
    <cellStyle name="40% - Accent3 12 2 4 2" xfId="15173" xr:uid="{00000000-0005-0000-0000-0000A8330000}"/>
    <cellStyle name="40% - Accent3 12 2 4 2 2" xfId="28722" xr:uid="{00000000-0005-0000-0000-0000A9330000}"/>
    <cellStyle name="40% - Accent3 12 2 4 3" xfId="20678" xr:uid="{00000000-0005-0000-0000-0000AA330000}"/>
    <cellStyle name="40% - Accent3 12 2 5" xfId="9298" xr:uid="{00000000-0005-0000-0000-0000AB330000}"/>
    <cellStyle name="40% - Accent3 12 2 5 2" xfId="23773" xr:uid="{00000000-0005-0000-0000-0000AC330000}"/>
    <cellStyle name="40% - Accent3 12 2 6" xfId="20675" xr:uid="{00000000-0005-0000-0000-0000AD330000}"/>
    <cellStyle name="40% - Accent3 12 3" xfId="3354" xr:uid="{00000000-0005-0000-0000-0000AE330000}"/>
    <cellStyle name="40% - Accent3 12 3 2" xfId="11024" xr:uid="{00000000-0005-0000-0000-0000AF330000}"/>
    <cellStyle name="40% - Accent3 12 3 2 2" xfId="24966" xr:uid="{00000000-0005-0000-0000-0000B0330000}"/>
    <cellStyle name="40% - Accent3 12 3 3" xfId="20679" xr:uid="{00000000-0005-0000-0000-0000B1330000}"/>
    <cellStyle name="40% - Accent3 12 4" xfId="3355" xr:uid="{00000000-0005-0000-0000-0000B2330000}"/>
    <cellStyle name="40% - Accent3 12 4 2" xfId="11894" xr:uid="{00000000-0005-0000-0000-0000B3330000}"/>
    <cellStyle name="40% - Accent3 12 4 2 2" xfId="25609" xr:uid="{00000000-0005-0000-0000-0000B4330000}"/>
    <cellStyle name="40% - Accent3 12 4 3" xfId="20680" xr:uid="{00000000-0005-0000-0000-0000B5330000}"/>
    <cellStyle name="40% - Accent3 12 5" xfId="3356" xr:uid="{00000000-0005-0000-0000-0000B6330000}"/>
    <cellStyle name="40% - Accent3 12 5 2" xfId="15172" xr:uid="{00000000-0005-0000-0000-0000B7330000}"/>
    <cellStyle name="40% - Accent3 12 5 2 2" xfId="28721" xr:uid="{00000000-0005-0000-0000-0000B8330000}"/>
    <cellStyle name="40% - Accent3 12 5 3" xfId="20681" xr:uid="{00000000-0005-0000-0000-0000B9330000}"/>
    <cellStyle name="40% - Accent3 12 6" xfId="3357" xr:uid="{00000000-0005-0000-0000-0000BA330000}"/>
    <cellStyle name="40% - Accent3 12 6 2" xfId="16434" xr:uid="{00000000-0005-0000-0000-0000BB330000}"/>
    <cellStyle name="40% - Accent3 12 6 2 2" xfId="29841" xr:uid="{00000000-0005-0000-0000-0000BC330000}"/>
    <cellStyle name="40% - Accent3 12 6 3" xfId="20682" xr:uid="{00000000-0005-0000-0000-0000BD330000}"/>
    <cellStyle name="40% - Accent3 12 7" xfId="9297" xr:uid="{00000000-0005-0000-0000-0000BE330000}"/>
    <cellStyle name="40% - Accent3 12 7 2" xfId="23772" xr:uid="{00000000-0005-0000-0000-0000BF330000}"/>
    <cellStyle name="40% - Accent3 12 8" xfId="20674" xr:uid="{00000000-0005-0000-0000-0000C0330000}"/>
    <cellStyle name="40% - Accent3 13" xfId="3358" xr:uid="{00000000-0005-0000-0000-0000C1330000}"/>
    <cellStyle name="40% - Accent3 13 2" xfId="3359" xr:uid="{00000000-0005-0000-0000-0000C2330000}"/>
    <cellStyle name="40% - Accent3 13 2 2" xfId="11026" xr:uid="{00000000-0005-0000-0000-0000C3330000}"/>
    <cellStyle name="40% - Accent3 13 2 2 2" xfId="24968" xr:uid="{00000000-0005-0000-0000-0000C4330000}"/>
    <cellStyle name="40% - Accent3 13 2 3" xfId="20684" xr:uid="{00000000-0005-0000-0000-0000C5330000}"/>
    <cellStyle name="40% - Accent3 13 3" xfId="3360" xr:uid="{00000000-0005-0000-0000-0000C6330000}"/>
    <cellStyle name="40% - Accent3 13 3 2" xfId="11890" xr:uid="{00000000-0005-0000-0000-0000C7330000}"/>
    <cellStyle name="40% - Accent3 13 3 2 2" xfId="25605" xr:uid="{00000000-0005-0000-0000-0000C8330000}"/>
    <cellStyle name="40% - Accent3 13 3 3" xfId="20685" xr:uid="{00000000-0005-0000-0000-0000C9330000}"/>
    <cellStyle name="40% - Accent3 13 4" xfId="3361" xr:uid="{00000000-0005-0000-0000-0000CA330000}"/>
    <cellStyle name="40% - Accent3 13 4 2" xfId="15174" xr:uid="{00000000-0005-0000-0000-0000CB330000}"/>
    <cellStyle name="40% - Accent3 13 4 2 2" xfId="28723" xr:uid="{00000000-0005-0000-0000-0000CC330000}"/>
    <cellStyle name="40% - Accent3 13 4 3" xfId="20686" xr:uid="{00000000-0005-0000-0000-0000CD330000}"/>
    <cellStyle name="40% - Accent3 13 5" xfId="9299" xr:uid="{00000000-0005-0000-0000-0000CE330000}"/>
    <cellStyle name="40% - Accent3 13 5 2" xfId="23774" xr:uid="{00000000-0005-0000-0000-0000CF330000}"/>
    <cellStyle name="40% - Accent3 13 6" xfId="20683" xr:uid="{00000000-0005-0000-0000-0000D0330000}"/>
    <cellStyle name="40% - Accent3 14" xfId="3362" xr:uid="{00000000-0005-0000-0000-0000D1330000}"/>
    <cellStyle name="40% - Accent3 14 2" xfId="3363" xr:uid="{00000000-0005-0000-0000-0000D2330000}"/>
    <cellStyle name="40% - Accent3 14 2 2" xfId="11027" xr:uid="{00000000-0005-0000-0000-0000D3330000}"/>
    <cellStyle name="40% - Accent3 14 2 2 2" xfId="24969" xr:uid="{00000000-0005-0000-0000-0000D4330000}"/>
    <cellStyle name="40% - Accent3 14 2 3" xfId="20688" xr:uid="{00000000-0005-0000-0000-0000D5330000}"/>
    <cellStyle name="40% - Accent3 14 3" xfId="3364" xr:uid="{00000000-0005-0000-0000-0000D6330000}"/>
    <cellStyle name="40% - Accent3 14 3 2" xfId="12629" xr:uid="{00000000-0005-0000-0000-0000D7330000}"/>
    <cellStyle name="40% - Accent3 14 3 2 2" xfId="26341" xr:uid="{00000000-0005-0000-0000-0000D8330000}"/>
    <cellStyle name="40% - Accent3 14 3 3" xfId="20689" xr:uid="{00000000-0005-0000-0000-0000D9330000}"/>
    <cellStyle name="40% - Accent3 14 4" xfId="3365" xr:uid="{00000000-0005-0000-0000-0000DA330000}"/>
    <cellStyle name="40% - Accent3 14 4 2" xfId="15175" xr:uid="{00000000-0005-0000-0000-0000DB330000}"/>
    <cellStyle name="40% - Accent3 14 4 2 2" xfId="28724" xr:uid="{00000000-0005-0000-0000-0000DC330000}"/>
    <cellStyle name="40% - Accent3 14 4 3" xfId="20690" xr:uid="{00000000-0005-0000-0000-0000DD330000}"/>
    <cellStyle name="40% - Accent3 14 5" xfId="9300" xr:uid="{00000000-0005-0000-0000-0000DE330000}"/>
    <cellStyle name="40% - Accent3 14 5 2" xfId="23775" xr:uid="{00000000-0005-0000-0000-0000DF330000}"/>
    <cellStyle name="40% - Accent3 14 6" xfId="20687" xr:uid="{00000000-0005-0000-0000-0000E0330000}"/>
    <cellStyle name="40% - Accent3 15" xfId="3366" xr:uid="{00000000-0005-0000-0000-0000E1330000}"/>
    <cellStyle name="40% - Accent3 15 2" xfId="3367" xr:uid="{00000000-0005-0000-0000-0000E2330000}"/>
    <cellStyle name="40% - Accent3 15 2 2" xfId="11028" xr:uid="{00000000-0005-0000-0000-0000E3330000}"/>
    <cellStyle name="40% - Accent3 15 2 2 2" xfId="24970" xr:uid="{00000000-0005-0000-0000-0000E4330000}"/>
    <cellStyle name="40% - Accent3 15 2 3" xfId="20692" xr:uid="{00000000-0005-0000-0000-0000E5330000}"/>
    <cellStyle name="40% - Accent3 15 3" xfId="3368" xr:uid="{00000000-0005-0000-0000-0000E6330000}"/>
    <cellStyle name="40% - Accent3 15 3 2" xfId="12571" xr:uid="{00000000-0005-0000-0000-0000E7330000}"/>
    <cellStyle name="40% - Accent3 15 3 2 2" xfId="26283" xr:uid="{00000000-0005-0000-0000-0000E8330000}"/>
    <cellStyle name="40% - Accent3 15 3 3" xfId="20693" xr:uid="{00000000-0005-0000-0000-0000E9330000}"/>
    <cellStyle name="40% - Accent3 15 4" xfId="3369" xr:uid="{00000000-0005-0000-0000-0000EA330000}"/>
    <cellStyle name="40% - Accent3 15 4 2" xfId="15176" xr:uid="{00000000-0005-0000-0000-0000EB330000}"/>
    <cellStyle name="40% - Accent3 15 4 2 2" xfId="28725" xr:uid="{00000000-0005-0000-0000-0000EC330000}"/>
    <cellStyle name="40% - Accent3 15 4 3" xfId="20694" xr:uid="{00000000-0005-0000-0000-0000ED330000}"/>
    <cellStyle name="40% - Accent3 15 5" xfId="9301" xr:uid="{00000000-0005-0000-0000-0000EE330000}"/>
    <cellStyle name="40% - Accent3 15 5 2" xfId="23776" xr:uid="{00000000-0005-0000-0000-0000EF330000}"/>
    <cellStyle name="40% - Accent3 15 6" xfId="20691" xr:uid="{00000000-0005-0000-0000-0000F0330000}"/>
    <cellStyle name="40% - Accent3 16" xfId="3370" xr:uid="{00000000-0005-0000-0000-0000F1330000}"/>
    <cellStyle name="40% - Accent3 16 2" xfId="3371" xr:uid="{00000000-0005-0000-0000-0000F2330000}"/>
    <cellStyle name="40% - Accent3 16 2 2" xfId="11029" xr:uid="{00000000-0005-0000-0000-0000F3330000}"/>
    <cellStyle name="40% - Accent3 16 2 2 2" xfId="24971" xr:uid="{00000000-0005-0000-0000-0000F4330000}"/>
    <cellStyle name="40% - Accent3 16 2 3" xfId="20696" xr:uid="{00000000-0005-0000-0000-0000F5330000}"/>
    <cellStyle name="40% - Accent3 16 3" xfId="3372" xr:uid="{00000000-0005-0000-0000-0000F6330000}"/>
    <cellStyle name="40% - Accent3 16 3 2" xfId="11862" xr:uid="{00000000-0005-0000-0000-0000F7330000}"/>
    <cellStyle name="40% - Accent3 16 3 2 2" xfId="25577" xr:uid="{00000000-0005-0000-0000-0000F8330000}"/>
    <cellStyle name="40% - Accent3 16 3 3" xfId="20697" xr:uid="{00000000-0005-0000-0000-0000F9330000}"/>
    <cellStyle name="40% - Accent3 16 4" xfId="3373" xr:uid="{00000000-0005-0000-0000-0000FA330000}"/>
    <cellStyle name="40% - Accent3 16 4 2" xfId="15177" xr:uid="{00000000-0005-0000-0000-0000FB330000}"/>
    <cellStyle name="40% - Accent3 16 4 2 2" xfId="28726" xr:uid="{00000000-0005-0000-0000-0000FC330000}"/>
    <cellStyle name="40% - Accent3 16 4 3" xfId="20698" xr:uid="{00000000-0005-0000-0000-0000FD330000}"/>
    <cellStyle name="40% - Accent3 16 5" xfId="9302" xr:uid="{00000000-0005-0000-0000-0000FE330000}"/>
    <cellStyle name="40% - Accent3 16 5 2" xfId="23777" xr:uid="{00000000-0005-0000-0000-0000FF330000}"/>
    <cellStyle name="40% - Accent3 16 6" xfId="20695" xr:uid="{00000000-0005-0000-0000-000000340000}"/>
    <cellStyle name="40% - Accent3 17" xfId="3374" xr:uid="{00000000-0005-0000-0000-000001340000}"/>
    <cellStyle name="40% - Accent3 17 2" xfId="3375" xr:uid="{00000000-0005-0000-0000-000002340000}"/>
    <cellStyle name="40% - Accent3 17 2 2" xfId="11030" xr:uid="{00000000-0005-0000-0000-000003340000}"/>
    <cellStyle name="40% - Accent3 17 2 2 2" xfId="24972" xr:uid="{00000000-0005-0000-0000-000004340000}"/>
    <cellStyle name="40% - Accent3 17 2 3" xfId="20700" xr:uid="{00000000-0005-0000-0000-000005340000}"/>
    <cellStyle name="40% - Accent3 17 3" xfId="3376" xr:uid="{00000000-0005-0000-0000-000006340000}"/>
    <cellStyle name="40% - Accent3 17 3 2" xfId="11793" xr:uid="{00000000-0005-0000-0000-000007340000}"/>
    <cellStyle name="40% - Accent3 17 3 2 2" xfId="25508" xr:uid="{00000000-0005-0000-0000-000008340000}"/>
    <cellStyle name="40% - Accent3 17 3 3" xfId="20701" xr:uid="{00000000-0005-0000-0000-000009340000}"/>
    <cellStyle name="40% - Accent3 17 4" xfId="3377" xr:uid="{00000000-0005-0000-0000-00000A340000}"/>
    <cellStyle name="40% - Accent3 17 4 2" xfId="15178" xr:uid="{00000000-0005-0000-0000-00000B340000}"/>
    <cellStyle name="40% - Accent3 17 4 2 2" xfId="28727" xr:uid="{00000000-0005-0000-0000-00000C340000}"/>
    <cellStyle name="40% - Accent3 17 4 3" xfId="20702" xr:uid="{00000000-0005-0000-0000-00000D340000}"/>
    <cellStyle name="40% - Accent3 17 5" xfId="9303" xr:uid="{00000000-0005-0000-0000-00000E340000}"/>
    <cellStyle name="40% - Accent3 17 5 2" xfId="23778" xr:uid="{00000000-0005-0000-0000-00000F340000}"/>
    <cellStyle name="40% - Accent3 17 6" xfId="20699" xr:uid="{00000000-0005-0000-0000-000010340000}"/>
    <cellStyle name="40% - Accent3 18" xfId="3378" xr:uid="{00000000-0005-0000-0000-000011340000}"/>
    <cellStyle name="40% - Accent3 18 2" xfId="3379" xr:uid="{00000000-0005-0000-0000-000012340000}"/>
    <cellStyle name="40% - Accent3 18 2 2" xfId="11031" xr:uid="{00000000-0005-0000-0000-000013340000}"/>
    <cellStyle name="40% - Accent3 18 2 2 2" xfId="24973" xr:uid="{00000000-0005-0000-0000-000014340000}"/>
    <cellStyle name="40% - Accent3 18 2 3" xfId="20704" xr:uid="{00000000-0005-0000-0000-000015340000}"/>
    <cellStyle name="40% - Accent3 18 3" xfId="3380" xr:uid="{00000000-0005-0000-0000-000016340000}"/>
    <cellStyle name="40% - Accent3 18 3 2" xfId="12617" xr:uid="{00000000-0005-0000-0000-000017340000}"/>
    <cellStyle name="40% - Accent3 18 3 2 2" xfId="26329" xr:uid="{00000000-0005-0000-0000-000018340000}"/>
    <cellStyle name="40% - Accent3 18 3 3" xfId="20705" xr:uid="{00000000-0005-0000-0000-000019340000}"/>
    <cellStyle name="40% - Accent3 18 4" xfId="3381" xr:uid="{00000000-0005-0000-0000-00001A340000}"/>
    <cellStyle name="40% - Accent3 18 4 2" xfId="15179" xr:uid="{00000000-0005-0000-0000-00001B340000}"/>
    <cellStyle name="40% - Accent3 18 4 2 2" xfId="28728" xr:uid="{00000000-0005-0000-0000-00001C340000}"/>
    <cellStyle name="40% - Accent3 18 4 3" xfId="20706" xr:uid="{00000000-0005-0000-0000-00001D340000}"/>
    <cellStyle name="40% - Accent3 18 5" xfId="9304" xr:uid="{00000000-0005-0000-0000-00001E340000}"/>
    <cellStyle name="40% - Accent3 18 5 2" xfId="23779" xr:uid="{00000000-0005-0000-0000-00001F340000}"/>
    <cellStyle name="40% - Accent3 18 6" xfId="20703" xr:uid="{00000000-0005-0000-0000-000020340000}"/>
    <cellStyle name="40% - Accent3 19" xfId="3382" xr:uid="{00000000-0005-0000-0000-000021340000}"/>
    <cellStyle name="40% - Accent3 19 2" xfId="3383" xr:uid="{00000000-0005-0000-0000-000022340000}"/>
    <cellStyle name="40% - Accent3 19 2 2" xfId="11718" xr:uid="{00000000-0005-0000-0000-000023340000}"/>
    <cellStyle name="40% - Accent3 19 2 2 2" xfId="25438" xr:uid="{00000000-0005-0000-0000-000024340000}"/>
    <cellStyle name="40% - Accent3 19 2 3" xfId="20708" xr:uid="{00000000-0005-0000-0000-000025340000}"/>
    <cellStyle name="40% - Accent3 19 3" xfId="3384" xr:uid="{00000000-0005-0000-0000-000026340000}"/>
    <cellStyle name="40% - Accent3 19 3 2" xfId="12807" xr:uid="{00000000-0005-0000-0000-000027340000}"/>
    <cellStyle name="40% - Accent3 19 3 2 2" xfId="26519" xr:uid="{00000000-0005-0000-0000-000028340000}"/>
    <cellStyle name="40% - Accent3 19 3 3" xfId="20709" xr:uid="{00000000-0005-0000-0000-000029340000}"/>
    <cellStyle name="40% - Accent3 19 4" xfId="3385" xr:uid="{00000000-0005-0000-0000-00002A340000}"/>
    <cellStyle name="40% - Accent3 19 4 2" xfId="15180" xr:uid="{00000000-0005-0000-0000-00002B340000}"/>
    <cellStyle name="40% - Accent3 19 4 2 2" xfId="28729" xr:uid="{00000000-0005-0000-0000-00002C340000}"/>
    <cellStyle name="40% - Accent3 19 4 3" xfId="20710" xr:uid="{00000000-0005-0000-0000-00002D340000}"/>
    <cellStyle name="40% - Accent3 19 5" xfId="10470" xr:uid="{00000000-0005-0000-0000-00002E340000}"/>
    <cellStyle name="40% - Accent3 19 5 2" xfId="24429" xr:uid="{00000000-0005-0000-0000-00002F340000}"/>
    <cellStyle name="40% - Accent3 19 6" xfId="20707" xr:uid="{00000000-0005-0000-0000-000030340000}"/>
    <cellStyle name="40% - Accent3 2" xfId="3386" xr:uid="{00000000-0005-0000-0000-000031340000}"/>
    <cellStyle name="40% - Accent3 2 10" xfId="3387" xr:uid="{00000000-0005-0000-0000-000032340000}"/>
    <cellStyle name="40% - Accent3 2 10 2" xfId="3388" xr:uid="{00000000-0005-0000-0000-000033340000}"/>
    <cellStyle name="40% - Accent3 2 10 2 2" xfId="15182" xr:uid="{00000000-0005-0000-0000-000034340000}"/>
    <cellStyle name="40% - Accent3 2 10 2 2 2" xfId="28731" xr:uid="{00000000-0005-0000-0000-000035340000}"/>
    <cellStyle name="40% - Accent3 2 10 2 3" xfId="20713" xr:uid="{00000000-0005-0000-0000-000036340000}"/>
    <cellStyle name="40% - Accent3 2 10 3" xfId="11841" xr:uid="{00000000-0005-0000-0000-000037340000}"/>
    <cellStyle name="40% - Accent3 2 10 3 2" xfId="25556" xr:uid="{00000000-0005-0000-0000-000038340000}"/>
    <cellStyle name="40% - Accent3 2 10 4" xfId="20712" xr:uid="{00000000-0005-0000-0000-000039340000}"/>
    <cellStyle name="40% - Accent3 2 11" xfId="3389" xr:uid="{00000000-0005-0000-0000-00003A340000}"/>
    <cellStyle name="40% - Accent3 2 11 2" xfId="11751" xr:uid="{00000000-0005-0000-0000-00003B340000}"/>
    <cellStyle name="40% - Accent3 2 11 2 2" xfId="25466" xr:uid="{00000000-0005-0000-0000-00003C340000}"/>
    <cellStyle name="40% - Accent3 2 11 3" xfId="20714" xr:uid="{00000000-0005-0000-0000-00003D340000}"/>
    <cellStyle name="40% - Accent3 2 12" xfId="3390" xr:uid="{00000000-0005-0000-0000-00003E340000}"/>
    <cellStyle name="40% - Accent3 2 12 2" xfId="13440" xr:uid="{00000000-0005-0000-0000-00003F340000}"/>
    <cellStyle name="40% - Accent3 2 12 2 2" xfId="26989" xr:uid="{00000000-0005-0000-0000-000040340000}"/>
    <cellStyle name="40% - Accent3 2 12 3" xfId="20715" xr:uid="{00000000-0005-0000-0000-000041340000}"/>
    <cellStyle name="40% - Accent3 2 13" xfId="3391" xr:uid="{00000000-0005-0000-0000-000042340000}"/>
    <cellStyle name="40% - Accent3 2 13 2" xfId="14021" xr:uid="{00000000-0005-0000-0000-000043340000}"/>
    <cellStyle name="40% - Accent3 2 13 2 2" xfId="27570" xr:uid="{00000000-0005-0000-0000-000044340000}"/>
    <cellStyle name="40% - Accent3 2 13 3" xfId="20716" xr:uid="{00000000-0005-0000-0000-000045340000}"/>
    <cellStyle name="40% - Accent3 2 14" xfId="3392" xr:uid="{00000000-0005-0000-0000-000046340000}"/>
    <cellStyle name="40% - Accent3 2 14 2" xfId="15181" xr:uid="{00000000-0005-0000-0000-000047340000}"/>
    <cellStyle name="40% - Accent3 2 14 2 2" xfId="28730" xr:uid="{00000000-0005-0000-0000-000048340000}"/>
    <cellStyle name="40% - Accent3 2 14 3" xfId="20717" xr:uid="{00000000-0005-0000-0000-000049340000}"/>
    <cellStyle name="40% - Accent3 2 15" xfId="3393" xr:uid="{00000000-0005-0000-0000-00004A340000}"/>
    <cellStyle name="40% - Accent3 2 15 2" xfId="15907" xr:uid="{00000000-0005-0000-0000-00004B340000}"/>
    <cellStyle name="40% - Accent3 2 15 2 2" xfId="29314" xr:uid="{00000000-0005-0000-0000-00004C340000}"/>
    <cellStyle name="40% - Accent3 2 15 3" xfId="20718" xr:uid="{00000000-0005-0000-0000-00004D340000}"/>
    <cellStyle name="40% - Accent3 2 16" xfId="9305" xr:uid="{00000000-0005-0000-0000-00004E340000}"/>
    <cellStyle name="40% - Accent3 2 16 2" xfId="23780" xr:uid="{00000000-0005-0000-0000-00004F340000}"/>
    <cellStyle name="40% - Accent3 2 17" xfId="20711" xr:uid="{00000000-0005-0000-0000-000050340000}"/>
    <cellStyle name="40% - Accent3 2 18" xfId="33071" xr:uid="{00000000-0005-0000-0000-000051340000}"/>
    <cellStyle name="40% - Accent3 2 2" xfId="3394" xr:uid="{00000000-0005-0000-0000-000052340000}"/>
    <cellStyle name="40% - Accent3 2 2 10" xfId="3395" xr:uid="{00000000-0005-0000-0000-000053340000}"/>
    <cellStyle name="40% - Accent3 2 2 10 2" xfId="15183" xr:uid="{00000000-0005-0000-0000-000054340000}"/>
    <cellStyle name="40% - Accent3 2 2 10 2 2" xfId="28732" xr:uid="{00000000-0005-0000-0000-000055340000}"/>
    <cellStyle name="40% - Accent3 2 2 10 3" xfId="20720" xr:uid="{00000000-0005-0000-0000-000056340000}"/>
    <cellStyle name="40% - Accent3 2 2 11" xfId="3396" xr:uid="{00000000-0005-0000-0000-000057340000}"/>
    <cellStyle name="40% - Accent3 2 2 11 2" xfId="15953" xr:uid="{00000000-0005-0000-0000-000058340000}"/>
    <cellStyle name="40% - Accent3 2 2 11 2 2" xfId="29360" xr:uid="{00000000-0005-0000-0000-000059340000}"/>
    <cellStyle name="40% - Accent3 2 2 11 3" xfId="20721" xr:uid="{00000000-0005-0000-0000-00005A340000}"/>
    <cellStyle name="40% - Accent3 2 2 12" xfId="9306" xr:uid="{00000000-0005-0000-0000-00005B340000}"/>
    <cellStyle name="40% - Accent3 2 2 12 2" xfId="23781" xr:uid="{00000000-0005-0000-0000-00005C340000}"/>
    <cellStyle name="40% - Accent3 2 2 13" xfId="20719" xr:uid="{00000000-0005-0000-0000-00005D340000}"/>
    <cellStyle name="40% - Accent3 2 2 2" xfId="3397" xr:uid="{00000000-0005-0000-0000-00005E340000}"/>
    <cellStyle name="40% - Accent3 2 2 2 10" xfId="3398" xr:uid="{00000000-0005-0000-0000-00005F340000}"/>
    <cellStyle name="40% - Accent3 2 2 2 10 2" xfId="16096" xr:uid="{00000000-0005-0000-0000-000060340000}"/>
    <cellStyle name="40% - Accent3 2 2 2 10 2 2" xfId="29503" xr:uid="{00000000-0005-0000-0000-000061340000}"/>
    <cellStyle name="40% - Accent3 2 2 2 10 3" xfId="20723" xr:uid="{00000000-0005-0000-0000-000062340000}"/>
    <cellStyle name="40% - Accent3 2 2 2 11" xfId="9307" xr:uid="{00000000-0005-0000-0000-000063340000}"/>
    <cellStyle name="40% - Accent3 2 2 2 11 2" xfId="23782" xr:uid="{00000000-0005-0000-0000-000064340000}"/>
    <cellStyle name="40% - Accent3 2 2 2 12" xfId="20722" xr:uid="{00000000-0005-0000-0000-000065340000}"/>
    <cellStyle name="40% - Accent3 2 2 2 2" xfId="3399" xr:uid="{00000000-0005-0000-0000-000066340000}"/>
    <cellStyle name="40% - Accent3 2 2 2 2 10" xfId="9308" xr:uid="{00000000-0005-0000-0000-000067340000}"/>
    <cellStyle name="40% - Accent3 2 2 2 2 10 2" xfId="23783" xr:uid="{00000000-0005-0000-0000-000068340000}"/>
    <cellStyle name="40% - Accent3 2 2 2 2 11" xfId="20724" xr:uid="{00000000-0005-0000-0000-000069340000}"/>
    <cellStyle name="40% - Accent3 2 2 2 2 2" xfId="3400" xr:uid="{00000000-0005-0000-0000-00006A340000}"/>
    <cellStyle name="40% - Accent3 2 2 2 2 2 2" xfId="3401" xr:uid="{00000000-0005-0000-0000-00006B340000}"/>
    <cellStyle name="40% - Accent3 2 2 2 2 2 2 2" xfId="11036" xr:uid="{00000000-0005-0000-0000-00006C340000}"/>
    <cellStyle name="40% - Accent3 2 2 2 2 2 2 2 2" xfId="24978" xr:uid="{00000000-0005-0000-0000-00006D340000}"/>
    <cellStyle name="40% - Accent3 2 2 2 2 2 2 3" xfId="20726" xr:uid="{00000000-0005-0000-0000-00006E340000}"/>
    <cellStyle name="40% - Accent3 2 2 2 2 2 3" xfId="3402" xr:uid="{00000000-0005-0000-0000-00006F340000}"/>
    <cellStyle name="40% - Accent3 2 2 2 2 2 3 2" xfId="12670" xr:uid="{00000000-0005-0000-0000-000070340000}"/>
    <cellStyle name="40% - Accent3 2 2 2 2 2 3 2 2" xfId="26382" xr:uid="{00000000-0005-0000-0000-000071340000}"/>
    <cellStyle name="40% - Accent3 2 2 2 2 2 3 3" xfId="20727" xr:uid="{00000000-0005-0000-0000-000072340000}"/>
    <cellStyle name="40% - Accent3 2 2 2 2 2 4" xfId="3403" xr:uid="{00000000-0005-0000-0000-000073340000}"/>
    <cellStyle name="40% - Accent3 2 2 2 2 2 4 2" xfId="15186" xr:uid="{00000000-0005-0000-0000-000074340000}"/>
    <cellStyle name="40% - Accent3 2 2 2 2 2 4 2 2" xfId="28735" xr:uid="{00000000-0005-0000-0000-000075340000}"/>
    <cellStyle name="40% - Accent3 2 2 2 2 2 4 3" xfId="20728" xr:uid="{00000000-0005-0000-0000-000076340000}"/>
    <cellStyle name="40% - Accent3 2 2 2 2 2 5" xfId="3404" xr:uid="{00000000-0005-0000-0000-000077340000}"/>
    <cellStyle name="40% - Accent3 2 2 2 2 2 5 2" xfId="16966" xr:uid="{00000000-0005-0000-0000-000078340000}"/>
    <cellStyle name="40% - Accent3 2 2 2 2 2 5 2 2" xfId="30373" xr:uid="{00000000-0005-0000-0000-000079340000}"/>
    <cellStyle name="40% - Accent3 2 2 2 2 2 5 3" xfId="20729" xr:uid="{00000000-0005-0000-0000-00007A340000}"/>
    <cellStyle name="40% - Accent3 2 2 2 2 2 6" xfId="9309" xr:uid="{00000000-0005-0000-0000-00007B340000}"/>
    <cellStyle name="40% - Accent3 2 2 2 2 2 6 2" xfId="23784" xr:uid="{00000000-0005-0000-0000-00007C340000}"/>
    <cellStyle name="40% - Accent3 2 2 2 2 2 7" xfId="20725" xr:uid="{00000000-0005-0000-0000-00007D340000}"/>
    <cellStyle name="40% - Accent3 2 2 2 2 3" xfId="3405" xr:uid="{00000000-0005-0000-0000-00007E340000}"/>
    <cellStyle name="40% - Accent3 2 2 2 2 3 2" xfId="3406" xr:uid="{00000000-0005-0000-0000-00007F340000}"/>
    <cellStyle name="40% - Accent3 2 2 2 2 3 2 2" xfId="15187" xr:uid="{00000000-0005-0000-0000-000080340000}"/>
    <cellStyle name="40% - Accent3 2 2 2 2 3 2 2 2" xfId="28736" xr:uid="{00000000-0005-0000-0000-000081340000}"/>
    <cellStyle name="40% - Accent3 2 2 2 2 3 2 3" xfId="20731" xr:uid="{00000000-0005-0000-0000-000082340000}"/>
    <cellStyle name="40% - Accent3 2 2 2 2 3 3" xfId="11035" xr:uid="{00000000-0005-0000-0000-000083340000}"/>
    <cellStyle name="40% - Accent3 2 2 2 2 3 3 2" xfId="24977" xr:uid="{00000000-0005-0000-0000-000084340000}"/>
    <cellStyle name="40% - Accent3 2 2 2 2 3 4" xfId="20730" xr:uid="{00000000-0005-0000-0000-000085340000}"/>
    <cellStyle name="40% - Accent3 2 2 2 2 4" xfId="3407" xr:uid="{00000000-0005-0000-0000-000086340000}"/>
    <cellStyle name="40% - Accent3 2 2 2 2 4 2" xfId="12354" xr:uid="{00000000-0005-0000-0000-000087340000}"/>
    <cellStyle name="40% - Accent3 2 2 2 2 4 2 2" xfId="26066" xr:uid="{00000000-0005-0000-0000-000088340000}"/>
    <cellStyle name="40% - Accent3 2 2 2 2 4 3" xfId="20732" xr:uid="{00000000-0005-0000-0000-000089340000}"/>
    <cellStyle name="40% - Accent3 2 2 2 2 5" xfId="3408" xr:uid="{00000000-0005-0000-0000-00008A340000}"/>
    <cellStyle name="40% - Accent3 2 2 2 2 5 2" xfId="12633" xr:uid="{00000000-0005-0000-0000-00008B340000}"/>
    <cellStyle name="40% - Accent3 2 2 2 2 5 2 2" xfId="26345" xr:uid="{00000000-0005-0000-0000-00008C340000}"/>
    <cellStyle name="40% - Accent3 2 2 2 2 5 3" xfId="20733" xr:uid="{00000000-0005-0000-0000-00008D340000}"/>
    <cellStyle name="40% - Accent3 2 2 2 2 6" xfId="3409" xr:uid="{00000000-0005-0000-0000-00008E340000}"/>
    <cellStyle name="40% - Accent3 2 2 2 2 6 2" xfId="13918" xr:uid="{00000000-0005-0000-0000-00008F340000}"/>
    <cellStyle name="40% - Accent3 2 2 2 2 6 2 2" xfId="27467" xr:uid="{00000000-0005-0000-0000-000090340000}"/>
    <cellStyle name="40% - Accent3 2 2 2 2 6 3" xfId="20734" xr:uid="{00000000-0005-0000-0000-000091340000}"/>
    <cellStyle name="40% - Accent3 2 2 2 2 7" xfId="3410" xr:uid="{00000000-0005-0000-0000-000092340000}"/>
    <cellStyle name="40% - Accent3 2 2 2 2 7 2" xfId="14499" xr:uid="{00000000-0005-0000-0000-000093340000}"/>
    <cellStyle name="40% - Accent3 2 2 2 2 7 2 2" xfId="28048" xr:uid="{00000000-0005-0000-0000-000094340000}"/>
    <cellStyle name="40% - Accent3 2 2 2 2 7 3" xfId="20735" xr:uid="{00000000-0005-0000-0000-000095340000}"/>
    <cellStyle name="40% - Accent3 2 2 2 2 8" xfId="3411" xr:uid="{00000000-0005-0000-0000-000096340000}"/>
    <cellStyle name="40% - Accent3 2 2 2 2 8 2" xfId="15185" xr:uid="{00000000-0005-0000-0000-000097340000}"/>
    <cellStyle name="40% - Accent3 2 2 2 2 8 2 2" xfId="28734" xr:uid="{00000000-0005-0000-0000-000098340000}"/>
    <cellStyle name="40% - Accent3 2 2 2 2 8 3" xfId="20736" xr:uid="{00000000-0005-0000-0000-000099340000}"/>
    <cellStyle name="40% - Accent3 2 2 2 2 9" xfId="3412" xr:uid="{00000000-0005-0000-0000-00009A340000}"/>
    <cellStyle name="40% - Accent3 2 2 2 2 9 2" xfId="16385" xr:uid="{00000000-0005-0000-0000-00009B340000}"/>
    <cellStyle name="40% - Accent3 2 2 2 2 9 2 2" xfId="29792" xr:uid="{00000000-0005-0000-0000-00009C340000}"/>
    <cellStyle name="40% - Accent3 2 2 2 2 9 3" xfId="20737" xr:uid="{00000000-0005-0000-0000-00009D340000}"/>
    <cellStyle name="40% - Accent3 2 2 2 3" xfId="3413" xr:uid="{00000000-0005-0000-0000-00009E340000}"/>
    <cellStyle name="40% - Accent3 2 2 2 3 2" xfId="3414" xr:uid="{00000000-0005-0000-0000-00009F340000}"/>
    <cellStyle name="40% - Accent3 2 2 2 3 2 2" xfId="11037" xr:uid="{00000000-0005-0000-0000-0000A0340000}"/>
    <cellStyle name="40% - Accent3 2 2 2 3 2 2 2" xfId="24979" xr:uid="{00000000-0005-0000-0000-0000A1340000}"/>
    <cellStyle name="40% - Accent3 2 2 2 3 2 3" xfId="20739" xr:uid="{00000000-0005-0000-0000-0000A2340000}"/>
    <cellStyle name="40% - Accent3 2 2 2 3 3" xfId="3415" xr:uid="{00000000-0005-0000-0000-0000A3340000}"/>
    <cellStyle name="40% - Accent3 2 2 2 3 3 2" xfId="12492" xr:uid="{00000000-0005-0000-0000-0000A4340000}"/>
    <cellStyle name="40% - Accent3 2 2 2 3 3 2 2" xfId="26204" xr:uid="{00000000-0005-0000-0000-0000A5340000}"/>
    <cellStyle name="40% - Accent3 2 2 2 3 3 3" xfId="20740" xr:uid="{00000000-0005-0000-0000-0000A6340000}"/>
    <cellStyle name="40% - Accent3 2 2 2 3 4" xfId="3416" xr:uid="{00000000-0005-0000-0000-0000A7340000}"/>
    <cellStyle name="40% - Accent3 2 2 2 3 4 2" xfId="15188" xr:uid="{00000000-0005-0000-0000-0000A8340000}"/>
    <cellStyle name="40% - Accent3 2 2 2 3 4 2 2" xfId="28737" xr:uid="{00000000-0005-0000-0000-0000A9340000}"/>
    <cellStyle name="40% - Accent3 2 2 2 3 4 3" xfId="20741" xr:uid="{00000000-0005-0000-0000-0000AA340000}"/>
    <cellStyle name="40% - Accent3 2 2 2 3 5" xfId="3417" xr:uid="{00000000-0005-0000-0000-0000AB340000}"/>
    <cellStyle name="40% - Accent3 2 2 2 3 5 2" xfId="16677" xr:uid="{00000000-0005-0000-0000-0000AC340000}"/>
    <cellStyle name="40% - Accent3 2 2 2 3 5 2 2" xfId="30084" xr:uid="{00000000-0005-0000-0000-0000AD340000}"/>
    <cellStyle name="40% - Accent3 2 2 2 3 5 3" xfId="20742" xr:uid="{00000000-0005-0000-0000-0000AE340000}"/>
    <cellStyle name="40% - Accent3 2 2 2 3 6" xfId="9310" xr:uid="{00000000-0005-0000-0000-0000AF340000}"/>
    <cellStyle name="40% - Accent3 2 2 2 3 6 2" xfId="23785" xr:uid="{00000000-0005-0000-0000-0000B0340000}"/>
    <cellStyle name="40% - Accent3 2 2 2 3 7" xfId="20738" xr:uid="{00000000-0005-0000-0000-0000B1340000}"/>
    <cellStyle name="40% - Accent3 2 2 2 4" xfId="3418" xr:uid="{00000000-0005-0000-0000-0000B2340000}"/>
    <cellStyle name="40% - Accent3 2 2 2 4 2" xfId="3419" xr:uid="{00000000-0005-0000-0000-0000B3340000}"/>
    <cellStyle name="40% - Accent3 2 2 2 4 2 2" xfId="15189" xr:uid="{00000000-0005-0000-0000-0000B4340000}"/>
    <cellStyle name="40% - Accent3 2 2 2 4 2 2 2" xfId="28738" xr:uid="{00000000-0005-0000-0000-0000B5340000}"/>
    <cellStyle name="40% - Accent3 2 2 2 4 2 3" xfId="20744" xr:uid="{00000000-0005-0000-0000-0000B6340000}"/>
    <cellStyle name="40% - Accent3 2 2 2 4 3" xfId="11034" xr:uid="{00000000-0005-0000-0000-0000B7340000}"/>
    <cellStyle name="40% - Accent3 2 2 2 4 3 2" xfId="24976" xr:uid="{00000000-0005-0000-0000-0000B8340000}"/>
    <cellStyle name="40% - Accent3 2 2 2 4 4" xfId="20743" xr:uid="{00000000-0005-0000-0000-0000B9340000}"/>
    <cellStyle name="40% - Accent3 2 2 2 5" xfId="3420" xr:uid="{00000000-0005-0000-0000-0000BA340000}"/>
    <cellStyle name="40% - Accent3 2 2 2 5 2" xfId="12054" xr:uid="{00000000-0005-0000-0000-0000BB340000}"/>
    <cellStyle name="40% - Accent3 2 2 2 5 2 2" xfId="25769" xr:uid="{00000000-0005-0000-0000-0000BC340000}"/>
    <cellStyle name="40% - Accent3 2 2 2 5 3" xfId="20745" xr:uid="{00000000-0005-0000-0000-0000BD340000}"/>
    <cellStyle name="40% - Accent3 2 2 2 6" xfId="3421" xr:uid="{00000000-0005-0000-0000-0000BE340000}"/>
    <cellStyle name="40% - Accent3 2 2 2 6 2" xfId="12468" xr:uid="{00000000-0005-0000-0000-0000BF340000}"/>
    <cellStyle name="40% - Accent3 2 2 2 6 2 2" xfId="26180" xr:uid="{00000000-0005-0000-0000-0000C0340000}"/>
    <cellStyle name="40% - Accent3 2 2 2 6 3" xfId="20746" xr:uid="{00000000-0005-0000-0000-0000C1340000}"/>
    <cellStyle name="40% - Accent3 2 2 2 7" xfId="3422" xr:uid="{00000000-0005-0000-0000-0000C2340000}"/>
    <cellStyle name="40% - Accent3 2 2 2 7 2" xfId="13629" xr:uid="{00000000-0005-0000-0000-0000C3340000}"/>
    <cellStyle name="40% - Accent3 2 2 2 7 2 2" xfId="27178" xr:uid="{00000000-0005-0000-0000-0000C4340000}"/>
    <cellStyle name="40% - Accent3 2 2 2 7 3" xfId="20747" xr:uid="{00000000-0005-0000-0000-0000C5340000}"/>
    <cellStyle name="40% - Accent3 2 2 2 8" xfId="3423" xr:uid="{00000000-0005-0000-0000-0000C6340000}"/>
    <cellStyle name="40% - Accent3 2 2 2 8 2" xfId="14210" xr:uid="{00000000-0005-0000-0000-0000C7340000}"/>
    <cellStyle name="40% - Accent3 2 2 2 8 2 2" xfId="27759" xr:uid="{00000000-0005-0000-0000-0000C8340000}"/>
    <cellStyle name="40% - Accent3 2 2 2 8 3" xfId="20748" xr:uid="{00000000-0005-0000-0000-0000C9340000}"/>
    <cellStyle name="40% - Accent3 2 2 2 9" xfId="3424" xr:uid="{00000000-0005-0000-0000-0000CA340000}"/>
    <cellStyle name="40% - Accent3 2 2 2 9 2" xfId="15184" xr:uid="{00000000-0005-0000-0000-0000CB340000}"/>
    <cellStyle name="40% - Accent3 2 2 2 9 2 2" xfId="28733" xr:uid="{00000000-0005-0000-0000-0000CC340000}"/>
    <cellStyle name="40% - Accent3 2 2 2 9 3" xfId="20749" xr:uid="{00000000-0005-0000-0000-0000CD340000}"/>
    <cellStyle name="40% - Accent3 2 2 3" xfId="3425" xr:uid="{00000000-0005-0000-0000-0000CE340000}"/>
    <cellStyle name="40% - Accent3 2 2 3 10" xfId="9311" xr:uid="{00000000-0005-0000-0000-0000CF340000}"/>
    <cellStyle name="40% - Accent3 2 2 3 10 2" xfId="23786" xr:uid="{00000000-0005-0000-0000-0000D0340000}"/>
    <cellStyle name="40% - Accent3 2 2 3 11" xfId="20750" xr:uid="{00000000-0005-0000-0000-0000D1340000}"/>
    <cellStyle name="40% - Accent3 2 2 3 2" xfId="3426" xr:uid="{00000000-0005-0000-0000-0000D2340000}"/>
    <cellStyle name="40% - Accent3 2 2 3 2 2" xfId="3427" xr:uid="{00000000-0005-0000-0000-0000D3340000}"/>
    <cellStyle name="40% - Accent3 2 2 3 2 2 2" xfId="11039" xr:uid="{00000000-0005-0000-0000-0000D4340000}"/>
    <cellStyle name="40% - Accent3 2 2 3 2 2 2 2" xfId="24981" xr:uid="{00000000-0005-0000-0000-0000D5340000}"/>
    <cellStyle name="40% - Accent3 2 2 3 2 2 3" xfId="20752" xr:uid="{00000000-0005-0000-0000-0000D6340000}"/>
    <cellStyle name="40% - Accent3 2 2 3 2 3" xfId="3428" xr:uid="{00000000-0005-0000-0000-0000D7340000}"/>
    <cellStyle name="40% - Accent3 2 2 3 2 3 2" xfId="12725" xr:uid="{00000000-0005-0000-0000-0000D8340000}"/>
    <cellStyle name="40% - Accent3 2 2 3 2 3 2 2" xfId="26437" xr:uid="{00000000-0005-0000-0000-0000D9340000}"/>
    <cellStyle name="40% - Accent3 2 2 3 2 3 3" xfId="20753" xr:uid="{00000000-0005-0000-0000-0000DA340000}"/>
    <cellStyle name="40% - Accent3 2 2 3 2 4" xfId="3429" xr:uid="{00000000-0005-0000-0000-0000DB340000}"/>
    <cellStyle name="40% - Accent3 2 2 3 2 4 2" xfId="15191" xr:uid="{00000000-0005-0000-0000-0000DC340000}"/>
    <cellStyle name="40% - Accent3 2 2 3 2 4 2 2" xfId="28740" xr:uid="{00000000-0005-0000-0000-0000DD340000}"/>
    <cellStyle name="40% - Accent3 2 2 3 2 4 3" xfId="20754" xr:uid="{00000000-0005-0000-0000-0000DE340000}"/>
    <cellStyle name="40% - Accent3 2 2 3 2 5" xfId="3430" xr:uid="{00000000-0005-0000-0000-0000DF340000}"/>
    <cellStyle name="40% - Accent3 2 2 3 2 5 2" xfId="16823" xr:uid="{00000000-0005-0000-0000-0000E0340000}"/>
    <cellStyle name="40% - Accent3 2 2 3 2 5 2 2" xfId="30230" xr:uid="{00000000-0005-0000-0000-0000E1340000}"/>
    <cellStyle name="40% - Accent3 2 2 3 2 5 3" xfId="20755" xr:uid="{00000000-0005-0000-0000-0000E2340000}"/>
    <cellStyle name="40% - Accent3 2 2 3 2 6" xfId="9312" xr:uid="{00000000-0005-0000-0000-0000E3340000}"/>
    <cellStyle name="40% - Accent3 2 2 3 2 6 2" xfId="23787" xr:uid="{00000000-0005-0000-0000-0000E4340000}"/>
    <cellStyle name="40% - Accent3 2 2 3 2 7" xfId="20751" xr:uid="{00000000-0005-0000-0000-0000E5340000}"/>
    <cellStyle name="40% - Accent3 2 2 3 3" xfId="3431" xr:uid="{00000000-0005-0000-0000-0000E6340000}"/>
    <cellStyle name="40% - Accent3 2 2 3 3 2" xfId="3432" xr:uid="{00000000-0005-0000-0000-0000E7340000}"/>
    <cellStyle name="40% - Accent3 2 2 3 3 2 2" xfId="15192" xr:uid="{00000000-0005-0000-0000-0000E8340000}"/>
    <cellStyle name="40% - Accent3 2 2 3 3 2 2 2" xfId="28741" xr:uid="{00000000-0005-0000-0000-0000E9340000}"/>
    <cellStyle name="40% - Accent3 2 2 3 3 2 3" xfId="20757" xr:uid="{00000000-0005-0000-0000-0000EA340000}"/>
    <cellStyle name="40% - Accent3 2 2 3 3 3" xfId="11038" xr:uid="{00000000-0005-0000-0000-0000EB340000}"/>
    <cellStyle name="40% - Accent3 2 2 3 3 3 2" xfId="24980" xr:uid="{00000000-0005-0000-0000-0000EC340000}"/>
    <cellStyle name="40% - Accent3 2 2 3 3 4" xfId="20756" xr:uid="{00000000-0005-0000-0000-0000ED340000}"/>
    <cellStyle name="40% - Accent3 2 2 3 4" xfId="3433" xr:uid="{00000000-0005-0000-0000-0000EE340000}"/>
    <cellStyle name="40% - Accent3 2 2 3 4 2" xfId="12211" xr:uid="{00000000-0005-0000-0000-0000EF340000}"/>
    <cellStyle name="40% - Accent3 2 2 3 4 2 2" xfId="25923" xr:uid="{00000000-0005-0000-0000-0000F0340000}"/>
    <cellStyle name="40% - Accent3 2 2 3 4 3" xfId="20758" xr:uid="{00000000-0005-0000-0000-0000F1340000}"/>
    <cellStyle name="40% - Accent3 2 2 3 5" xfId="3434" xr:uid="{00000000-0005-0000-0000-0000F2340000}"/>
    <cellStyle name="40% - Accent3 2 2 3 5 2" xfId="12501" xr:uid="{00000000-0005-0000-0000-0000F3340000}"/>
    <cellStyle name="40% - Accent3 2 2 3 5 2 2" xfId="26213" xr:uid="{00000000-0005-0000-0000-0000F4340000}"/>
    <cellStyle name="40% - Accent3 2 2 3 5 3" xfId="20759" xr:uid="{00000000-0005-0000-0000-0000F5340000}"/>
    <cellStyle name="40% - Accent3 2 2 3 6" xfId="3435" xr:uid="{00000000-0005-0000-0000-0000F6340000}"/>
    <cellStyle name="40% - Accent3 2 2 3 6 2" xfId="13775" xr:uid="{00000000-0005-0000-0000-0000F7340000}"/>
    <cellStyle name="40% - Accent3 2 2 3 6 2 2" xfId="27324" xr:uid="{00000000-0005-0000-0000-0000F8340000}"/>
    <cellStyle name="40% - Accent3 2 2 3 6 3" xfId="20760" xr:uid="{00000000-0005-0000-0000-0000F9340000}"/>
    <cellStyle name="40% - Accent3 2 2 3 7" xfId="3436" xr:uid="{00000000-0005-0000-0000-0000FA340000}"/>
    <cellStyle name="40% - Accent3 2 2 3 7 2" xfId="14356" xr:uid="{00000000-0005-0000-0000-0000FB340000}"/>
    <cellStyle name="40% - Accent3 2 2 3 7 2 2" xfId="27905" xr:uid="{00000000-0005-0000-0000-0000FC340000}"/>
    <cellStyle name="40% - Accent3 2 2 3 7 3" xfId="20761" xr:uid="{00000000-0005-0000-0000-0000FD340000}"/>
    <cellStyle name="40% - Accent3 2 2 3 8" xfId="3437" xr:uid="{00000000-0005-0000-0000-0000FE340000}"/>
    <cellStyle name="40% - Accent3 2 2 3 8 2" xfId="15190" xr:uid="{00000000-0005-0000-0000-0000FF340000}"/>
    <cellStyle name="40% - Accent3 2 2 3 8 2 2" xfId="28739" xr:uid="{00000000-0005-0000-0000-000000350000}"/>
    <cellStyle name="40% - Accent3 2 2 3 8 3" xfId="20762" xr:uid="{00000000-0005-0000-0000-000001350000}"/>
    <cellStyle name="40% - Accent3 2 2 3 9" xfId="3438" xr:uid="{00000000-0005-0000-0000-000002350000}"/>
    <cellStyle name="40% - Accent3 2 2 3 9 2" xfId="16242" xr:uid="{00000000-0005-0000-0000-000003350000}"/>
    <cellStyle name="40% - Accent3 2 2 3 9 2 2" xfId="29649" xr:uid="{00000000-0005-0000-0000-000004350000}"/>
    <cellStyle name="40% - Accent3 2 2 3 9 3" xfId="20763" xr:uid="{00000000-0005-0000-0000-000005350000}"/>
    <cellStyle name="40% - Accent3 2 2 4" xfId="3439" xr:uid="{00000000-0005-0000-0000-000006350000}"/>
    <cellStyle name="40% - Accent3 2 2 4 2" xfId="3440" xr:uid="{00000000-0005-0000-0000-000007350000}"/>
    <cellStyle name="40% - Accent3 2 2 4 2 2" xfId="11040" xr:uid="{00000000-0005-0000-0000-000008350000}"/>
    <cellStyle name="40% - Accent3 2 2 4 2 2 2" xfId="24982" xr:uid="{00000000-0005-0000-0000-000009350000}"/>
    <cellStyle name="40% - Accent3 2 2 4 2 3" xfId="20765" xr:uid="{00000000-0005-0000-0000-00000A350000}"/>
    <cellStyle name="40% - Accent3 2 2 4 3" xfId="3441" xr:uid="{00000000-0005-0000-0000-00000B350000}"/>
    <cellStyle name="40% - Accent3 2 2 4 3 2" xfId="12391" xr:uid="{00000000-0005-0000-0000-00000C350000}"/>
    <cellStyle name="40% - Accent3 2 2 4 3 2 2" xfId="26103" xr:uid="{00000000-0005-0000-0000-00000D350000}"/>
    <cellStyle name="40% - Accent3 2 2 4 3 3" xfId="20766" xr:uid="{00000000-0005-0000-0000-00000E350000}"/>
    <cellStyle name="40% - Accent3 2 2 4 4" xfId="3442" xr:uid="{00000000-0005-0000-0000-00000F350000}"/>
    <cellStyle name="40% - Accent3 2 2 4 4 2" xfId="15193" xr:uid="{00000000-0005-0000-0000-000010350000}"/>
    <cellStyle name="40% - Accent3 2 2 4 4 2 2" xfId="28742" xr:uid="{00000000-0005-0000-0000-000011350000}"/>
    <cellStyle name="40% - Accent3 2 2 4 4 3" xfId="20767" xr:uid="{00000000-0005-0000-0000-000012350000}"/>
    <cellStyle name="40% - Accent3 2 2 4 5" xfId="3443" xr:uid="{00000000-0005-0000-0000-000013350000}"/>
    <cellStyle name="40% - Accent3 2 2 4 5 2" xfId="17170" xr:uid="{00000000-0005-0000-0000-000014350000}"/>
    <cellStyle name="40% - Accent3 2 2 4 5 2 2" xfId="30529" xr:uid="{00000000-0005-0000-0000-000015350000}"/>
    <cellStyle name="40% - Accent3 2 2 4 5 3" xfId="20768" xr:uid="{00000000-0005-0000-0000-000016350000}"/>
    <cellStyle name="40% - Accent3 2 2 4 6" xfId="9313" xr:uid="{00000000-0005-0000-0000-000017350000}"/>
    <cellStyle name="40% - Accent3 2 2 4 6 2" xfId="23788" xr:uid="{00000000-0005-0000-0000-000018350000}"/>
    <cellStyle name="40% - Accent3 2 2 4 7" xfId="20764" xr:uid="{00000000-0005-0000-0000-000019350000}"/>
    <cellStyle name="40% - Accent3 2 2 5" xfId="3444" xr:uid="{00000000-0005-0000-0000-00001A350000}"/>
    <cellStyle name="40% - Accent3 2 2 5 2" xfId="3445" xr:uid="{00000000-0005-0000-0000-00001B350000}"/>
    <cellStyle name="40% - Accent3 2 2 5 2 2" xfId="15194" xr:uid="{00000000-0005-0000-0000-00001C350000}"/>
    <cellStyle name="40% - Accent3 2 2 5 2 2 2" xfId="28743" xr:uid="{00000000-0005-0000-0000-00001D350000}"/>
    <cellStyle name="40% - Accent3 2 2 5 2 3" xfId="20770" xr:uid="{00000000-0005-0000-0000-00001E350000}"/>
    <cellStyle name="40% - Accent3 2 2 5 3" xfId="3446" xr:uid="{00000000-0005-0000-0000-00001F350000}"/>
    <cellStyle name="40% - Accent3 2 2 5 3 2" xfId="17259" xr:uid="{00000000-0005-0000-0000-000020350000}"/>
    <cellStyle name="40% - Accent3 2 2 5 3 2 2" xfId="30618" xr:uid="{00000000-0005-0000-0000-000021350000}"/>
    <cellStyle name="40% - Accent3 2 2 5 3 3" xfId="20771" xr:uid="{00000000-0005-0000-0000-000022350000}"/>
    <cellStyle name="40% - Accent3 2 2 5 4" xfId="11033" xr:uid="{00000000-0005-0000-0000-000023350000}"/>
    <cellStyle name="40% - Accent3 2 2 5 4 2" xfId="24975" xr:uid="{00000000-0005-0000-0000-000024350000}"/>
    <cellStyle name="40% - Accent3 2 2 5 5" xfId="20769" xr:uid="{00000000-0005-0000-0000-000025350000}"/>
    <cellStyle name="40% - Accent3 2 2 6" xfId="3447" xr:uid="{00000000-0005-0000-0000-000026350000}"/>
    <cellStyle name="40% - Accent3 2 2 6 2" xfId="3448" xr:uid="{00000000-0005-0000-0000-000027350000}"/>
    <cellStyle name="40% - Accent3 2 2 6 2 2" xfId="16534" xr:uid="{00000000-0005-0000-0000-000028350000}"/>
    <cellStyle name="40% - Accent3 2 2 6 2 2 2" xfId="29941" xr:uid="{00000000-0005-0000-0000-000029350000}"/>
    <cellStyle name="40% - Accent3 2 2 6 2 3" xfId="20773" xr:uid="{00000000-0005-0000-0000-00002A350000}"/>
    <cellStyle name="40% - Accent3 2 2 6 3" xfId="11909" xr:uid="{00000000-0005-0000-0000-00002B350000}"/>
    <cellStyle name="40% - Accent3 2 2 6 3 2" xfId="25624" xr:uid="{00000000-0005-0000-0000-00002C350000}"/>
    <cellStyle name="40% - Accent3 2 2 6 4" xfId="20772" xr:uid="{00000000-0005-0000-0000-00002D350000}"/>
    <cellStyle name="40% - Accent3 2 2 7" xfId="3449" xr:uid="{00000000-0005-0000-0000-00002E350000}"/>
    <cellStyle name="40% - Accent3 2 2 7 2" xfId="12399" xr:uid="{00000000-0005-0000-0000-00002F350000}"/>
    <cellStyle name="40% - Accent3 2 2 7 2 2" xfId="26111" xr:uid="{00000000-0005-0000-0000-000030350000}"/>
    <cellStyle name="40% - Accent3 2 2 7 3" xfId="20774" xr:uid="{00000000-0005-0000-0000-000031350000}"/>
    <cellStyle name="40% - Accent3 2 2 8" xfId="3450" xr:uid="{00000000-0005-0000-0000-000032350000}"/>
    <cellStyle name="40% - Accent3 2 2 8 2" xfId="13486" xr:uid="{00000000-0005-0000-0000-000033350000}"/>
    <cellStyle name="40% - Accent3 2 2 8 2 2" xfId="27035" xr:uid="{00000000-0005-0000-0000-000034350000}"/>
    <cellStyle name="40% - Accent3 2 2 8 3" xfId="20775" xr:uid="{00000000-0005-0000-0000-000035350000}"/>
    <cellStyle name="40% - Accent3 2 2 9" xfId="3451" xr:uid="{00000000-0005-0000-0000-000036350000}"/>
    <cellStyle name="40% - Accent3 2 2 9 2" xfId="14067" xr:uid="{00000000-0005-0000-0000-000037350000}"/>
    <cellStyle name="40% - Accent3 2 2 9 2 2" xfId="27616" xr:uid="{00000000-0005-0000-0000-000038350000}"/>
    <cellStyle name="40% - Accent3 2 2 9 3" xfId="20776" xr:uid="{00000000-0005-0000-0000-000039350000}"/>
    <cellStyle name="40% - Accent3 2 3" xfId="3452" xr:uid="{00000000-0005-0000-0000-00003A350000}"/>
    <cellStyle name="40% - Accent3 2 3 10" xfId="3453" xr:uid="{00000000-0005-0000-0000-00003B350000}"/>
    <cellStyle name="40% - Accent3 2 3 10 2" xfId="16050" xr:uid="{00000000-0005-0000-0000-00003C350000}"/>
    <cellStyle name="40% - Accent3 2 3 10 2 2" xfId="29457" xr:uid="{00000000-0005-0000-0000-00003D350000}"/>
    <cellStyle name="40% - Accent3 2 3 10 3" xfId="20778" xr:uid="{00000000-0005-0000-0000-00003E350000}"/>
    <cellStyle name="40% - Accent3 2 3 11" xfId="9314" xr:uid="{00000000-0005-0000-0000-00003F350000}"/>
    <cellStyle name="40% - Accent3 2 3 11 2" xfId="23789" xr:uid="{00000000-0005-0000-0000-000040350000}"/>
    <cellStyle name="40% - Accent3 2 3 12" xfId="20777" xr:uid="{00000000-0005-0000-0000-000041350000}"/>
    <cellStyle name="40% - Accent3 2 3 2" xfId="3454" xr:uid="{00000000-0005-0000-0000-000042350000}"/>
    <cellStyle name="40% - Accent3 2 3 2 10" xfId="9315" xr:uid="{00000000-0005-0000-0000-000043350000}"/>
    <cellStyle name="40% - Accent3 2 3 2 10 2" xfId="23790" xr:uid="{00000000-0005-0000-0000-000044350000}"/>
    <cellStyle name="40% - Accent3 2 3 2 11" xfId="20779" xr:uid="{00000000-0005-0000-0000-000045350000}"/>
    <cellStyle name="40% - Accent3 2 3 2 2" xfId="3455" xr:uid="{00000000-0005-0000-0000-000046350000}"/>
    <cellStyle name="40% - Accent3 2 3 2 2 2" xfId="3456" xr:uid="{00000000-0005-0000-0000-000047350000}"/>
    <cellStyle name="40% - Accent3 2 3 2 2 2 2" xfId="11043" xr:uid="{00000000-0005-0000-0000-000048350000}"/>
    <cellStyle name="40% - Accent3 2 3 2 2 2 2 2" xfId="24985" xr:uid="{00000000-0005-0000-0000-000049350000}"/>
    <cellStyle name="40% - Accent3 2 3 2 2 2 3" xfId="20781" xr:uid="{00000000-0005-0000-0000-00004A350000}"/>
    <cellStyle name="40% - Accent3 2 3 2 2 3" xfId="3457" xr:uid="{00000000-0005-0000-0000-00004B350000}"/>
    <cellStyle name="40% - Accent3 2 3 2 2 3 2" xfId="12430" xr:uid="{00000000-0005-0000-0000-00004C350000}"/>
    <cellStyle name="40% - Accent3 2 3 2 2 3 2 2" xfId="26142" xr:uid="{00000000-0005-0000-0000-00004D350000}"/>
    <cellStyle name="40% - Accent3 2 3 2 2 3 3" xfId="20782" xr:uid="{00000000-0005-0000-0000-00004E350000}"/>
    <cellStyle name="40% - Accent3 2 3 2 2 4" xfId="3458" xr:uid="{00000000-0005-0000-0000-00004F350000}"/>
    <cellStyle name="40% - Accent3 2 3 2 2 4 2" xfId="15197" xr:uid="{00000000-0005-0000-0000-000050350000}"/>
    <cellStyle name="40% - Accent3 2 3 2 2 4 2 2" xfId="28746" xr:uid="{00000000-0005-0000-0000-000051350000}"/>
    <cellStyle name="40% - Accent3 2 3 2 2 4 3" xfId="20783" xr:uid="{00000000-0005-0000-0000-000052350000}"/>
    <cellStyle name="40% - Accent3 2 3 2 2 5" xfId="3459" xr:uid="{00000000-0005-0000-0000-000053350000}"/>
    <cellStyle name="40% - Accent3 2 3 2 2 5 2" xfId="16920" xr:uid="{00000000-0005-0000-0000-000054350000}"/>
    <cellStyle name="40% - Accent3 2 3 2 2 5 2 2" xfId="30327" xr:uid="{00000000-0005-0000-0000-000055350000}"/>
    <cellStyle name="40% - Accent3 2 3 2 2 5 3" xfId="20784" xr:uid="{00000000-0005-0000-0000-000056350000}"/>
    <cellStyle name="40% - Accent3 2 3 2 2 6" xfId="9316" xr:uid="{00000000-0005-0000-0000-000057350000}"/>
    <cellStyle name="40% - Accent3 2 3 2 2 6 2" xfId="23791" xr:uid="{00000000-0005-0000-0000-000058350000}"/>
    <cellStyle name="40% - Accent3 2 3 2 2 7" xfId="20780" xr:uid="{00000000-0005-0000-0000-000059350000}"/>
    <cellStyle name="40% - Accent3 2 3 2 3" xfId="3460" xr:uid="{00000000-0005-0000-0000-00005A350000}"/>
    <cellStyle name="40% - Accent3 2 3 2 3 2" xfId="3461" xr:uid="{00000000-0005-0000-0000-00005B350000}"/>
    <cellStyle name="40% - Accent3 2 3 2 3 2 2" xfId="15198" xr:uid="{00000000-0005-0000-0000-00005C350000}"/>
    <cellStyle name="40% - Accent3 2 3 2 3 2 2 2" xfId="28747" xr:uid="{00000000-0005-0000-0000-00005D350000}"/>
    <cellStyle name="40% - Accent3 2 3 2 3 2 3" xfId="20786" xr:uid="{00000000-0005-0000-0000-00005E350000}"/>
    <cellStyle name="40% - Accent3 2 3 2 3 3" xfId="11042" xr:uid="{00000000-0005-0000-0000-00005F350000}"/>
    <cellStyle name="40% - Accent3 2 3 2 3 3 2" xfId="24984" xr:uid="{00000000-0005-0000-0000-000060350000}"/>
    <cellStyle name="40% - Accent3 2 3 2 3 4" xfId="20785" xr:uid="{00000000-0005-0000-0000-000061350000}"/>
    <cellStyle name="40% - Accent3 2 3 2 4" xfId="3462" xr:uid="{00000000-0005-0000-0000-000062350000}"/>
    <cellStyle name="40% - Accent3 2 3 2 4 2" xfId="12308" xr:uid="{00000000-0005-0000-0000-000063350000}"/>
    <cellStyle name="40% - Accent3 2 3 2 4 2 2" xfId="26020" xr:uid="{00000000-0005-0000-0000-000064350000}"/>
    <cellStyle name="40% - Accent3 2 3 2 4 3" xfId="20787" xr:uid="{00000000-0005-0000-0000-000065350000}"/>
    <cellStyle name="40% - Accent3 2 3 2 5" xfId="3463" xr:uid="{00000000-0005-0000-0000-000066350000}"/>
    <cellStyle name="40% - Accent3 2 3 2 5 2" xfId="12574" xr:uid="{00000000-0005-0000-0000-000067350000}"/>
    <cellStyle name="40% - Accent3 2 3 2 5 2 2" xfId="26286" xr:uid="{00000000-0005-0000-0000-000068350000}"/>
    <cellStyle name="40% - Accent3 2 3 2 5 3" xfId="20788" xr:uid="{00000000-0005-0000-0000-000069350000}"/>
    <cellStyle name="40% - Accent3 2 3 2 6" xfId="3464" xr:uid="{00000000-0005-0000-0000-00006A350000}"/>
    <cellStyle name="40% - Accent3 2 3 2 6 2" xfId="13872" xr:uid="{00000000-0005-0000-0000-00006B350000}"/>
    <cellStyle name="40% - Accent3 2 3 2 6 2 2" xfId="27421" xr:uid="{00000000-0005-0000-0000-00006C350000}"/>
    <cellStyle name="40% - Accent3 2 3 2 6 3" xfId="20789" xr:uid="{00000000-0005-0000-0000-00006D350000}"/>
    <cellStyle name="40% - Accent3 2 3 2 7" xfId="3465" xr:uid="{00000000-0005-0000-0000-00006E350000}"/>
    <cellStyle name="40% - Accent3 2 3 2 7 2" xfId="14453" xr:uid="{00000000-0005-0000-0000-00006F350000}"/>
    <cellStyle name="40% - Accent3 2 3 2 7 2 2" xfId="28002" xr:uid="{00000000-0005-0000-0000-000070350000}"/>
    <cellStyle name="40% - Accent3 2 3 2 7 3" xfId="20790" xr:uid="{00000000-0005-0000-0000-000071350000}"/>
    <cellStyle name="40% - Accent3 2 3 2 8" xfId="3466" xr:uid="{00000000-0005-0000-0000-000072350000}"/>
    <cellStyle name="40% - Accent3 2 3 2 8 2" xfId="15196" xr:uid="{00000000-0005-0000-0000-000073350000}"/>
    <cellStyle name="40% - Accent3 2 3 2 8 2 2" xfId="28745" xr:uid="{00000000-0005-0000-0000-000074350000}"/>
    <cellStyle name="40% - Accent3 2 3 2 8 3" xfId="20791" xr:uid="{00000000-0005-0000-0000-000075350000}"/>
    <cellStyle name="40% - Accent3 2 3 2 9" xfId="3467" xr:uid="{00000000-0005-0000-0000-000076350000}"/>
    <cellStyle name="40% - Accent3 2 3 2 9 2" xfId="16339" xr:uid="{00000000-0005-0000-0000-000077350000}"/>
    <cellStyle name="40% - Accent3 2 3 2 9 2 2" xfId="29746" xr:uid="{00000000-0005-0000-0000-000078350000}"/>
    <cellStyle name="40% - Accent3 2 3 2 9 3" xfId="20792" xr:uid="{00000000-0005-0000-0000-000079350000}"/>
    <cellStyle name="40% - Accent3 2 3 3" xfId="3468" xr:uid="{00000000-0005-0000-0000-00007A350000}"/>
    <cellStyle name="40% - Accent3 2 3 3 2" xfId="3469" xr:uid="{00000000-0005-0000-0000-00007B350000}"/>
    <cellStyle name="40% - Accent3 2 3 3 2 2" xfId="11044" xr:uid="{00000000-0005-0000-0000-00007C350000}"/>
    <cellStyle name="40% - Accent3 2 3 3 2 2 2" xfId="24986" xr:uid="{00000000-0005-0000-0000-00007D350000}"/>
    <cellStyle name="40% - Accent3 2 3 3 2 3" xfId="20794" xr:uid="{00000000-0005-0000-0000-00007E350000}"/>
    <cellStyle name="40% - Accent3 2 3 3 3" xfId="3470" xr:uid="{00000000-0005-0000-0000-00007F350000}"/>
    <cellStyle name="40% - Accent3 2 3 3 3 2" xfId="12813" xr:uid="{00000000-0005-0000-0000-000080350000}"/>
    <cellStyle name="40% - Accent3 2 3 3 3 2 2" xfId="26525" xr:uid="{00000000-0005-0000-0000-000081350000}"/>
    <cellStyle name="40% - Accent3 2 3 3 3 3" xfId="20795" xr:uid="{00000000-0005-0000-0000-000082350000}"/>
    <cellStyle name="40% - Accent3 2 3 3 4" xfId="3471" xr:uid="{00000000-0005-0000-0000-000083350000}"/>
    <cellStyle name="40% - Accent3 2 3 3 4 2" xfId="15199" xr:uid="{00000000-0005-0000-0000-000084350000}"/>
    <cellStyle name="40% - Accent3 2 3 3 4 2 2" xfId="28748" xr:uid="{00000000-0005-0000-0000-000085350000}"/>
    <cellStyle name="40% - Accent3 2 3 3 4 3" xfId="20796" xr:uid="{00000000-0005-0000-0000-000086350000}"/>
    <cellStyle name="40% - Accent3 2 3 3 5" xfId="3472" xr:uid="{00000000-0005-0000-0000-000087350000}"/>
    <cellStyle name="40% - Accent3 2 3 3 5 2" xfId="16631" xr:uid="{00000000-0005-0000-0000-000088350000}"/>
    <cellStyle name="40% - Accent3 2 3 3 5 2 2" xfId="30038" xr:uid="{00000000-0005-0000-0000-000089350000}"/>
    <cellStyle name="40% - Accent3 2 3 3 5 3" xfId="20797" xr:uid="{00000000-0005-0000-0000-00008A350000}"/>
    <cellStyle name="40% - Accent3 2 3 3 6" xfId="9317" xr:uid="{00000000-0005-0000-0000-00008B350000}"/>
    <cellStyle name="40% - Accent3 2 3 3 6 2" xfId="23792" xr:uid="{00000000-0005-0000-0000-00008C350000}"/>
    <cellStyle name="40% - Accent3 2 3 3 7" xfId="20793" xr:uid="{00000000-0005-0000-0000-00008D350000}"/>
    <cellStyle name="40% - Accent3 2 3 4" xfId="3473" xr:uid="{00000000-0005-0000-0000-00008E350000}"/>
    <cellStyle name="40% - Accent3 2 3 4 2" xfId="3474" xr:uid="{00000000-0005-0000-0000-00008F350000}"/>
    <cellStyle name="40% - Accent3 2 3 4 2 2" xfId="15200" xr:uid="{00000000-0005-0000-0000-000090350000}"/>
    <cellStyle name="40% - Accent3 2 3 4 2 2 2" xfId="28749" xr:uid="{00000000-0005-0000-0000-000091350000}"/>
    <cellStyle name="40% - Accent3 2 3 4 2 3" xfId="20799" xr:uid="{00000000-0005-0000-0000-000092350000}"/>
    <cellStyle name="40% - Accent3 2 3 4 3" xfId="11041" xr:uid="{00000000-0005-0000-0000-000093350000}"/>
    <cellStyle name="40% - Accent3 2 3 4 3 2" xfId="24983" xr:uid="{00000000-0005-0000-0000-000094350000}"/>
    <cellStyle name="40% - Accent3 2 3 4 4" xfId="20798" xr:uid="{00000000-0005-0000-0000-000095350000}"/>
    <cellStyle name="40% - Accent3 2 3 5" xfId="3475" xr:uid="{00000000-0005-0000-0000-000096350000}"/>
    <cellStyle name="40% - Accent3 2 3 5 2" xfId="12008" xr:uid="{00000000-0005-0000-0000-000097350000}"/>
    <cellStyle name="40% - Accent3 2 3 5 2 2" xfId="25723" xr:uid="{00000000-0005-0000-0000-000098350000}"/>
    <cellStyle name="40% - Accent3 2 3 5 3" xfId="20800" xr:uid="{00000000-0005-0000-0000-000099350000}"/>
    <cellStyle name="40% - Accent3 2 3 6" xfId="3476" xr:uid="{00000000-0005-0000-0000-00009A350000}"/>
    <cellStyle name="40% - Accent3 2 3 6 2" xfId="12618" xr:uid="{00000000-0005-0000-0000-00009B350000}"/>
    <cellStyle name="40% - Accent3 2 3 6 2 2" xfId="26330" xr:uid="{00000000-0005-0000-0000-00009C350000}"/>
    <cellStyle name="40% - Accent3 2 3 6 3" xfId="20801" xr:uid="{00000000-0005-0000-0000-00009D350000}"/>
    <cellStyle name="40% - Accent3 2 3 7" xfId="3477" xr:uid="{00000000-0005-0000-0000-00009E350000}"/>
    <cellStyle name="40% - Accent3 2 3 7 2" xfId="13583" xr:uid="{00000000-0005-0000-0000-00009F350000}"/>
    <cellStyle name="40% - Accent3 2 3 7 2 2" xfId="27132" xr:uid="{00000000-0005-0000-0000-0000A0350000}"/>
    <cellStyle name="40% - Accent3 2 3 7 3" xfId="20802" xr:uid="{00000000-0005-0000-0000-0000A1350000}"/>
    <cellStyle name="40% - Accent3 2 3 8" xfId="3478" xr:uid="{00000000-0005-0000-0000-0000A2350000}"/>
    <cellStyle name="40% - Accent3 2 3 8 2" xfId="14164" xr:uid="{00000000-0005-0000-0000-0000A3350000}"/>
    <cellStyle name="40% - Accent3 2 3 8 2 2" xfId="27713" xr:uid="{00000000-0005-0000-0000-0000A4350000}"/>
    <cellStyle name="40% - Accent3 2 3 8 3" xfId="20803" xr:uid="{00000000-0005-0000-0000-0000A5350000}"/>
    <cellStyle name="40% - Accent3 2 3 9" xfId="3479" xr:uid="{00000000-0005-0000-0000-0000A6350000}"/>
    <cellStyle name="40% - Accent3 2 3 9 2" xfId="15195" xr:uid="{00000000-0005-0000-0000-0000A7350000}"/>
    <cellStyle name="40% - Accent3 2 3 9 2 2" xfId="28744" xr:uid="{00000000-0005-0000-0000-0000A8350000}"/>
    <cellStyle name="40% - Accent3 2 3 9 3" xfId="20804" xr:uid="{00000000-0005-0000-0000-0000A9350000}"/>
    <cellStyle name="40% - Accent3 2 4" xfId="3480" xr:uid="{00000000-0005-0000-0000-0000AA350000}"/>
    <cellStyle name="40% - Accent3 2 4 10" xfId="9318" xr:uid="{00000000-0005-0000-0000-0000AB350000}"/>
    <cellStyle name="40% - Accent3 2 4 10 2" xfId="23793" xr:uid="{00000000-0005-0000-0000-0000AC350000}"/>
    <cellStyle name="40% - Accent3 2 4 11" xfId="20805" xr:uid="{00000000-0005-0000-0000-0000AD350000}"/>
    <cellStyle name="40% - Accent3 2 4 2" xfId="3481" xr:uid="{00000000-0005-0000-0000-0000AE350000}"/>
    <cellStyle name="40% - Accent3 2 4 2 2" xfId="3482" xr:uid="{00000000-0005-0000-0000-0000AF350000}"/>
    <cellStyle name="40% - Accent3 2 4 2 2 2" xfId="11046" xr:uid="{00000000-0005-0000-0000-0000B0350000}"/>
    <cellStyle name="40% - Accent3 2 4 2 2 2 2" xfId="24988" xr:uid="{00000000-0005-0000-0000-0000B1350000}"/>
    <cellStyle name="40% - Accent3 2 4 2 2 3" xfId="20807" xr:uid="{00000000-0005-0000-0000-0000B2350000}"/>
    <cellStyle name="40% - Accent3 2 4 2 3" xfId="3483" xr:uid="{00000000-0005-0000-0000-0000B3350000}"/>
    <cellStyle name="40% - Accent3 2 4 2 3 2" xfId="12815" xr:uid="{00000000-0005-0000-0000-0000B4350000}"/>
    <cellStyle name="40% - Accent3 2 4 2 3 2 2" xfId="26527" xr:uid="{00000000-0005-0000-0000-0000B5350000}"/>
    <cellStyle name="40% - Accent3 2 4 2 3 3" xfId="20808" xr:uid="{00000000-0005-0000-0000-0000B6350000}"/>
    <cellStyle name="40% - Accent3 2 4 2 4" xfId="3484" xr:uid="{00000000-0005-0000-0000-0000B7350000}"/>
    <cellStyle name="40% - Accent3 2 4 2 4 2" xfId="15202" xr:uid="{00000000-0005-0000-0000-0000B8350000}"/>
    <cellStyle name="40% - Accent3 2 4 2 4 2 2" xfId="28751" xr:uid="{00000000-0005-0000-0000-0000B9350000}"/>
    <cellStyle name="40% - Accent3 2 4 2 4 3" xfId="20809" xr:uid="{00000000-0005-0000-0000-0000BA350000}"/>
    <cellStyle name="40% - Accent3 2 4 2 5" xfId="3485" xr:uid="{00000000-0005-0000-0000-0000BB350000}"/>
    <cellStyle name="40% - Accent3 2 4 2 5 2" xfId="16777" xr:uid="{00000000-0005-0000-0000-0000BC350000}"/>
    <cellStyle name="40% - Accent3 2 4 2 5 2 2" xfId="30184" xr:uid="{00000000-0005-0000-0000-0000BD350000}"/>
    <cellStyle name="40% - Accent3 2 4 2 5 3" xfId="20810" xr:uid="{00000000-0005-0000-0000-0000BE350000}"/>
    <cellStyle name="40% - Accent3 2 4 2 6" xfId="9319" xr:uid="{00000000-0005-0000-0000-0000BF350000}"/>
    <cellStyle name="40% - Accent3 2 4 2 6 2" xfId="23794" xr:uid="{00000000-0005-0000-0000-0000C0350000}"/>
    <cellStyle name="40% - Accent3 2 4 2 7" xfId="20806" xr:uid="{00000000-0005-0000-0000-0000C1350000}"/>
    <cellStyle name="40% - Accent3 2 4 3" xfId="3486" xr:uid="{00000000-0005-0000-0000-0000C2350000}"/>
    <cellStyle name="40% - Accent3 2 4 3 2" xfId="3487" xr:uid="{00000000-0005-0000-0000-0000C3350000}"/>
    <cellStyle name="40% - Accent3 2 4 3 2 2" xfId="15203" xr:uid="{00000000-0005-0000-0000-0000C4350000}"/>
    <cellStyle name="40% - Accent3 2 4 3 2 2 2" xfId="28752" xr:uid="{00000000-0005-0000-0000-0000C5350000}"/>
    <cellStyle name="40% - Accent3 2 4 3 2 3" xfId="20812" xr:uid="{00000000-0005-0000-0000-0000C6350000}"/>
    <cellStyle name="40% - Accent3 2 4 3 3" xfId="11045" xr:uid="{00000000-0005-0000-0000-0000C7350000}"/>
    <cellStyle name="40% - Accent3 2 4 3 3 2" xfId="24987" xr:uid="{00000000-0005-0000-0000-0000C8350000}"/>
    <cellStyle name="40% - Accent3 2 4 3 4" xfId="20811" xr:uid="{00000000-0005-0000-0000-0000C9350000}"/>
    <cellStyle name="40% - Accent3 2 4 4" xfId="3488" xr:uid="{00000000-0005-0000-0000-0000CA350000}"/>
    <cellStyle name="40% - Accent3 2 4 4 2" xfId="12165" xr:uid="{00000000-0005-0000-0000-0000CB350000}"/>
    <cellStyle name="40% - Accent3 2 4 4 2 2" xfId="25877" xr:uid="{00000000-0005-0000-0000-0000CC350000}"/>
    <cellStyle name="40% - Accent3 2 4 4 3" xfId="20813" xr:uid="{00000000-0005-0000-0000-0000CD350000}"/>
    <cellStyle name="40% - Accent3 2 4 5" xfId="3489" xr:uid="{00000000-0005-0000-0000-0000CE350000}"/>
    <cellStyle name="40% - Accent3 2 4 5 2" xfId="12814" xr:uid="{00000000-0005-0000-0000-0000CF350000}"/>
    <cellStyle name="40% - Accent3 2 4 5 2 2" xfId="26526" xr:uid="{00000000-0005-0000-0000-0000D0350000}"/>
    <cellStyle name="40% - Accent3 2 4 5 3" xfId="20814" xr:uid="{00000000-0005-0000-0000-0000D1350000}"/>
    <cellStyle name="40% - Accent3 2 4 6" xfId="3490" xr:uid="{00000000-0005-0000-0000-0000D2350000}"/>
    <cellStyle name="40% - Accent3 2 4 6 2" xfId="13729" xr:uid="{00000000-0005-0000-0000-0000D3350000}"/>
    <cellStyle name="40% - Accent3 2 4 6 2 2" xfId="27278" xr:uid="{00000000-0005-0000-0000-0000D4350000}"/>
    <cellStyle name="40% - Accent3 2 4 6 3" xfId="20815" xr:uid="{00000000-0005-0000-0000-0000D5350000}"/>
    <cellStyle name="40% - Accent3 2 4 7" xfId="3491" xr:uid="{00000000-0005-0000-0000-0000D6350000}"/>
    <cellStyle name="40% - Accent3 2 4 7 2" xfId="14310" xr:uid="{00000000-0005-0000-0000-0000D7350000}"/>
    <cellStyle name="40% - Accent3 2 4 7 2 2" xfId="27859" xr:uid="{00000000-0005-0000-0000-0000D8350000}"/>
    <cellStyle name="40% - Accent3 2 4 7 3" xfId="20816" xr:uid="{00000000-0005-0000-0000-0000D9350000}"/>
    <cellStyle name="40% - Accent3 2 4 8" xfId="3492" xr:uid="{00000000-0005-0000-0000-0000DA350000}"/>
    <cellStyle name="40% - Accent3 2 4 8 2" xfId="15201" xr:uid="{00000000-0005-0000-0000-0000DB350000}"/>
    <cellStyle name="40% - Accent3 2 4 8 2 2" xfId="28750" xr:uid="{00000000-0005-0000-0000-0000DC350000}"/>
    <cellStyle name="40% - Accent3 2 4 8 3" xfId="20817" xr:uid="{00000000-0005-0000-0000-0000DD350000}"/>
    <cellStyle name="40% - Accent3 2 4 9" xfId="3493" xr:uid="{00000000-0005-0000-0000-0000DE350000}"/>
    <cellStyle name="40% - Accent3 2 4 9 2" xfId="16196" xr:uid="{00000000-0005-0000-0000-0000DF350000}"/>
    <cellStyle name="40% - Accent3 2 4 9 2 2" xfId="29603" xr:uid="{00000000-0005-0000-0000-0000E0350000}"/>
    <cellStyle name="40% - Accent3 2 4 9 3" xfId="20818" xr:uid="{00000000-0005-0000-0000-0000E1350000}"/>
    <cellStyle name="40% - Accent3 2 5" xfId="3494" xr:uid="{00000000-0005-0000-0000-0000E2350000}"/>
    <cellStyle name="40% - Accent3 2 5 2" xfId="3495" xr:uid="{00000000-0005-0000-0000-0000E3350000}"/>
    <cellStyle name="40% - Accent3 2 5 2 2" xfId="3496" xr:uid="{00000000-0005-0000-0000-0000E4350000}"/>
    <cellStyle name="40% - Accent3 2 5 2 2 2" xfId="11048" xr:uid="{00000000-0005-0000-0000-0000E5350000}"/>
    <cellStyle name="40% - Accent3 2 5 2 2 2 2" xfId="24990" xr:uid="{00000000-0005-0000-0000-0000E6350000}"/>
    <cellStyle name="40% - Accent3 2 5 2 2 3" xfId="20821" xr:uid="{00000000-0005-0000-0000-0000E7350000}"/>
    <cellStyle name="40% - Accent3 2 5 2 3" xfId="3497" xr:uid="{00000000-0005-0000-0000-0000E8350000}"/>
    <cellStyle name="40% - Accent3 2 5 2 3 2" xfId="12817" xr:uid="{00000000-0005-0000-0000-0000E9350000}"/>
    <cellStyle name="40% - Accent3 2 5 2 3 2 2" xfId="26529" xr:uid="{00000000-0005-0000-0000-0000EA350000}"/>
    <cellStyle name="40% - Accent3 2 5 2 3 3" xfId="20822" xr:uid="{00000000-0005-0000-0000-0000EB350000}"/>
    <cellStyle name="40% - Accent3 2 5 2 4" xfId="3498" xr:uid="{00000000-0005-0000-0000-0000EC350000}"/>
    <cellStyle name="40% - Accent3 2 5 2 4 2" xfId="15205" xr:uid="{00000000-0005-0000-0000-0000ED350000}"/>
    <cellStyle name="40% - Accent3 2 5 2 4 2 2" xfId="28754" xr:uid="{00000000-0005-0000-0000-0000EE350000}"/>
    <cellStyle name="40% - Accent3 2 5 2 4 3" xfId="20823" xr:uid="{00000000-0005-0000-0000-0000EF350000}"/>
    <cellStyle name="40% - Accent3 2 5 2 5" xfId="9321" xr:uid="{00000000-0005-0000-0000-0000F0350000}"/>
    <cellStyle name="40% - Accent3 2 5 2 5 2" xfId="23796" xr:uid="{00000000-0005-0000-0000-0000F1350000}"/>
    <cellStyle name="40% - Accent3 2 5 2 6" xfId="20820" xr:uid="{00000000-0005-0000-0000-0000F2350000}"/>
    <cellStyle name="40% - Accent3 2 5 3" xfId="3499" xr:uid="{00000000-0005-0000-0000-0000F3350000}"/>
    <cellStyle name="40% - Accent3 2 5 3 2" xfId="11047" xr:uid="{00000000-0005-0000-0000-0000F4350000}"/>
    <cellStyle name="40% - Accent3 2 5 3 2 2" xfId="24989" xr:uid="{00000000-0005-0000-0000-0000F5350000}"/>
    <cellStyle name="40% - Accent3 2 5 3 3" xfId="20824" xr:uid="{00000000-0005-0000-0000-0000F6350000}"/>
    <cellStyle name="40% - Accent3 2 5 4" xfId="3500" xr:uid="{00000000-0005-0000-0000-0000F7350000}"/>
    <cellStyle name="40% - Accent3 2 5 4 2" xfId="12816" xr:uid="{00000000-0005-0000-0000-0000F8350000}"/>
    <cellStyle name="40% - Accent3 2 5 4 2 2" xfId="26528" xr:uid="{00000000-0005-0000-0000-0000F9350000}"/>
    <cellStyle name="40% - Accent3 2 5 4 3" xfId="20825" xr:uid="{00000000-0005-0000-0000-0000FA350000}"/>
    <cellStyle name="40% - Accent3 2 5 5" xfId="3501" xr:uid="{00000000-0005-0000-0000-0000FB350000}"/>
    <cellStyle name="40% - Accent3 2 5 5 2" xfId="15204" xr:uid="{00000000-0005-0000-0000-0000FC350000}"/>
    <cellStyle name="40% - Accent3 2 5 5 2 2" xfId="28753" xr:uid="{00000000-0005-0000-0000-0000FD350000}"/>
    <cellStyle name="40% - Accent3 2 5 5 3" xfId="20826" xr:uid="{00000000-0005-0000-0000-0000FE350000}"/>
    <cellStyle name="40% - Accent3 2 5 6" xfId="3502" xr:uid="{00000000-0005-0000-0000-0000FF350000}"/>
    <cellStyle name="40% - Accent3 2 5 6 2" xfId="17015" xr:uid="{00000000-0005-0000-0000-000000360000}"/>
    <cellStyle name="40% - Accent3 2 5 6 2 2" xfId="30422" xr:uid="{00000000-0005-0000-0000-000001360000}"/>
    <cellStyle name="40% - Accent3 2 5 6 3" xfId="20827" xr:uid="{00000000-0005-0000-0000-000002360000}"/>
    <cellStyle name="40% - Accent3 2 5 7" xfId="9320" xr:uid="{00000000-0005-0000-0000-000003360000}"/>
    <cellStyle name="40% - Accent3 2 5 7 2" xfId="23795" xr:uid="{00000000-0005-0000-0000-000004360000}"/>
    <cellStyle name="40% - Accent3 2 5 8" xfId="20819" xr:uid="{00000000-0005-0000-0000-000005360000}"/>
    <cellStyle name="40% - Accent3 2 6" xfId="3503" xr:uid="{00000000-0005-0000-0000-000006360000}"/>
    <cellStyle name="40% - Accent3 2 6 2" xfId="3504" xr:uid="{00000000-0005-0000-0000-000007360000}"/>
    <cellStyle name="40% - Accent3 2 6 2 2" xfId="11049" xr:uid="{00000000-0005-0000-0000-000008360000}"/>
    <cellStyle name="40% - Accent3 2 6 2 2 2" xfId="24991" xr:uid="{00000000-0005-0000-0000-000009360000}"/>
    <cellStyle name="40% - Accent3 2 6 2 3" xfId="20829" xr:uid="{00000000-0005-0000-0000-00000A360000}"/>
    <cellStyle name="40% - Accent3 2 6 3" xfId="3505" xr:uid="{00000000-0005-0000-0000-00000B360000}"/>
    <cellStyle name="40% - Accent3 2 6 3 2" xfId="12818" xr:uid="{00000000-0005-0000-0000-00000C360000}"/>
    <cellStyle name="40% - Accent3 2 6 3 2 2" xfId="26530" xr:uid="{00000000-0005-0000-0000-00000D360000}"/>
    <cellStyle name="40% - Accent3 2 6 3 3" xfId="20830" xr:uid="{00000000-0005-0000-0000-00000E360000}"/>
    <cellStyle name="40% - Accent3 2 6 4" xfId="3506" xr:uid="{00000000-0005-0000-0000-00000F360000}"/>
    <cellStyle name="40% - Accent3 2 6 4 2" xfId="15206" xr:uid="{00000000-0005-0000-0000-000010360000}"/>
    <cellStyle name="40% - Accent3 2 6 4 2 2" xfId="28755" xr:uid="{00000000-0005-0000-0000-000011360000}"/>
    <cellStyle name="40% - Accent3 2 6 4 3" xfId="20831" xr:uid="{00000000-0005-0000-0000-000012360000}"/>
    <cellStyle name="40% - Accent3 2 6 5" xfId="3507" xr:uid="{00000000-0005-0000-0000-000013360000}"/>
    <cellStyle name="40% - Accent3 2 6 5 2" xfId="17124" xr:uid="{00000000-0005-0000-0000-000014360000}"/>
    <cellStyle name="40% - Accent3 2 6 5 2 2" xfId="30483" xr:uid="{00000000-0005-0000-0000-000015360000}"/>
    <cellStyle name="40% - Accent3 2 6 5 3" xfId="20832" xr:uid="{00000000-0005-0000-0000-000016360000}"/>
    <cellStyle name="40% - Accent3 2 6 6" xfId="9322" xr:uid="{00000000-0005-0000-0000-000017360000}"/>
    <cellStyle name="40% - Accent3 2 6 6 2" xfId="23797" xr:uid="{00000000-0005-0000-0000-000018360000}"/>
    <cellStyle name="40% - Accent3 2 6 7" xfId="20828" xr:uid="{00000000-0005-0000-0000-000019360000}"/>
    <cellStyle name="40% - Accent3 2 7" xfId="3508" xr:uid="{00000000-0005-0000-0000-00001A360000}"/>
    <cellStyle name="40% - Accent3 2 7 2" xfId="3509" xr:uid="{00000000-0005-0000-0000-00001B360000}"/>
    <cellStyle name="40% - Accent3 2 7 2 2" xfId="11050" xr:uid="{00000000-0005-0000-0000-00001C360000}"/>
    <cellStyle name="40% - Accent3 2 7 2 2 2" xfId="24992" xr:uid="{00000000-0005-0000-0000-00001D360000}"/>
    <cellStyle name="40% - Accent3 2 7 2 3" xfId="20834" xr:uid="{00000000-0005-0000-0000-00001E360000}"/>
    <cellStyle name="40% - Accent3 2 7 3" xfId="3510" xr:uid="{00000000-0005-0000-0000-00001F360000}"/>
    <cellStyle name="40% - Accent3 2 7 3 2" xfId="12819" xr:uid="{00000000-0005-0000-0000-000020360000}"/>
    <cellStyle name="40% - Accent3 2 7 3 2 2" xfId="26531" xr:uid="{00000000-0005-0000-0000-000021360000}"/>
    <cellStyle name="40% - Accent3 2 7 3 3" xfId="20835" xr:uid="{00000000-0005-0000-0000-000022360000}"/>
    <cellStyle name="40% - Accent3 2 7 4" xfId="3511" xr:uid="{00000000-0005-0000-0000-000023360000}"/>
    <cellStyle name="40% - Accent3 2 7 4 2" xfId="15207" xr:uid="{00000000-0005-0000-0000-000024360000}"/>
    <cellStyle name="40% - Accent3 2 7 4 2 2" xfId="28756" xr:uid="{00000000-0005-0000-0000-000025360000}"/>
    <cellStyle name="40% - Accent3 2 7 4 3" xfId="20836" xr:uid="{00000000-0005-0000-0000-000026360000}"/>
    <cellStyle name="40% - Accent3 2 7 5" xfId="3512" xr:uid="{00000000-0005-0000-0000-000027360000}"/>
    <cellStyle name="40% - Accent3 2 7 5 2" xfId="17213" xr:uid="{00000000-0005-0000-0000-000028360000}"/>
    <cellStyle name="40% - Accent3 2 7 5 2 2" xfId="30572" xr:uid="{00000000-0005-0000-0000-000029360000}"/>
    <cellStyle name="40% - Accent3 2 7 5 3" xfId="20837" xr:uid="{00000000-0005-0000-0000-00002A360000}"/>
    <cellStyle name="40% - Accent3 2 7 6" xfId="9323" xr:uid="{00000000-0005-0000-0000-00002B360000}"/>
    <cellStyle name="40% - Accent3 2 7 6 2" xfId="23798" xr:uid="{00000000-0005-0000-0000-00002C360000}"/>
    <cellStyle name="40% - Accent3 2 7 7" xfId="20833" xr:uid="{00000000-0005-0000-0000-00002D360000}"/>
    <cellStyle name="40% - Accent3 2 8" xfId="3513" xr:uid="{00000000-0005-0000-0000-00002E360000}"/>
    <cellStyle name="40% - Accent3 2 8 2" xfId="3514" xr:uid="{00000000-0005-0000-0000-00002F360000}"/>
    <cellStyle name="40% - Accent3 2 8 2 2" xfId="12820" xr:uid="{00000000-0005-0000-0000-000030360000}"/>
    <cellStyle name="40% - Accent3 2 8 2 2 2" xfId="26532" xr:uid="{00000000-0005-0000-0000-000031360000}"/>
    <cellStyle name="40% - Accent3 2 8 2 3" xfId="20839" xr:uid="{00000000-0005-0000-0000-000032360000}"/>
    <cellStyle name="40% - Accent3 2 8 3" xfId="3515" xr:uid="{00000000-0005-0000-0000-000033360000}"/>
    <cellStyle name="40% - Accent3 2 8 3 2" xfId="15208" xr:uid="{00000000-0005-0000-0000-000034360000}"/>
    <cellStyle name="40% - Accent3 2 8 3 2 2" xfId="28757" xr:uid="{00000000-0005-0000-0000-000035360000}"/>
    <cellStyle name="40% - Accent3 2 8 3 3" xfId="20840" xr:uid="{00000000-0005-0000-0000-000036360000}"/>
    <cellStyle name="40% - Accent3 2 8 4" xfId="3516" xr:uid="{00000000-0005-0000-0000-000037360000}"/>
    <cellStyle name="40% - Accent3 2 8 4 2" xfId="16488" xr:uid="{00000000-0005-0000-0000-000038360000}"/>
    <cellStyle name="40% - Accent3 2 8 4 2 2" xfId="29895" xr:uid="{00000000-0005-0000-0000-000039360000}"/>
    <cellStyle name="40% - Accent3 2 8 4 3" xfId="20841" xr:uid="{00000000-0005-0000-0000-00003A360000}"/>
    <cellStyle name="40% - Accent3 2 8 5" xfId="10536" xr:uid="{00000000-0005-0000-0000-00003B360000}"/>
    <cellStyle name="40% - Accent3 2 8 5 2" xfId="24478" xr:uid="{00000000-0005-0000-0000-00003C360000}"/>
    <cellStyle name="40% - Accent3 2 8 6" xfId="20838" xr:uid="{00000000-0005-0000-0000-00003D360000}"/>
    <cellStyle name="40% - Accent3 2 9" xfId="3517" xr:uid="{00000000-0005-0000-0000-00003E360000}"/>
    <cellStyle name="40% - Accent3 2 9 2" xfId="3518" xr:uid="{00000000-0005-0000-0000-00003F360000}"/>
    <cellStyle name="40% - Accent3 2 9 2 2" xfId="12821" xr:uid="{00000000-0005-0000-0000-000040360000}"/>
    <cellStyle name="40% - Accent3 2 9 2 2 2" xfId="26533" xr:uid="{00000000-0005-0000-0000-000041360000}"/>
    <cellStyle name="40% - Accent3 2 9 2 3" xfId="20843" xr:uid="{00000000-0005-0000-0000-000042360000}"/>
    <cellStyle name="40% - Accent3 2 9 3" xfId="3519" xr:uid="{00000000-0005-0000-0000-000043360000}"/>
    <cellStyle name="40% - Accent3 2 9 3 2" xfId="15209" xr:uid="{00000000-0005-0000-0000-000044360000}"/>
    <cellStyle name="40% - Accent3 2 9 3 2 2" xfId="28758" xr:uid="{00000000-0005-0000-0000-000045360000}"/>
    <cellStyle name="40% - Accent3 2 9 3 3" xfId="20844" xr:uid="{00000000-0005-0000-0000-000046360000}"/>
    <cellStyle name="40% - Accent3 2 9 4" xfId="11032" xr:uid="{00000000-0005-0000-0000-000047360000}"/>
    <cellStyle name="40% - Accent3 2 9 4 2" xfId="24974" xr:uid="{00000000-0005-0000-0000-000048360000}"/>
    <cellStyle name="40% - Accent3 2 9 5" xfId="20842" xr:uid="{00000000-0005-0000-0000-000049360000}"/>
    <cellStyle name="40% - Accent3 20" xfId="3520" xr:uid="{00000000-0005-0000-0000-00004A360000}"/>
    <cellStyle name="40% - Accent3 20 2" xfId="3521" xr:uid="{00000000-0005-0000-0000-00004B360000}"/>
    <cellStyle name="40% - Accent3 20 2 2" xfId="12822" xr:uid="{00000000-0005-0000-0000-00004C360000}"/>
    <cellStyle name="40% - Accent3 20 2 2 2" xfId="26534" xr:uid="{00000000-0005-0000-0000-00004D360000}"/>
    <cellStyle name="40% - Accent3 20 2 3" xfId="20846" xr:uid="{00000000-0005-0000-0000-00004E360000}"/>
    <cellStyle name="40% - Accent3 20 3" xfId="3522" xr:uid="{00000000-0005-0000-0000-00004F360000}"/>
    <cellStyle name="40% - Accent3 20 3 2" xfId="15210" xr:uid="{00000000-0005-0000-0000-000050360000}"/>
    <cellStyle name="40% - Accent3 20 3 2 2" xfId="28759" xr:uid="{00000000-0005-0000-0000-000051360000}"/>
    <cellStyle name="40% - Accent3 20 3 3" xfId="20847" xr:uid="{00000000-0005-0000-0000-000052360000}"/>
    <cellStyle name="40% - Accent3 20 4" xfId="10511" xr:uid="{00000000-0005-0000-0000-000053360000}"/>
    <cellStyle name="40% - Accent3 20 4 2" xfId="24459" xr:uid="{00000000-0005-0000-0000-000054360000}"/>
    <cellStyle name="40% - Accent3 20 5" xfId="20845" xr:uid="{00000000-0005-0000-0000-000055360000}"/>
    <cellStyle name="40% - Accent3 21" xfId="3523" xr:uid="{00000000-0005-0000-0000-000056360000}"/>
    <cellStyle name="40% - Accent3 21 2" xfId="3524" xr:uid="{00000000-0005-0000-0000-000057360000}"/>
    <cellStyle name="40% - Accent3 21 2 2" xfId="12823" xr:uid="{00000000-0005-0000-0000-000058360000}"/>
    <cellStyle name="40% - Accent3 21 2 2 2" xfId="26535" xr:uid="{00000000-0005-0000-0000-000059360000}"/>
    <cellStyle name="40% - Accent3 21 2 3" xfId="20849" xr:uid="{00000000-0005-0000-0000-00005A360000}"/>
    <cellStyle name="40% - Accent3 21 3" xfId="3525" xr:uid="{00000000-0005-0000-0000-00005B360000}"/>
    <cellStyle name="40% - Accent3 21 3 2" xfId="15211" xr:uid="{00000000-0005-0000-0000-00005C360000}"/>
    <cellStyle name="40% - Accent3 21 3 2 2" xfId="28760" xr:uid="{00000000-0005-0000-0000-00005D360000}"/>
    <cellStyle name="40% - Accent3 21 3 3" xfId="20850" xr:uid="{00000000-0005-0000-0000-00005E360000}"/>
    <cellStyle name="40% - Accent3 21 4" xfId="11021" xr:uid="{00000000-0005-0000-0000-00005F360000}"/>
    <cellStyle name="40% - Accent3 21 4 2" xfId="24963" xr:uid="{00000000-0005-0000-0000-000060360000}"/>
    <cellStyle name="40% - Accent3 21 5" xfId="20848" xr:uid="{00000000-0005-0000-0000-000061360000}"/>
    <cellStyle name="40% - Accent3 22" xfId="3526" xr:uid="{00000000-0005-0000-0000-000062360000}"/>
    <cellStyle name="40% - Accent3 22 2" xfId="11747" xr:uid="{00000000-0005-0000-0000-000063360000}"/>
    <cellStyle name="40% - Accent3 22 2 2" xfId="25462" xr:uid="{00000000-0005-0000-0000-000064360000}"/>
    <cellStyle name="40% - Accent3 22 3" xfId="20851" xr:uid="{00000000-0005-0000-0000-000065360000}"/>
    <cellStyle name="40% - Accent3 23" xfId="3527" xr:uid="{00000000-0005-0000-0000-000066360000}"/>
    <cellStyle name="40% - Accent3 23 2" xfId="12494" xr:uid="{00000000-0005-0000-0000-000067360000}"/>
    <cellStyle name="40% - Accent3 23 2 2" xfId="26206" xr:uid="{00000000-0005-0000-0000-000068360000}"/>
    <cellStyle name="40% - Accent3 23 3" xfId="20852" xr:uid="{00000000-0005-0000-0000-000069360000}"/>
    <cellStyle name="40% - Accent3 24" xfId="3528" xr:uid="{00000000-0005-0000-0000-00006A360000}"/>
    <cellStyle name="40% - Accent3 24 2" xfId="13386" xr:uid="{00000000-0005-0000-0000-00006B360000}"/>
    <cellStyle name="40% - Accent3 24 2 2" xfId="26935" xr:uid="{00000000-0005-0000-0000-00006C360000}"/>
    <cellStyle name="40% - Accent3 24 3" xfId="20853" xr:uid="{00000000-0005-0000-0000-00006D360000}"/>
    <cellStyle name="40% - Accent3 25" xfId="3529" xr:uid="{00000000-0005-0000-0000-00006E360000}"/>
    <cellStyle name="40% - Accent3 25 2" xfId="13967" xr:uid="{00000000-0005-0000-0000-00006F360000}"/>
    <cellStyle name="40% - Accent3 25 2 2" xfId="27516" xr:uid="{00000000-0005-0000-0000-000070360000}"/>
    <cellStyle name="40% - Accent3 25 3" xfId="20854" xr:uid="{00000000-0005-0000-0000-000071360000}"/>
    <cellStyle name="40% - Accent3 26" xfId="3530" xr:uid="{00000000-0005-0000-0000-000072360000}"/>
    <cellStyle name="40% - Accent3 26 2" xfId="15168" xr:uid="{00000000-0005-0000-0000-000073360000}"/>
    <cellStyle name="40% - Accent3 26 2 2" xfId="28717" xr:uid="{00000000-0005-0000-0000-000074360000}"/>
    <cellStyle name="40% - Accent3 26 3" xfId="20855" xr:uid="{00000000-0005-0000-0000-000075360000}"/>
    <cellStyle name="40% - Accent3 27" xfId="3531" xr:uid="{00000000-0005-0000-0000-000076360000}"/>
    <cellStyle name="40% - Accent3 27 2" xfId="15833" xr:uid="{00000000-0005-0000-0000-000077360000}"/>
    <cellStyle name="40% - Accent3 27 2 2" xfId="29240" xr:uid="{00000000-0005-0000-0000-000078360000}"/>
    <cellStyle name="40% - Accent3 27 3" xfId="20856" xr:uid="{00000000-0005-0000-0000-000079360000}"/>
    <cellStyle name="40% - Accent3 28" xfId="3532" xr:uid="{00000000-0005-0000-0000-00007A360000}"/>
    <cellStyle name="40% - Accent3 28 2" xfId="15853" xr:uid="{00000000-0005-0000-0000-00007B360000}"/>
    <cellStyle name="40% - Accent3 28 2 2" xfId="29260" xr:uid="{00000000-0005-0000-0000-00007C360000}"/>
    <cellStyle name="40% - Accent3 28 3" xfId="20857" xr:uid="{00000000-0005-0000-0000-00007D360000}"/>
    <cellStyle name="40% - Accent3 29" xfId="3533" xr:uid="{00000000-0005-0000-0000-00007E360000}"/>
    <cellStyle name="40% - Accent3 29 2" xfId="9294" xr:uid="{00000000-0005-0000-0000-00007F360000}"/>
    <cellStyle name="40% - Accent3 29 2 2" xfId="23769" xr:uid="{00000000-0005-0000-0000-000080360000}"/>
    <cellStyle name="40% - Accent3 29 3" xfId="20858" xr:uid="{00000000-0005-0000-0000-000081360000}"/>
    <cellStyle name="40% - Accent3 3" xfId="3534" xr:uid="{00000000-0005-0000-0000-000082360000}"/>
    <cellStyle name="40% - Accent3 3 10" xfId="3535" xr:uid="{00000000-0005-0000-0000-000083360000}"/>
    <cellStyle name="40% - Accent3 3 10 2" xfId="14044" xr:uid="{00000000-0005-0000-0000-000084360000}"/>
    <cellStyle name="40% - Accent3 3 10 2 2" xfId="27593" xr:uid="{00000000-0005-0000-0000-000085360000}"/>
    <cellStyle name="40% - Accent3 3 10 3" xfId="20860" xr:uid="{00000000-0005-0000-0000-000086360000}"/>
    <cellStyle name="40% - Accent3 3 11" xfId="3536" xr:uid="{00000000-0005-0000-0000-000087360000}"/>
    <cellStyle name="40% - Accent3 3 11 2" xfId="15212" xr:uid="{00000000-0005-0000-0000-000088360000}"/>
    <cellStyle name="40% - Accent3 3 11 2 2" xfId="28761" xr:uid="{00000000-0005-0000-0000-000089360000}"/>
    <cellStyle name="40% - Accent3 3 11 3" xfId="20861" xr:uid="{00000000-0005-0000-0000-00008A360000}"/>
    <cellStyle name="40% - Accent3 3 12" xfId="3537" xr:uid="{00000000-0005-0000-0000-00008B360000}"/>
    <cellStyle name="40% - Accent3 3 12 2" xfId="15930" xr:uid="{00000000-0005-0000-0000-00008C360000}"/>
    <cellStyle name="40% - Accent3 3 12 2 2" xfId="29337" xr:uid="{00000000-0005-0000-0000-00008D360000}"/>
    <cellStyle name="40% - Accent3 3 12 3" xfId="20862" xr:uid="{00000000-0005-0000-0000-00008E360000}"/>
    <cellStyle name="40% - Accent3 3 13" xfId="9324" xr:uid="{00000000-0005-0000-0000-00008F360000}"/>
    <cellStyle name="40% - Accent3 3 13 2" xfId="23799" xr:uid="{00000000-0005-0000-0000-000090360000}"/>
    <cellStyle name="40% - Accent3 3 14" xfId="20859" xr:uid="{00000000-0005-0000-0000-000091360000}"/>
    <cellStyle name="40% - Accent3 3 2" xfId="3538" xr:uid="{00000000-0005-0000-0000-000092360000}"/>
    <cellStyle name="40% - Accent3 3 2 10" xfId="3539" xr:uid="{00000000-0005-0000-0000-000093360000}"/>
    <cellStyle name="40% - Accent3 3 2 10 2" xfId="16073" xr:uid="{00000000-0005-0000-0000-000094360000}"/>
    <cellStyle name="40% - Accent3 3 2 10 2 2" xfId="29480" xr:uid="{00000000-0005-0000-0000-000095360000}"/>
    <cellStyle name="40% - Accent3 3 2 10 3" xfId="20864" xr:uid="{00000000-0005-0000-0000-000096360000}"/>
    <cellStyle name="40% - Accent3 3 2 11" xfId="9325" xr:uid="{00000000-0005-0000-0000-000097360000}"/>
    <cellStyle name="40% - Accent3 3 2 11 2" xfId="23800" xr:uid="{00000000-0005-0000-0000-000098360000}"/>
    <cellStyle name="40% - Accent3 3 2 12" xfId="20863" xr:uid="{00000000-0005-0000-0000-000099360000}"/>
    <cellStyle name="40% - Accent3 3 2 2" xfId="3540" xr:uid="{00000000-0005-0000-0000-00009A360000}"/>
    <cellStyle name="40% - Accent3 3 2 2 10" xfId="9326" xr:uid="{00000000-0005-0000-0000-00009B360000}"/>
    <cellStyle name="40% - Accent3 3 2 2 10 2" xfId="23801" xr:uid="{00000000-0005-0000-0000-00009C360000}"/>
    <cellStyle name="40% - Accent3 3 2 2 11" xfId="20865" xr:uid="{00000000-0005-0000-0000-00009D360000}"/>
    <cellStyle name="40% - Accent3 3 2 2 2" xfId="3541" xr:uid="{00000000-0005-0000-0000-00009E360000}"/>
    <cellStyle name="40% - Accent3 3 2 2 2 2" xfId="3542" xr:uid="{00000000-0005-0000-0000-00009F360000}"/>
    <cellStyle name="40% - Accent3 3 2 2 2 2 2" xfId="11054" xr:uid="{00000000-0005-0000-0000-0000A0360000}"/>
    <cellStyle name="40% - Accent3 3 2 2 2 2 2 2" xfId="24996" xr:uid="{00000000-0005-0000-0000-0000A1360000}"/>
    <cellStyle name="40% - Accent3 3 2 2 2 2 3" xfId="20867" xr:uid="{00000000-0005-0000-0000-0000A2360000}"/>
    <cellStyle name="40% - Accent3 3 2 2 2 3" xfId="3543" xr:uid="{00000000-0005-0000-0000-0000A3360000}"/>
    <cellStyle name="40% - Accent3 3 2 2 2 3 2" xfId="12827" xr:uid="{00000000-0005-0000-0000-0000A4360000}"/>
    <cellStyle name="40% - Accent3 3 2 2 2 3 2 2" xfId="26539" xr:uid="{00000000-0005-0000-0000-0000A5360000}"/>
    <cellStyle name="40% - Accent3 3 2 2 2 3 3" xfId="20868" xr:uid="{00000000-0005-0000-0000-0000A6360000}"/>
    <cellStyle name="40% - Accent3 3 2 2 2 4" xfId="3544" xr:uid="{00000000-0005-0000-0000-0000A7360000}"/>
    <cellStyle name="40% - Accent3 3 2 2 2 4 2" xfId="15215" xr:uid="{00000000-0005-0000-0000-0000A8360000}"/>
    <cellStyle name="40% - Accent3 3 2 2 2 4 2 2" xfId="28764" xr:uid="{00000000-0005-0000-0000-0000A9360000}"/>
    <cellStyle name="40% - Accent3 3 2 2 2 4 3" xfId="20869" xr:uid="{00000000-0005-0000-0000-0000AA360000}"/>
    <cellStyle name="40% - Accent3 3 2 2 2 5" xfId="3545" xr:uid="{00000000-0005-0000-0000-0000AB360000}"/>
    <cellStyle name="40% - Accent3 3 2 2 2 5 2" xfId="16943" xr:uid="{00000000-0005-0000-0000-0000AC360000}"/>
    <cellStyle name="40% - Accent3 3 2 2 2 5 2 2" xfId="30350" xr:uid="{00000000-0005-0000-0000-0000AD360000}"/>
    <cellStyle name="40% - Accent3 3 2 2 2 5 3" xfId="20870" xr:uid="{00000000-0005-0000-0000-0000AE360000}"/>
    <cellStyle name="40% - Accent3 3 2 2 2 6" xfId="9327" xr:uid="{00000000-0005-0000-0000-0000AF360000}"/>
    <cellStyle name="40% - Accent3 3 2 2 2 6 2" xfId="23802" xr:uid="{00000000-0005-0000-0000-0000B0360000}"/>
    <cellStyle name="40% - Accent3 3 2 2 2 7" xfId="20866" xr:uid="{00000000-0005-0000-0000-0000B1360000}"/>
    <cellStyle name="40% - Accent3 3 2 2 3" xfId="3546" xr:uid="{00000000-0005-0000-0000-0000B2360000}"/>
    <cellStyle name="40% - Accent3 3 2 2 3 2" xfId="3547" xr:uid="{00000000-0005-0000-0000-0000B3360000}"/>
    <cellStyle name="40% - Accent3 3 2 2 3 2 2" xfId="15216" xr:uid="{00000000-0005-0000-0000-0000B4360000}"/>
    <cellStyle name="40% - Accent3 3 2 2 3 2 2 2" xfId="28765" xr:uid="{00000000-0005-0000-0000-0000B5360000}"/>
    <cellStyle name="40% - Accent3 3 2 2 3 2 3" xfId="20872" xr:uid="{00000000-0005-0000-0000-0000B6360000}"/>
    <cellStyle name="40% - Accent3 3 2 2 3 3" xfId="11053" xr:uid="{00000000-0005-0000-0000-0000B7360000}"/>
    <cellStyle name="40% - Accent3 3 2 2 3 3 2" xfId="24995" xr:uid="{00000000-0005-0000-0000-0000B8360000}"/>
    <cellStyle name="40% - Accent3 3 2 2 3 4" xfId="20871" xr:uid="{00000000-0005-0000-0000-0000B9360000}"/>
    <cellStyle name="40% - Accent3 3 2 2 4" xfId="3548" xr:uid="{00000000-0005-0000-0000-0000BA360000}"/>
    <cellStyle name="40% - Accent3 3 2 2 4 2" xfId="12331" xr:uid="{00000000-0005-0000-0000-0000BB360000}"/>
    <cellStyle name="40% - Accent3 3 2 2 4 2 2" xfId="26043" xr:uid="{00000000-0005-0000-0000-0000BC360000}"/>
    <cellStyle name="40% - Accent3 3 2 2 4 3" xfId="20873" xr:uid="{00000000-0005-0000-0000-0000BD360000}"/>
    <cellStyle name="40% - Accent3 3 2 2 5" xfId="3549" xr:uid="{00000000-0005-0000-0000-0000BE360000}"/>
    <cellStyle name="40% - Accent3 3 2 2 5 2" xfId="12826" xr:uid="{00000000-0005-0000-0000-0000BF360000}"/>
    <cellStyle name="40% - Accent3 3 2 2 5 2 2" xfId="26538" xr:uid="{00000000-0005-0000-0000-0000C0360000}"/>
    <cellStyle name="40% - Accent3 3 2 2 5 3" xfId="20874" xr:uid="{00000000-0005-0000-0000-0000C1360000}"/>
    <cellStyle name="40% - Accent3 3 2 2 6" xfId="3550" xr:uid="{00000000-0005-0000-0000-0000C2360000}"/>
    <cellStyle name="40% - Accent3 3 2 2 6 2" xfId="13895" xr:uid="{00000000-0005-0000-0000-0000C3360000}"/>
    <cellStyle name="40% - Accent3 3 2 2 6 2 2" xfId="27444" xr:uid="{00000000-0005-0000-0000-0000C4360000}"/>
    <cellStyle name="40% - Accent3 3 2 2 6 3" xfId="20875" xr:uid="{00000000-0005-0000-0000-0000C5360000}"/>
    <cellStyle name="40% - Accent3 3 2 2 7" xfId="3551" xr:uid="{00000000-0005-0000-0000-0000C6360000}"/>
    <cellStyle name="40% - Accent3 3 2 2 7 2" xfId="14476" xr:uid="{00000000-0005-0000-0000-0000C7360000}"/>
    <cellStyle name="40% - Accent3 3 2 2 7 2 2" xfId="28025" xr:uid="{00000000-0005-0000-0000-0000C8360000}"/>
    <cellStyle name="40% - Accent3 3 2 2 7 3" xfId="20876" xr:uid="{00000000-0005-0000-0000-0000C9360000}"/>
    <cellStyle name="40% - Accent3 3 2 2 8" xfId="3552" xr:uid="{00000000-0005-0000-0000-0000CA360000}"/>
    <cellStyle name="40% - Accent3 3 2 2 8 2" xfId="15214" xr:uid="{00000000-0005-0000-0000-0000CB360000}"/>
    <cellStyle name="40% - Accent3 3 2 2 8 2 2" xfId="28763" xr:uid="{00000000-0005-0000-0000-0000CC360000}"/>
    <cellStyle name="40% - Accent3 3 2 2 8 3" xfId="20877" xr:uid="{00000000-0005-0000-0000-0000CD360000}"/>
    <cellStyle name="40% - Accent3 3 2 2 9" xfId="3553" xr:uid="{00000000-0005-0000-0000-0000CE360000}"/>
    <cellStyle name="40% - Accent3 3 2 2 9 2" xfId="16362" xr:uid="{00000000-0005-0000-0000-0000CF360000}"/>
    <cellStyle name="40% - Accent3 3 2 2 9 2 2" xfId="29769" xr:uid="{00000000-0005-0000-0000-0000D0360000}"/>
    <cellStyle name="40% - Accent3 3 2 2 9 3" xfId="20878" xr:uid="{00000000-0005-0000-0000-0000D1360000}"/>
    <cellStyle name="40% - Accent3 3 2 3" xfId="3554" xr:uid="{00000000-0005-0000-0000-0000D2360000}"/>
    <cellStyle name="40% - Accent3 3 2 3 2" xfId="3555" xr:uid="{00000000-0005-0000-0000-0000D3360000}"/>
    <cellStyle name="40% - Accent3 3 2 3 2 2" xfId="11055" xr:uid="{00000000-0005-0000-0000-0000D4360000}"/>
    <cellStyle name="40% - Accent3 3 2 3 2 2 2" xfId="24997" xr:uid="{00000000-0005-0000-0000-0000D5360000}"/>
    <cellStyle name="40% - Accent3 3 2 3 2 3" xfId="20880" xr:uid="{00000000-0005-0000-0000-0000D6360000}"/>
    <cellStyle name="40% - Accent3 3 2 3 3" xfId="3556" xr:uid="{00000000-0005-0000-0000-0000D7360000}"/>
    <cellStyle name="40% - Accent3 3 2 3 3 2" xfId="12828" xr:uid="{00000000-0005-0000-0000-0000D8360000}"/>
    <cellStyle name="40% - Accent3 3 2 3 3 2 2" xfId="26540" xr:uid="{00000000-0005-0000-0000-0000D9360000}"/>
    <cellStyle name="40% - Accent3 3 2 3 3 3" xfId="20881" xr:uid="{00000000-0005-0000-0000-0000DA360000}"/>
    <cellStyle name="40% - Accent3 3 2 3 4" xfId="3557" xr:uid="{00000000-0005-0000-0000-0000DB360000}"/>
    <cellStyle name="40% - Accent3 3 2 3 4 2" xfId="15217" xr:uid="{00000000-0005-0000-0000-0000DC360000}"/>
    <cellStyle name="40% - Accent3 3 2 3 4 2 2" xfId="28766" xr:uid="{00000000-0005-0000-0000-0000DD360000}"/>
    <cellStyle name="40% - Accent3 3 2 3 4 3" xfId="20882" xr:uid="{00000000-0005-0000-0000-0000DE360000}"/>
    <cellStyle name="40% - Accent3 3 2 3 5" xfId="3558" xr:uid="{00000000-0005-0000-0000-0000DF360000}"/>
    <cellStyle name="40% - Accent3 3 2 3 5 2" xfId="16654" xr:uid="{00000000-0005-0000-0000-0000E0360000}"/>
    <cellStyle name="40% - Accent3 3 2 3 5 2 2" xfId="30061" xr:uid="{00000000-0005-0000-0000-0000E1360000}"/>
    <cellStyle name="40% - Accent3 3 2 3 5 3" xfId="20883" xr:uid="{00000000-0005-0000-0000-0000E2360000}"/>
    <cellStyle name="40% - Accent3 3 2 3 6" xfId="9328" xr:uid="{00000000-0005-0000-0000-0000E3360000}"/>
    <cellStyle name="40% - Accent3 3 2 3 6 2" xfId="23803" xr:uid="{00000000-0005-0000-0000-0000E4360000}"/>
    <cellStyle name="40% - Accent3 3 2 3 7" xfId="20879" xr:uid="{00000000-0005-0000-0000-0000E5360000}"/>
    <cellStyle name="40% - Accent3 3 2 4" xfId="3559" xr:uid="{00000000-0005-0000-0000-0000E6360000}"/>
    <cellStyle name="40% - Accent3 3 2 4 2" xfId="3560" xr:uid="{00000000-0005-0000-0000-0000E7360000}"/>
    <cellStyle name="40% - Accent3 3 2 4 2 2" xfId="15218" xr:uid="{00000000-0005-0000-0000-0000E8360000}"/>
    <cellStyle name="40% - Accent3 3 2 4 2 2 2" xfId="28767" xr:uid="{00000000-0005-0000-0000-0000E9360000}"/>
    <cellStyle name="40% - Accent3 3 2 4 2 3" xfId="20885" xr:uid="{00000000-0005-0000-0000-0000EA360000}"/>
    <cellStyle name="40% - Accent3 3 2 4 3" xfId="11052" xr:uid="{00000000-0005-0000-0000-0000EB360000}"/>
    <cellStyle name="40% - Accent3 3 2 4 3 2" xfId="24994" xr:uid="{00000000-0005-0000-0000-0000EC360000}"/>
    <cellStyle name="40% - Accent3 3 2 4 4" xfId="20884" xr:uid="{00000000-0005-0000-0000-0000ED360000}"/>
    <cellStyle name="40% - Accent3 3 2 5" xfId="3561" xr:uid="{00000000-0005-0000-0000-0000EE360000}"/>
    <cellStyle name="40% - Accent3 3 2 5 2" xfId="12031" xr:uid="{00000000-0005-0000-0000-0000EF360000}"/>
    <cellStyle name="40% - Accent3 3 2 5 2 2" xfId="25746" xr:uid="{00000000-0005-0000-0000-0000F0360000}"/>
    <cellStyle name="40% - Accent3 3 2 5 3" xfId="20886" xr:uid="{00000000-0005-0000-0000-0000F1360000}"/>
    <cellStyle name="40% - Accent3 3 2 6" xfId="3562" xr:uid="{00000000-0005-0000-0000-0000F2360000}"/>
    <cellStyle name="40% - Accent3 3 2 6 2" xfId="12825" xr:uid="{00000000-0005-0000-0000-0000F3360000}"/>
    <cellStyle name="40% - Accent3 3 2 6 2 2" xfId="26537" xr:uid="{00000000-0005-0000-0000-0000F4360000}"/>
    <cellStyle name="40% - Accent3 3 2 6 3" xfId="20887" xr:uid="{00000000-0005-0000-0000-0000F5360000}"/>
    <cellStyle name="40% - Accent3 3 2 7" xfId="3563" xr:uid="{00000000-0005-0000-0000-0000F6360000}"/>
    <cellStyle name="40% - Accent3 3 2 7 2" xfId="13606" xr:uid="{00000000-0005-0000-0000-0000F7360000}"/>
    <cellStyle name="40% - Accent3 3 2 7 2 2" xfId="27155" xr:uid="{00000000-0005-0000-0000-0000F8360000}"/>
    <cellStyle name="40% - Accent3 3 2 7 3" xfId="20888" xr:uid="{00000000-0005-0000-0000-0000F9360000}"/>
    <cellStyle name="40% - Accent3 3 2 8" xfId="3564" xr:uid="{00000000-0005-0000-0000-0000FA360000}"/>
    <cellStyle name="40% - Accent3 3 2 8 2" xfId="14187" xr:uid="{00000000-0005-0000-0000-0000FB360000}"/>
    <cellStyle name="40% - Accent3 3 2 8 2 2" xfId="27736" xr:uid="{00000000-0005-0000-0000-0000FC360000}"/>
    <cellStyle name="40% - Accent3 3 2 8 3" xfId="20889" xr:uid="{00000000-0005-0000-0000-0000FD360000}"/>
    <cellStyle name="40% - Accent3 3 2 9" xfId="3565" xr:uid="{00000000-0005-0000-0000-0000FE360000}"/>
    <cellStyle name="40% - Accent3 3 2 9 2" xfId="15213" xr:uid="{00000000-0005-0000-0000-0000FF360000}"/>
    <cellStyle name="40% - Accent3 3 2 9 2 2" xfId="28762" xr:uid="{00000000-0005-0000-0000-000000370000}"/>
    <cellStyle name="40% - Accent3 3 2 9 3" xfId="20890" xr:uid="{00000000-0005-0000-0000-000001370000}"/>
    <cellStyle name="40% - Accent3 3 3" xfId="3566" xr:uid="{00000000-0005-0000-0000-000002370000}"/>
    <cellStyle name="40% - Accent3 3 3 10" xfId="9329" xr:uid="{00000000-0005-0000-0000-000003370000}"/>
    <cellStyle name="40% - Accent3 3 3 10 2" xfId="23804" xr:uid="{00000000-0005-0000-0000-000004370000}"/>
    <cellStyle name="40% - Accent3 3 3 11" xfId="20891" xr:uid="{00000000-0005-0000-0000-000005370000}"/>
    <cellStyle name="40% - Accent3 3 3 2" xfId="3567" xr:uid="{00000000-0005-0000-0000-000006370000}"/>
    <cellStyle name="40% - Accent3 3 3 2 2" xfId="3568" xr:uid="{00000000-0005-0000-0000-000007370000}"/>
    <cellStyle name="40% - Accent3 3 3 2 2 2" xfId="11057" xr:uid="{00000000-0005-0000-0000-000008370000}"/>
    <cellStyle name="40% - Accent3 3 3 2 2 2 2" xfId="24999" xr:uid="{00000000-0005-0000-0000-000009370000}"/>
    <cellStyle name="40% - Accent3 3 3 2 2 3" xfId="20893" xr:uid="{00000000-0005-0000-0000-00000A370000}"/>
    <cellStyle name="40% - Accent3 3 3 2 3" xfId="3569" xr:uid="{00000000-0005-0000-0000-00000B370000}"/>
    <cellStyle name="40% - Accent3 3 3 2 3 2" xfId="12830" xr:uid="{00000000-0005-0000-0000-00000C370000}"/>
    <cellStyle name="40% - Accent3 3 3 2 3 2 2" xfId="26542" xr:uid="{00000000-0005-0000-0000-00000D370000}"/>
    <cellStyle name="40% - Accent3 3 3 2 3 3" xfId="20894" xr:uid="{00000000-0005-0000-0000-00000E370000}"/>
    <cellStyle name="40% - Accent3 3 3 2 4" xfId="3570" xr:uid="{00000000-0005-0000-0000-00000F370000}"/>
    <cellStyle name="40% - Accent3 3 3 2 4 2" xfId="15220" xr:uid="{00000000-0005-0000-0000-000010370000}"/>
    <cellStyle name="40% - Accent3 3 3 2 4 2 2" xfId="28769" xr:uid="{00000000-0005-0000-0000-000011370000}"/>
    <cellStyle name="40% - Accent3 3 3 2 4 3" xfId="20895" xr:uid="{00000000-0005-0000-0000-000012370000}"/>
    <cellStyle name="40% - Accent3 3 3 2 5" xfId="3571" xr:uid="{00000000-0005-0000-0000-000013370000}"/>
    <cellStyle name="40% - Accent3 3 3 2 5 2" xfId="16800" xr:uid="{00000000-0005-0000-0000-000014370000}"/>
    <cellStyle name="40% - Accent3 3 3 2 5 2 2" xfId="30207" xr:uid="{00000000-0005-0000-0000-000015370000}"/>
    <cellStyle name="40% - Accent3 3 3 2 5 3" xfId="20896" xr:uid="{00000000-0005-0000-0000-000016370000}"/>
    <cellStyle name="40% - Accent3 3 3 2 6" xfId="9330" xr:uid="{00000000-0005-0000-0000-000017370000}"/>
    <cellStyle name="40% - Accent3 3 3 2 6 2" xfId="23805" xr:uid="{00000000-0005-0000-0000-000018370000}"/>
    <cellStyle name="40% - Accent3 3 3 2 7" xfId="20892" xr:uid="{00000000-0005-0000-0000-000019370000}"/>
    <cellStyle name="40% - Accent3 3 3 3" xfId="3572" xr:uid="{00000000-0005-0000-0000-00001A370000}"/>
    <cellStyle name="40% - Accent3 3 3 3 2" xfId="3573" xr:uid="{00000000-0005-0000-0000-00001B370000}"/>
    <cellStyle name="40% - Accent3 3 3 3 2 2" xfId="15221" xr:uid="{00000000-0005-0000-0000-00001C370000}"/>
    <cellStyle name="40% - Accent3 3 3 3 2 2 2" xfId="28770" xr:uid="{00000000-0005-0000-0000-00001D370000}"/>
    <cellStyle name="40% - Accent3 3 3 3 2 3" xfId="20898" xr:uid="{00000000-0005-0000-0000-00001E370000}"/>
    <cellStyle name="40% - Accent3 3 3 3 3" xfId="11056" xr:uid="{00000000-0005-0000-0000-00001F370000}"/>
    <cellStyle name="40% - Accent3 3 3 3 3 2" xfId="24998" xr:uid="{00000000-0005-0000-0000-000020370000}"/>
    <cellStyle name="40% - Accent3 3 3 3 4" xfId="20897" xr:uid="{00000000-0005-0000-0000-000021370000}"/>
    <cellStyle name="40% - Accent3 3 3 4" xfId="3574" xr:uid="{00000000-0005-0000-0000-000022370000}"/>
    <cellStyle name="40% - Accent3 3 3 4 2" xfId="12188" xr:uid="{00000000-0005-0000-0000-000023370000}"/>
    <cellStyle name="40% - Accent3 3 3 4 2 2" xfId="25900" xr:uid="{00000000-0005-0000-0000-000024370000}"/>
    <cellStyle name="40% - Accent3 3 3 4 3" xfId="20899" xr:uid="{00000000-0005-0000-0000-000025370000}"/>
    <cellStyle name="40% - Accent3 3 3 5" xfId="3575" xr:uid="{00000000-0005-0000-0000-000026370000}"/>
    <cellStyle name="40% - Accent3 3 3 5 2" xfId="12829" xr:uid="{00000000-0005-0000-0000-000027370000}"/>
    <cellStyle name="40% - Accent3 3 3 5 2 2" xfId="26541" xr:uid="{00000000-0005-0000-0000-000028370000}"/>
    <cellStyle name="40% - Accent3 3 3 5 3" xfId="20900" xr:uid="{00000000-0005-0000-0000-000029370000}"/>
    <cellStyle name="40% - Accent3 3 3 6" xfId="3576" xr:uid="{00000000-0005-0000-0000-00002A370000}"/>
    <cellStyle name="40% - Accent3 3 3 6 2" xfId="13752" xr:uid="{00000000-0005-0000-0000-00002B370000}"/>
    <cellStyle name="40% - Accent3 3 3 6 2 2" xfId="27301" xr:uid="{00000000-0005-0000-0000-00002C370000}"/>
    <cellStyle name="40% - Accent3 3 3 6 3" xfId="20901" xr:uid="{00000000-0005-0000-0000-00002D370000}"/>
    <cellStyle name="40% - Accent3 3 3 7" xfId="3577" xr:uid="{00000000-0005-0000-0000-00002E370000}"/>
    <cellStyle name="40% - Accent3 3 3 7 2" xfId="14333" xr:uid="{00000000-0005-0000-0000-00002F370000}"/>
    <cellStyle name="40% - Accent3 3 3 7 2 2" xfId="27882" xr:uid="{00000000-0005-0000-0000-000030370000}"/>
    <cellStyle name="40% - Accent3 3 3 7 3" xfId="20902" xr:uid="{00000000-0005-0000-0000-000031370000}"/>
    <cellStyle name="40% - Accent3 3 3 8" xfId="3578" xr:uid="{00000000-0005-0000-0000-000032370000}"/>
    <cellStyle name="40% - Accent3 3 3 8 2" xfId="15219" xr:uid="{00000000-0005-0000-0000-000033370000}"/>
    <cellStyle name="40% - Accent3 3 3 8 2 2" xfId="28768" xr:uid="{00000000-0005-0000-0000-000034370000}"/>
    <cellStyle name="40% - Accent3 3 3 8 3" xfId="20903" xr:uid="{00000000-0005-0000-0000-000035370000}"/>
    <cellStyle name="40% - Accent3 3 3 9" xfId="3579" xr:uid="{00000000-0005-0000-0000-000036370000}"/>
    <cellStyle name="40% - Accent3 3 3 9 2" xfId="16219" xr:uid="{00000000-0005-0000-0000-000037370000}"/>
    <cellStyle name="40% - Accent3 3 3 9 2 2" xfId="29626" xr:uid="{00000000-0005-0000-0000-000038370000}"/>
    <cellStyle name="40% - Accent3 3 3 9 3" xfId="20904" xr:uid="{00000000-0005-0000-0000-000039370000}"/>
    <cellStyle name="40% - Accent3 3 4" xfId="3580" xr:uid="{00000000-0005-0000-0000-00003A370000}"/>
    <cellStyle name="40% - Accent3 3 4 2" xfId="3581" xr:uid="{00000000-0005-0000-0000-00003B370000}"/>
    <cellStyle name="40% - Accent3 3 4 2 2" xfId="11058" xr:uid="{00000000-0005-0000-0000-00003C370000}"/>
    <cellStyle name="40% - Accent3 3 4 2 2 2" xfId="25000" xr:uid="{00000000-0005-0000-0000-00003D370000}"/>
    <cellStyle name="40% - Accent3 3 4 2 3" xfId="20906" xr:uid="{00000000-0005-0000-0000-00003E370000}"/>
    <cellStyle name="40% - Accent3 3 4 3" xfId="3582" xr:uid="{00000000-0005-0000-0000-00003F370000}"/>
    <cellStyle name="40% - Accent3 3 4 3 2" xfId="12831" xr:uid="{00000000-0005-0000-0000-000040370000}"/>
    <cellStyle name="40% - Accent3 3 4 3 2 2" xfId="26543" xr:uid="{00000000-0005-0000-0000-000041370000}"/>
    <cellStyle name="40% - Accent3 3 4 3 3" xfId="20907" xr:uid="{00000000-0005-0000-0000-000042370000}"/>
    <cellStyle name="40% - Accent3 3 4 4" xfId="3583" xr:uid="{00000000-0005-0000-0000-000043370000}"/>
    <cellStyle name="40% - Accent3 3 4 4 2" xfId="15222" xr:uid="{00000000-0005-0000-0000-000044370000}"/>
    <cellStyle name="40% - Accent3 3 4 4 2 2" xfId="28771" xr:uid="{00000000-0005-0000-0000-000045370000}"/>
    <cellStyle name="40% - Accent3 3 4 4 3" xfId="20908" xr:uid="{00000000-0005-0000-0000-000046370000}"/>
    <cellStyle name="40% - Accent3 3 4 5" xfId="3584" xr:uid="{00000000-0005-0000-0000-000047370000}"/>
    <cellStyle name="40% - Accent3 3 4 5 2" xfId="17147" xr:uid="{00000000-0005-0000-0000-000048370000}"/>
    <cellStyle name="40% - Accent3 3 4 5 2 2" xfId="30506" xr:uid="{00000000-0005-0000-0000-000049370000}"/>
    <cellStyle name="40% - Accent3 3 4 5 3" xfId="20909" xr:uid="{00000000-0005-0000-0000-00004A370000}"/>
    <cellStyle name="40% - Accent3 3 4 6" xfId="9331" xr:uid="{00000000-0005-0000-0000-00004B370000}"/>
    <cellStyle name="40% - Accent3 3 4 6 2" xfId="23806" xr:uid="{00000000-0005-0000-0000-00004C370000}"/>
    <cellStyle name="40% - Accent3 3 4 7" xfId="20905" xr:uid="{00000000-0005-0000-0000-00004D370000}"/>
    <cellStyle name="40% - Accent3 3 5" xfId="3585" xr:uid="{00000000-0005-0000-0000-00004E370000}"/>
    <cellStyle name="40% - Accent3 3 5 2" xfId="3586" xr:uid="{00000000-0005-0000-0000-00004F370000}"/>
    <cellStyle name="40% - Accent3 3 5 2 2" xfId="11059" xr:uid="{00000000-0005-0000-0000-000050370000}"/>
    <cellStyle name="40% - Accent3 3 5 2 2 2" xfId="25001" xr:uid="{00000000-0005-0000-0000-000051370000}"/>
    <cellStyle name="40% - Accent3 3 5 2 3" xfId="20911" xr:uid="{00000000-0005-0000-0000-000052370000}"/>
    <cellStyle name="40% - Accent3 3 5 3" xfId="3587" xr:uid="{00000000-0005-0000-0000-000053370000}"/>
    <cellStyle name="40% - Accent3 3 5 3 2" xfId="12832" xr:uid="{00000000-0005-0000-0000-000054370000}"/>
    <cellStyle name="40% - Accent3 3 5 3 2 2" xfId="26544" xr:uid="{00000000-0005-0000-0000-000055370000}"/>
    <cellStyle name="40% - Accent3 3 5 3 3" xfId="20912" xr:uid="{00000000-0005-0000-0000-000056370000}"/>
    <cellStyle name="40% - Accent3 3 5 4" xfId="3588" xr:uid="{00000000-0005-0000-0000-000057370000}"/>
    <cellStyle name="40% - Accent3 3 5 4 2" xfId="15223" xr:uid="{00000000-0005-0000-0000-000058370000}"/>
    <cellStyle name="40% - Accent3 3 5 4 2 2" xfId="28772" xr:uid="{00000000-0005-0000-0000-000059370000}"/>
    <cellStyle name="40% - Accent3 3 5 4 3" xfId="20913" xr:uid="{00000000-0005-0000-0000-00005A370000}"/>
    <cellStyle name="40% - Accent3 3 5 5" xfId="3589" xr:uid="{00000000-0005-0000-0000-00005B370000}"/>
    <cellStyle name="40% - Accent3 3 5 5 2" xfId="17236" xr:uid="{00000000-0005-0000-0000-00005C370000}"/>
    <cellStyle name="40% - Accent3 3 5 5 2 2" xfId="30595" xr:uid="{00000000-0005-0000-0000-00005D370000}"/>
    <cellStyle name="40% - Accent3 3 5 5 3" xfId="20914" xr:uid="{00000000-0005-0000-0000-00005E370000}"/>
    <cellStyle name="40% - Accent3 3 5 6" xfId="9332" xr:uid="{00000000-0005-0000-0000-00005F370000}"/>
    <cellStyle name="40% - Accent3 3 5 6 2" xfId="23807" xr:uid="{00000000-0005-0000-0000-000060370000}"/>
    <cellStyle name="40% - Accent3 3 5 7" xfId="20910" xr:uid="{00000000-0005-0000-0000-000061370000}"/>
    <cellStyle name="40% - Accent3 3 6" xfId="3590" xr:uid="{00000000-0005-0000-0000-000062370000}"/>
    <cellStyle name="40% - Accent3 3 6 2" xfId="3591" xr:uid="{00000000-0005-0000-0000-000063370000}"/>
    <cellStyle name="40% - Accent3 3 6 2 2" xfId="15224" xr:uid="{00000000-0005-0000-0000-000064370000}"/>
    <cellStyle name="40% - Accent3 3 6 2 2 2" xfId="28773" xr:uid="{00000000-0005-0000-0000-000065370000}"/>
    <cellStyle name="40% - Accent3 3 6 2 3" xfId="20916" xr:uid="{00000000-0005-0000-0000-000066370000}"/>
    <cellStyle name="40% - Accent3 3 6 3" xfId="3592" xr:uid="{00000000-0005-0000-0000-000067370000}"/>
    <cellStyle name="40% - Accent3 3 6 3 2" xfId="16511" xr:uid="{00000000-0005-0000-0000-000068370000}"/>
    <cellStyle name="40% - Accent3 3 6 3 2 2" xfId="29918" xr:uid="{00000000-0005-0000-0000-000069370000}"/>
    <cellStyle name="40% - Accent3 3 6 3 3" xfId="20917" xr:uid="{00000000-0005-0000-0000-00006A370000}"/>
    <cellStyle name="40% - Accent3 3 6 4" xfId="11051" xr:uid="{00000000-0005-0000-0000-00006B370000}"/>
    <cellStyle name="40% - Accent3 3 6 4 2" xfId="24993" xr:uid="{00000000-0005-0000-0000-00006C370000}"/>
    <cellStyle name="40% - Accent3 3 6 5" xfId="20915" xr:uid="{00000000-0005-0000-0000-00006D370000}"/>
    <cellStyle name="40% - Accent3 3 7" xfId="3593" xr:uid="{00000000-0005-0000-0000-00006E370000}"/>
    <cellStyle name="40% - Accent3 3 7 2" xfId="11883" xr:uid="{00000000-0005-0000-0000-00006F370000}"/>
    <cellStyle name="40% - Accent3 3 7 2 2" xfId="25598" xr:uid="{00000000-0005-0000-0000-000070370000}"/>
    <cellStyle name="40% - Accent3 3 7 3" xfId="20918" xr:uid="{00000000-0005-0000-0000-000071370000}"/>
    <cellStyle name="40% - Accent3 3 8" xfId="3594" xr:uid="{00000000-0005-0000-0000-000072370000}"/>
    <cellStyle name="40% - Accent3 3 8 2" xfId="12824" xr:uid="{00000000-0005-0000-0000-000073370000}"/>
    <cellStyle name="40% - Accent3 3 8 2 2" xfId="26536" xr:uid="{00000000-0005-0000-0000-000074370000}"/>
    <cellStyle name="40% - Accent3 3 8 3" xfId="20919" xr:uid="{00000000-0005-0000-0000-000075370000}"/>
    <cellStyle name="40% - Accent3 3 9" xfId="3595" xr:uid="{00000000-0005-0000-0000-000076370000}"/>
    <cellStyle name="40% - Accent3 3 9 2" xfId="13463" xr:uid="{00000000-0005-0000-0000-000077370000}"/>
    <cellStyle name="40% - Accent3 3 9 2 2" xfId="27012" xr:uid="{00000000-0005-0000-0000-000078370000}"/>
    <cellStyle name="40% - Accent3 3 9 3" xfId="20920" xr:uid="{00000000-0005-0000-0000-000079370000}"/>
    <cellStyle name="40% - Accent3 30" xfId="23254" xr:uid="{00000000-0005-0000-0000-00007A370000}"/>
    <cellStyle name="40% - Accent3 4" xfId="3596" xr:uid="{00000000-0005-0000-0000-00007B370000}"/>
    <cellStyle name="40% - Accent3 4 10" xfId="3597" xr:uid="{00000000-0005-0000-0000-00007C370000}"/>
    <cellStyle name="40% - Accent3 4 10 2" xfId="15225" xr:uid="{00000000-0005-0000-0000-00007D370000}"/>
    <cellStyle name="40% - Accent3 4 10 2 2" xfId="28774" xr:uid="{00000000-0005-0000-0000-00007E370000}"/>
    <cellStyle name="40% - Accent3 4 10 3" xfId="20922" xr:uid="{00000000-0005-0000-0000-00007F370000}"/>
    <cellStyle name="40% - Accent3 4 11" xfId="3598" xr:uid="{00000000-0005-0000-0000-000080370000}"/>
    <cellStyle name="40% - Accent3 4 11 2" xfId="15887" xr:uid="{00000000-0005-0000-0000-000081370000}"/>
    <cellStyle name="40% - Accent3 4 11 2 2" xfId="29294" xr:uid="{00000000-0005-0000-0000-000082370000}"/>
    <cellStyle name="40% - Accent3 4 11 3" xfId="20923" xr:uid="{00000000-0005-0000-0000-000083370000}"/>
    <cellStyle name="40% - Accent3 4 12" xfId="9333" xr:uid="{00000000-0005-0000-0000-000084370000}"/>
    <cellStyle name="40% - Accent3 4 12 2" xfId="23808" xr:uid="{00000000-0005-0000-0000-000085370000}"/>
    <cellStyle name="40% - Accent3 4 13" xfId="20921" xr:uid="{00000000-0005-0000-0000-000086370000}"/>
    <cellStyle name="40% - Accent3 4 2" xfId="3599" xr:uid="{00000000-0005-0000-0000-000087370000}"/>
    <cellStyle name="40% - Accent3 4 2 10" xfId="3600" xr:uid="{00000000-0005-0000-0000-000088370000}"/>
    <cellStyle name="40% - Accent3 4 2 10 2" xfId="16030" xr:uid="{00000000-0005-0000-0000-000089370000}"/>
    <cellStyle name="40% - Accent3 4 2 10 2 2" xfId="29437" xr:uid="{00000000-0005-0000-0000-00008A370000}"/>
    <cellStyle name="40% - Accent3 4 2 10 3" xfId="20925" xr:uid="{00000000-0005-0000-0000-00008B370000}"/>
    <cellStyle name="40% - Accent3 4 2 11" xfId="9334" xr:uid="{00000000-0005-0000-0000-00008C370000}"/>
    <cellStyle name="40% - Accent3 4 2 11 2" xfId="23809" xr:uid="{00000000-0005-0000-0000-00008D370000}"/>
    <cellStyle name="40% - Accent3 4 2 12" xfId="20924" xr:uid="{00000000-0005-0000-0000-00008E370000}"/>
    <cellStyle name="40% - Accent3 4 2 2" xfId="3601" xr:uid="{00000000-0005-0000-0000-00008F370000}"/>
    <cellStyle name="40% - Accent3 4 2 2 10" xfId="9335" xr:uid="{00000000-0005-0000-0000-000090370000}"/>
    <cellStyle name="40% - Accent3 4 2 2 10 2" xfId="23810" xr:uid="{00000000-0005-0000-0000-000091370000}"/>
    <cellStyle name="40% - Accent3 4 2 2 11" xfId="20926" xr:uid="{00000000-0005-0000-0000-000092370000}"/>
    <cellStyle name="40% - Accent3 4 2 2 2" xfId="3602" xr:uid="{00000000-0005-0000-0000-000093370000}"/>
    <cellStyle name="40% - Accent3 4 2 2 2 2" xfId="3603" xr:uid="{00000000-0005-0000-0000-000094370000}"/>
    <cellStyle name="40% - Accent3 4 2 2 2 2 2" xfId="11063" xr:uid="{00000000-0005-0000-0000-000095370000}"/>
    <cellStyle name="40% - Accent3 4 2 2 2 2 2 2" xfId="25005" xr:uid="{00000000-0005-0000-0000-000096370000}"/>
    <cellStyle name="40% - Accent3 4 2 2 2 2 3" xfId="20928" xr:uid="{00000000-0005-0000-0000-000097370000}"/>
    <cellStyle name="40% - Accent3 4 2 2 2 3" xfId="3604" xr:uid="{00000000-0005-0000-0000-000098370000}"/>
    <cellStyle name="40% - Accent3 4 2 2 2 3 2" xfId="12836" xr:uid="{00000000-0005-0000-0000-000099370000}"/>
    <cellStyle name="40% - Accent3 4 2 2 2 3 2 2" xfId="26548" xr:uid="{00000000-0005-0000-0000-00009A370000}"/>
    <cellStyle name="40% - Accent3 4 2 2 2 3 3" xfId="20929" xr:uid="{00000000-0005-0000-0000-00009B370000}"/>
    <cellStyle name="40% - Accent3 4 2 2 2 4" xfId="3605" xr:uid="{00000000-0005-0000-0000-00009C370000}"/>
    <cellStyle name="40% - Accent3 4 2 2 2 4 2" xfId="15228" xr:uid="{00000000-0005-0000-0000-00009D370000}"/>
    <cellStyle name="40% - Accent3 4 2 2 2 4 2 2" xfId="28777" xr:uid="{00000000-0005-0000-0000-00009E370000}"/>
    <cellStyle name="40% - Accent3 4 2 2 2 4 3" xfId="20930" xr:uid="{00000000-0005-0000-0000-00009F370000}"/>
    <cellStyle name="40% - Accent3 4 2 2 2 5" xfId="3606" xr:uid="{00000000-0005-0000-0000-0000A0370000}"/>
    <cellStyle name="40% - Accent3 4 2 2 2 5 2" xfId="16900" xr:uid="{00000000-0005-0000-0000-0000A1370000}"/>
    <cellStyle name="40% - Accent3 4 2 2 2 5 2 2" xfId="30307" xr:uid="{00000000-0005-0000-0000-0000A2370000}"/>
    <cellStyle name="40% - Accent3 4 2 2 2 5 3" xfId="20931" xr:uid="{00000000-0005-0000-0000-0000A3370000}"/>
    <cellStyle name="40% - Accent3 4 2 2 2 6" xfId="9336" xr:uid="{00000000-0005-0000-0000-0000A4370000}"/>
    <cellStyle name="40% - Accent3 4 2 2 2 6 2" xfId="23811" xr:uid="{00000000-0005-0000-0000-0000A5370000}"/>
    <cellStyle name="40% - Accent3 4 2 2 2 7" xfId="20927" xr:uid="{00000000-0005-0000-0000-0000A6370000}"/>
    <cellStyle name="40% - Accent3 4 2 2 3" xfId="3607" xr:uid="{00000000-0005-0000-0000-0000A7370000}"/>
    <cellStyle name="40% - Accent3 4 2 2 3 2" xfId="3608" xr:uid="{00000000-0005-0000-0000-0000A8370000}"/>
    <cellStyle name="40% - Accent3 4 2 2 3 2 2" xfId="15229" xr:uid="{00000000-0005-0000-0000-0000A9370000}"/>
    <cellStyle name="40% - Accent3 4 2 2 3 2 2 2" xfId="28778" xr:uid="{00000000-0005-0000-0000-0000AA370000}"/>
    <cellStyle name="40% - Accent3 4 2 2 3 2 3" xfId="20933" xr:uid="{00000000-0005-0000-0000-0000AB370000}"/>
    <cellStyle name="40% - Accent3 4 2 2 3 3" xfId="11062" xr:uid="{00000000-0005-0000-0000-0000AC370000}"/>
    <cellStyle name="40% - Accent3 4 2 2 3 3 2" xfId="25004" xr:uid="{00000000-0005-0000-0000-0000AD370000}"/>
    <cellStyle name="40% - Accent3 4 2 2 3 4" xfId="20932" xr:uid="{00000000-0005-0000-0000-0000AE370000}"/>
    <cellStyle name="40% - Accent3 4 2 2 4" xfId="3609" xr:uid="{00000000-0005-0000-0000-0000AF370000}"/>
    <cellStyle name="40% - Accent3 4 2 2 4 2" xfId="12288" xr:uid="{00000000-0005-0000-0000-0000B0370000}"/>
    <cellStyle name="40% - Accent3 4 2 2 4 2 2" xfId="26000" xr:uid="{00000000-0005-0000-0000-0000B1370000}"/>
    <cellStyle name="40% - Accent3 4 2 2 4 3" xfId="20934" xr:uid="{00000000-0005-0000-0000-0000B2370000}"/>
    <cellStyle name="40% - Accent3 4 2 2 5" xfId="3610" xr:uid="{00000000-0005-0000-0000-0000B3370000}"/>
    <cellStyle name="40% - Accent3 4 2 2 5 2" xfId="12835" xr:uid="{00000000-0005-0000-0000-0000B4370000}"/>
    <cellStyle name="40% - Accent3 4 2 2 5 2 2" xfId="26547" xr:uid="{00000000-0005-0000-0000-0000B5370000}"/>
    <cellStyle name="40% - Accent3 4 2 2 5 3" xfId="20935" xr:uid="{00000000-0005-0000-0000-0000B6370000}"/>
    <cellStyle name="40% - Accent3 4 2 2 6" xfId="3611" xr:uid="{00000000-0005-0000-0000-0000B7370000}"/>
    <cellStyle name="40% - Accent3 4 2 2 6 2" xfId="13852" xr:uid="{00000000-0005-0000-0000-0000B8370000}"/>
    <cellStyle name="40% - Accent3 4 2 2 6 2 2" xfId="27401" xr:uid="{00000000-0005-0000-0000-0000B9370000}"/>
    <cellStyle name="40% - Accent3 4 2 2 6 3" xfId="20936" xr:uid="{00000000-0005-0000-0000-0000BA370000}"/>
    <cellStyle name="40% - Accent3 4 2 2 7" xfId="3612" xr:uid="{00000000-0005-0000-0000-0000BB370000}"/>
    <cellStyle name="40% - Accent3 4 2 2 7 2" xfId="14433" xr:uid="{00000000-0005-0000-0000-0000BC370000}"/>
    <cellStyle name="40% - Accent3 4 2 2 7 2 2" xfId="27982" xr:uid="{00000000-0005-0000-0000-0000BD370000}"/>
    <cellStyle name="40% - Accent3 4 2 2 7 3" xfId="20937" xr:uid="{00000000-0005-0000-0000-0000BE370000}"/>
    <cellStyle name="40% - Accent3 4 2 2 8" xfId="3613" xr:uid="{00000000-0005-0000-0000-0000BF370000}"/>
    <cellStyle name="40% - Accent3 4 2 2 8 2" xfId="15227" xr:uid="{00000000-0005-0000-0000-0000C0370000}"/>
    <cellStyle name="40% - Accent3 4 2 2 8 2 2" xfId="28776" xr:uid="{00000000-0005-0000-0000-0000C1370000}"/>
    <cellStyle name="40% - Accent3 4 2 2 8 3" xfId="20938" xr:uid="{00000000-0005-0000-0000-0000C2370000}"/>
    <cellStyle name="40% - Accent3 4 2 2 9" xfId="3614" xr:uid="{00000000-0005-0000-0000-0000C3370000}"/>
    <cellStyle name="40% - Accent3 4 2 2 9 2" xfId="16319" xr:uid="{00000000-0005-0000-0000-0000C4370000}"/>
    <cellStyle name="40% - Accent3 4 2 2 9 2 2" xfId="29726" xr:uid="{00000000-0005-0000-0000-0000C5370000}"/>
    <cellStyle name="40% - Accent3 4 2 2 9 3" xfId="20939" xr:uid="{00000000-0005-0000-0000-0000C6370000}"/>
    <cellStyle name="40% - Accent3 4 2 3" xfId="3615" xr:uid="{00000000-0005-0000-0000-0000C7370000}"/>
    <cellStyle name="40% - Accent3 4 2 3 2" xfId="3616" xr:uid="{00000000-0005-0000-0000-0000C8370000}"/>
    <cellStyle name="40% - Accent3 4 2 3 2 2" xfId="11064" xr:uid="{00000000-0005-0000-0000-0000C9370000}"/>
    <cellStyle name="40% - Accent3 4 2 3 2 2 2" xfId="25006" xr:uid="{00000000-0005-0000-0000-0000CA370000}"/>
    <cellStyle name="40% - Accent3 4 2 3 2 3" xfId="20941" xr:uid="{00000000-0005-0000-0000-0000CB370000}"/>
    <cellStyle name="40% - Accent3 4 2 3 3" xfId="3617" xr:uid="{00000000-0005-0000-0000-0000CC370000}"/>
    <cellStyle name="40% - Accent3 4 2 3 3 2" xfId="12837" xr:uid="{00000000-0005-0000-0000-0000CD370000}"/>
    <cellStyle name="40% - Accent3 4 2 3 3 2 2" xfId="26549" xr:uid="{00000000-0005-0000-0000-0000CE370000}"/>
    <cellStyle name="40% - Accent3 4 2 3 3 3" xfId="20942" xr:uid="{00000000-0005-0000-0000-0000CF370000}"/>
    <cellStyle name="40% - Accent3 4 2 3 4" xfId="3618" xr:uid="{00000000-0005-0000-0000-0000D0370000}"/>
    <cellStyle name="40% - Accent3 4 2 3 4 2" xfId="15230" xr:uid="{00000000-0005-0000-0000-0000D1370000}"/>
    <cellStyle name="40% - Accent3 4 2 3 4 2 2" xfId="28779" xr:uid="{00000000-0005-0000-0000-0000D2370000}"/>
    <cellStyle name="40% - Accent3 4 2 3 4 3" xfId="20943" xr:uid="{00000000-0005-0000-0000-0000D3370000}"/>
    <cellStyle name="40% - Accent3 4 2 3 5" xfId="3619" xr:uid="{00000000-0005-0000-0000-0000D4370000}"/>
    <cellStyle name="40% - Accent3 4 2 3 5 2" xfId="16611" xr:uid="{00000000-0005-0000-0000-0000D5370000}"/>
    <cellStyle name="40% - Accent3 4 2 3 5 2 2" xfId="30018" xr:uid="{00000000-0005-0000-0000-0000D6370000}"/>
    <cellStyle name="40% - Accent3 4 2 3 5 3" xfId="20944" xr:uid="{00000000-0005-0000-0000-0000D7370000}"/>
    <cellStyle name="40% - Accent3 4 2 3 6" xfId="9337" xr:uid="{00000000-0005-0000-0000-0000D8370000}"/>
    <cellStyle name="40% - Accent3 4 2 3 6 2" xfId="23812" xr:uid="{00000000-0005-0000-0000-0000D9370000}"/>
    <cellStyle name="40% - Accent3 4 2 3 7" xfId="20940" xr:uid="{00000000-0005-0000-0000-0000DA370000}"/>
    <cellStyle name="40% - Accent3 4 2 4" xfId="3620" xr:uid="{00000000-0005-0000-0000-0000DB370000}"/>
    <cellStyle name="40% - Accent3 4 2 4 2" xfId="3621" xr:uid="{00000000-0005-0000-0000-0000DC370000}"/>
    <cellStyle name="40% - Accent3 4 2 4 2 2" xfId="15231" xr:uid="{00000000-0005-0000-0000-0000DD370000}"/>
    <cellStyle name="40% - Accent3 4 2 4 2 2 2" xfId="28780" xr:uid="{00000000-0005-0000-0000-0000DE370000}"/>
    <cellStyle name="40% - Accent3 4 2 4 2 3" xfId="20946" xr:uid="{00000000-0005-0000-0000-0000DF370000}"/>
    <cellStyle name="40% - Accent3 4 2 4 3" xfId="11061" xr:uid="{00000000-0005-0000-0000-0000E0370000}"/>
    <cellStyle name="40% - Accent3 4 2 4 3 2" xfId="25003" xr:uid="{00000000-0005-0000-0000-0000E1370000}"/>
    <cellStyle name="40% - Accent3 4 2 4 4" xfId="20945" xr:uid="{00000000-0005-0000-0000-0000E2370000}"/>
    <cellStyle name="40% - Accent3 4 2 5" xfId="3622" xr:uid="{00000000-0005-0000-0000-0000E3370000}"/>
    <cellStyle name="40% - Accent3 4 2 5 2" xfId="11988" xr:uid="{00000000-0005-0000-0000-0000E4370000}"/>
    <cellStyle name="40% - Accent3 4 2 5 2 2" xfId="25703" xr:uid="{00000000-0005-0000-0000-0000E5370000}"/>
    <cellStyle name="40% - Accent3 4 2 5 3" xfId="20947" xr:uid="{00000000-0005-0000-0000-0000E6370000}"/>
    <cellStyle name="40% - Accent3 4 2 6" xfId="3623" xr:uid="{00000000-0005-0000-0000-0000E7370000}"/>
    <cellStyle name="40% - Accent3 4 2 6 2" xfId="12834" xr:uid="{00000000-0005-0000-0000-0000E8370000}"/>
    <cellStyle name="40% - Accent3 4 2 6 2 2" xfId="26546" xr:uid="{00000000-0005-0000-0000-0000E9370000}"/>
    <cellStyle name="40% - Accent3 4 2 6 3" xfId="20948" xr:uid="{00000000-0005-0000-0000-0000EA370000}"/>
    <cellStyle name="40% - Accent3 4 2 7" xfId="3624" xr:uid="{00000000-0005-0000-0000-0000EB370000}"/>
    <cellStyle name="40% - Accent3 4 2 7 2" xfId="13563" xr:uid="{00000000-0005-0000-0000-0000EC370000}"/>
    <cellStyle name="40% - Accent3 4 2 7 2 2" xfId="27112" xr:uid="{00000000-0005-0000-0000-0000ED370000}"/>
    <cellStyle name="40% - Accent3 4 2 7 3" xfId="20949" xr:uid="{00000000-0005-0000-0000-0000EE370000}"/>
    <cellStyle name="40% - Accent3 4 2 8" xfId="3625" xr:uid="{00000000-0005-0000-0000-0000EF370000}"/>
    <cellStyle name="40% - Accent3 4 2 8 2" xfId="14144" xr:uid="{00000000-0005-0000-0000-0000F0370000}"/>
    <cellStyle name="40% - Accent3 4 2 8 2 2" xfId="27693" xr:uid="{00000000-0005-0000-0000-0000F1370000}"/>
    <cellStyle name="40% - Accent3 4 2 8 3" xfId="20950" xr:uid="{00000000-0005-0000-0000-0000F2370000}"/>
    <cellStyle name="40% - Accent3 4 2 9" xfId="3626" xr:uid="{00000000-0005-0000-0000-0000F3370000}"/>
    <cellStyle name="40% - Accent3 4 2 9 2" xfId="15226" xr:uid="{00000000-0005-0000-0000-0000F4370000}"/>
    <cellStyle name="40% - Accent3 4 2 9 2 2" xfId="28775" xr:uid="{00000000-0005-0000-0000-0000F5370000}"/>
    <cellStyle name="40% - Accent3 4 2 9 3" xfId="20951" xr:uid="{00000000-0005-0000-0000-0000F6370000}"/>
    <cellStyle name="40% - Accent3 4 3" xfId="3627" xr:uid="{00000000-0005-0000-0000-0000F7370000}"/>
    <cellStyle name="40% - Accent3 4 3 10" xfId="9338" xr:uid="{00000000-0005-0000-0000-0000F8370000}"/>
    <cellStyle name="40% - Accent3 4 3 10 2" xfId="23813" xr:uid="{00000000-0005-0000-0000-0000F9370000}"/>
    <cellStyle name="40% - Accent3 4 3 11" xfId="20952" xr:uid="{00000000-0005-0000-0000-0000FA370000}"/>
    <cellStyle name="40% - Accent3 4 3 2" xfId="3628" xr:uid="{00000000-0005-0000-0000-0000FB370000}"/>
    <cellStyle name="40% - Accent3 4 3 2 2" xfId="3629" xr:uid="{00000000-0005-0000-0000-0000FC370000}"/>
    <cellStyle name="40% - Accent3 4 3 2 2 2" xfId="11066" xr:uid="{00000000-0005-0000-0000-0000FD370000}"/>
    <cellStyle name="40% - Accent3 4 3 2 2 2 2" xfId="25008" xr:uid="{00000000-0005-0000-0000-0000FE370000}"/>
    <cellStyle name="40% - Accent3 4 3 2 2 3" xfId="20954" xr:uid="{00000000-0005-0000-0000-0000FF370000}"/>
    <cellStyle name="40% - Accent3 4 3 2 3" xfId="3630" xr:uid="{00000000-0005-0000-0000-000000380000}"/>
    <cellStyle name="40% - Accent3 4 3 2 3 2" xfId="12839" xr:uid="{00000000-0005-0000-0000-000001380000}"/>
    <cellStyle name="40% - Accent3 4 3 2 3 2 2" xfId="26551" xr:uid="{00000000-0005-0000-0000-000002380000}"/>
    <cellStyle name="40% - Accent3 4 3 2 3 3" xfId="20955" xr:uid="{00000000-0005-0000-0000-000003380000}"/>
    <cellStyle name="40% - Accent3 4 3 2 4" xfId="3631" xr:uid="{00000000-0005-0000-0000-000004380000}"/>
    <cellStyle name="40% - Accent3 4 3 2 4 2" xfId="15233" xr:uid="{00000000-0005-0000-0000-000005380000}"/>
    <cellStyle name="40% - Accent3 4 3 2 4 2 2" xfId="28782" xr:uid="{00000000-0005-0000-0000-000006380000}"/>
    <cellStyle name="40% - Accent3 4 3 2 4 3" xfId="20956" xr:uid="{00000000-0005-0000-0000-000007380000}"/>
    <cellStyle name="40% - Accent3 4 3 2 5" xfId="3632" xr:uid="{00000000-0005-0000-0000-000008380000}"/>
    <cellStyle name="40% - Accent3 4 3 2 5 2" xfId="16760" xr:uid="{00000000-0005-0000-0000-000009380000}"/>
    <cellStyle name="40% - Accent3 4 3 2 5 2 2" xfId="30167" xr:uid="{00000000-0005-0000-0000-00000A380000}"/>
    <cellStyle name="40% - Accent3 4 3 2 5 3" xfId="20957" xr:uid="{00000000-0005-0000-0000-00000B380000}"/>
    <cellStyle name="40% - Accent3 4 3 2 6" xfId="9339" xr:uid="{00000000-0005-0000-0000-00000C380000}"/>
    <cellStyle name="40% - Accent3 4 3 2 6 2" xfId="23814" xr:uid="{00000000-0005-0000-0000-00000D380000}"/>
    <cellStyle name="40% - Accent3 4 3 2 7" xfId="20953" xr:uid="{00000000-0005-0000-0000-00000E380000}"/>
    <cellStyle name="40% - Accent3 4 3 3" xfId="3633" xr:uid="{00000000-0005-0000-0000-00000F380000}"/>
    <cellStyle name="40% - Accent3 4 3 3 2" xfId="3634" xr:uid="{00000000-0005-0000-0000-000010380000}"/>
    <cellStyle name="40% - Accent3 4 3 3 2 2" xfId="15234" xr:uid="{00000000-0005-0000-0000-000011380000}"/>
    <cellStyle name="40% - Accent3 4 3 3 2 2 2" xfId="28783" xr:uid="{00000000-0005-0000-0000-000012380000}"/>
    <cellStyle name="40% - Accent3 4 3 3 2 3" xfId="20959" xr:uid="{00000000-0005-0000-0000-000013380000}"/>
    <cellStyle name="40% - Accent3 4 3 3 3" xfId="11065" xr:uid="{00000000-0005-0000-0000-000014380000}"/>
    <cellStyle name="40% - Accent3 4 3 3 3 2" xfId="25007" xr:uid="{00000000-0005-0000-0000-000015380000}"/>
    <cellStyle name="40% - Accent3 4 3 3 4" xfId="20958" xr:uid="{00000000-0005-0000-0000-000016380000}"/>
    <cellStyle name="40% - Accent3 4 3 4" xfId="3635" xr:uid="{00000000-0005-0000-0000-000017380000}"/>
    <cellStyle name="40% - Accent3 4 3 4 2" xfId="12148" xr:uid="{00000000-0005-0000-0000-000018380000}"/>
    <cellStyle name="40% - Accent3 4 3 4 2 2" xfId="25860" xr:uid="{00000000-0005-0000-0000-000019380000}"/>
    <cellStyle name="40% - Accent3 4 3 4 3" xfId="20960" xr:uid="{00000000-0005-0000-0000-00001A380000}"/>
    <cellStyle name="40% - Accent3 4 3 5" xfId="3636" xr:uid="{00000000-0005-0000-0000-00001B380000}"/>
    <cellStyle name="40% - Accent3 4 3 5 2" xfId="12838" xr:uid="{00000000-0005-0000-0000-00001C380000}"/>
    <cellStyle name="40% - Accent3 4 3 5 2 2" xfId="26550" xr:uid="{00000000-0005-0000-0000-00001D380000}"/>
    <cellStyle name="40% - Accent3 4 3 5 3" xfId="20961" xr:uid="{00000000-0005-0000-0000-00001E380000}"/>
    <cellStyle name="40% - Accent3 4 3 6" xfId="3637" xr:uid="{00000000-0005-0000-0000-00001F380000}"/>
    <cellStyle name="40% - Accent3 4 3 6 2" xfId="13712" xr:uid="{00000000-0005-0000-0000-000020380000}"/>
    <cellStyle name="40% - Accent3 4 3 6 2 2" xfId="27261" xr:uid="{00000000-0005-0000-0000-000021380000}"/>
    <cellStyle name="40% - Accent3 4 3 6 3" xfId="20962" xr:uid="{00000000-0005-0000-0000-000022380000}"/>
    <cellStyle name="40% - Accent3 4 3 7" xfId="3638" xr:uid="{00000000-0005-0000-0000-000023380000}"/>
    <cellStyle name="40% - Accent3 4 3 7 2" xfId="14293" xr:uid="{00000000-0005-0000-0000-000024380000}"/>
    <cellStyle name="40% - Accent3 4 3 7 2 2" xfId="27842" xr:uid="{00000000-0005-0000-0000-000025380000}"/>
    <cellStyle name="40% - Accent3 4 3 7 3" xfId="20963" xr:uid="{00000000-0005-0000-0000-000026380000}"/>
    <cellStyle name="40% - Accent3 4 3 8" xfId="3639" xr:uid="{00000000-0005-0000-0000-000027380000}"/>
    <cellStyle name="40% - Accent3 4 3 8 2" xfId="15232" xr:uid="{00000000-0005-0000-0000-000028380000}"/>
    <cellStyle name="40% - Accent3 4 3 8 2 2" xfId="28781" xr:uid="{00000000-0005-0000-0000-000029380000}"/>
    <cellStyle name="40% - Accent3 4 3 8 3" xfId="20964" xr:uid="{00000000-0005-0000-0000-00002A380000}"/>
    <cellStyle name="40% - Accent3 4 3 9" xfId="3640" xr:uid="{00000000-0005-0000-0000-00002B380000}"/>
    <cellStyle name="40% - Accent3 4 3 9 2" xfId="16179" xr:uid="{00000000-0005-0000-0000-00002C380000}"/>
    <cellStyle name="40% - Accent3 4 3 9 2 2" xfId="29586" xr:uid="{00000000-0005-0000-0000-00002D380000}"/>
    <cellStyle name="40% - Accent3 4 3 9 3" xfId="20965" xr:uid="{00000000-0005-0000-0000-00002E380000}"/>
    <cellStyle name="40% - Accent3 4 4" xfId="3641" xr:uid="{00000000-0005-0000-0000-00002F380000}"/>
    <cellStyle name="40% - Accent3 4 4 2" xfId="3642" xr:uid="{00000000-0005-0000-0000-000030380000}"/>
    <cellStyle name="40% - Accent3 4 4 2 2" xfId="11067" xr:uid="{00000000-0005-0000-0000-000031380000}"/>
    <cellStyle name="40% - Accent3 4 4 2 2 2" xfId="25009" xr:uid="{00000000-0005-0000-0000-000032380000}"/>
    <cellStyle name="40% - Accent3 4 4 2 3" xfId="20967" xr:uid="{00000000-0005-0000-0000-000033380000}"/>
    <cellStyle name="40% - Accent3 4 4 3" xfId="3643" xr:uid="{00000000-0005-0000-0000-000034380000}"/>
    <cellStyle name="40% - Accent3 4 4 3 2" xfId="12840" xr:uid="{00000000-0005-0000-0000-000035380000}"/>
    <cellStyle name="40% - Accent3 4 4 3 2 2" xfId="26552" xr:uid="{00000000-0005-0000-0000-000036380000}"/>
    <cellStyle name="40% - Accent3 4 4 3 3" xfId="20968" xr:uid="{00000000-0005-0000-0000-000037380000}"/>
    <cellStyle name="40% - Accent3 4 4 4" xfId="3644" xr:uid="{00000000-0005-0000-0000-000038380000}"/>
    <cellStyle name="40% - Accent3 4 4 4 2" xfId="15235" xr:uid="{00000000-0005-0000-0000-000039380000}"/>
    <cellStyle name="40% - Accent3 4 4 4 2 2" xfId="28784" xr:uid="{00000000-0005-0000-0000-00003A380000}"/>
    <cellStyle name="40% - Accent3 4 4 4 3" xfId="20969" xr:uid="{00000000-0005-0000-0000-00003B380000}"/>
    <cellStyle name="40% - Accent3 4 4 5" xfId="3645" xr:uid="{00000000-0005-0000-0000-00003C380000}"/>
    <cellStyle name="40% - Accent3 4 4 5 2" xfId="16468" xr:uid="{00000000-0005-0000-0000-00003D380000}"/>
    <cellStyle name="40% - Accent3 4 4 5 2 2" xfId="29875" xr:uid="{00000000-0005-0000-0000-00003E380000}"/>
    <cellStyle name="40% - Accent3 4 4 5 3" xfId="20970" xr:uid="{00000000-0005-0000-0000-00003F380000}"/>
    <cellStyle name="40% - Accent3 4 4 6" xfId="9340" xr:uid="{00000000-0005-0000-0000-000040380000}"/>
    <cellStyle name="40% - Accent3 4 4 6 2" xfId="23815" xr:uid="{00000000-0005-0000-0000-000041380000}"/>
    <cellStyle name="40% - Accent3 4 4 7" xfId="20966" xr:uid="{00000000-0005-0000-0000-000042380000}"/>
    <cellStyle name="40% - Accent3 4 5" xfId="3646" xr:uid="{00000000-0005-0000-0000-000043380000}"/>
    <cellStyle name="40% - Accent3 4 5 2" xfId="3647" xr:uid="{00000000-0005-0000-0000-000044380000}"/>
    <cellStyle name="40% - Accent3 4 5 2 2" xfId="15236" xr:uid="{00000000-0005-0000-0000-000045380000}"/>
    <cellStyle name="40% - Accent3 4 5 2 2 2" xfId="28785" xr:uid="{00000000-0005-0000-0000-000046380000}"/>
    <cellStyle name="40% - Accent3 4 5 2 3" xfId="20972" xr:uid="{00000000-0005-0000-0000-000047380000}"/>
    <cellStyle name="40% - Accent3 4 5 3" xfId="11060" xr:uid="{00000000-0005-0000-0000-000048380000}"/>
    <cellStyle name="40% - Accent3 4 5 3 2" xfId="25002" xr:uid="{00000000-0005-0000-0000-000049380000}"/>
    <cellStyle name="40% - Accent3 4 5 4" xfId="20971" xr:uid="{00000000-0005-0000-0000-00004A380000}"/>
    <cellStyle name="40% - Accent3 4 6" xfId="3648" xr:uid="{00000000-0005-0000-0000-00004B380000}"/>
    <cellStyle name="40% - Accent3 4 6 2" xfId="11819" xr:uid="{00000000-0005-0000-0000-00004C380000}"/>
    <cellStyle name="40% - Accent3 4 6 2 2" xfId="25534" xr:uid="{00000000-0005-0000-0000-00004D380000}"/>
    <cellStyle name="40% - Accent3 4 6 3" xfId="20973" xr:uid="{00000000-0005-0000-0000-00004E380000}"/>
    <cellStyle name="40% - Accent3 4 7" xfId="3649" xr:uid="{00000000-0005-0000-0000-00004F380000}"/>
    <cellStyle name="40% - Accent3 4 7 2" xfId="12833" xr:uid="{00000000-0005-0000-0000-000050380000}"/>
    <cellStyle name="40% - Accent3 4 7 2 2" xfId="26545" xr:uid="{00000000-0005-0000-0000-000051380000}"/>
    <cellStyle name="40% - Accent3 4 7 3" xfId="20974" xr:uid="{00000000-0005-0000-0000-000052380000}"/>
    <cellStyle name="40% - Accent3 4 8" xfId="3650" xr:uid="{00000000-0005-0000-0000-000053380000}"/>
    <cellStyle name="40% - Accent3 4 8 2" xfId="13420" xr:uid="{00000000-0005-0000-0000-000054380000}"/>
    <cellStyle name="40% - Accent3 4 8 2 2" xfId="26969" xr:uid="{00000000-0005-0000-0000-000055380000}"/>
    <cellStyle name="40% - Accent3 4 8 3" xfId="20975" xr:uid="{00000000-0005-0000-0000-000056380000}"/>
    <cellStyle name="40% - Accent3 4 9" xfId="3651" xr:uid="{00000000-0005-0000-0000-000057380000}"/>
    <cellStyle name="40% - Accent3 4 9 2" xfId="14001" xr:uid="{00000000-0005-0000-0000-000058380000}"/>
    <cellStyle name="40% - Accent3 4 9 2 2" xfId="27550" xr:uid="{00000000-0005-0000-0000-000059380000}"/>
    <cellStyle name="40% - Accent3 4 9 3" xfId="20976" xr:uid="{00000000-0005-0000-0000-00005A380000}"/>
    <cellStyle name="40% - Accent3 5" xfId="3652" xr:uid="{00000000-0005-0000-0000-00005B380000}"/>
    <cellStyle name="40% - Accent3 5 10" xfId="3653" xr:uid="{00000000-0005-0000-0000-00005C380000}"/>
    <cellStyle name="40% - Accent3 5 10 2" xfId="15237" xr:uid="{00000000-0005-0000-0000-00005D380000}"/>
    <cellStyle name="40% - Accent3 5 10 2 2" xfId="28786" xr:uid="{00000000-0005-0000-0000-00005E380000}"/>
    <cellStyle name="40% - Accent3 5 10 3" xfId="20978" xr:uid="{00000000-0005-0000-0000-00005F380000}"/>
    <cellStyle name="40% - Accent3 5 11" xfId="3654" xr:uid="{00000000-0005-0000-0000-000060380000}"/>
    <cellStyle name="40% - Accent3 5 11 2" xfId="15870" xr:uid="{00000000-0005-0000-0000-000061380000}"/>
    <cellStyle name="40% - Accent3 5 11 2 2" xfId="29277" xr:uid="{00000000-0005-0000-0000-000062380000}"/>
    <cellStyle name="40% - Accent3 5 11 3" xfId="20979" xr:uid="{00000000-0005-0000-0000-000063380000}"/>
    <cellStyle name="40% - Accent3 5 12" xfId="9341" xr:uid="{00000000-0005-0000-0000-000064380000}"/>
    <cellStyle name="40% - Accent3 5 12 2" xfId="23816" xr:uid="{00000000-0005-0000-0000-000065380000}"/>
    <cellStyle name="40% - Accent3 5 13" xfId="20977" xr:uid="{00000000-0005-0000-0000-000066380000}"/>
    <cellStyle name="40% - Accent3 5 2" xfId="3655" xr:uid="{00000000-0005-0000-0000-000067380000}"/>
    <cellStyle name="40% - Accent3 5 2 10" xfId="3656" xr:uid="{00000000-0005-0000-0000-000068380000}"/>
    <cellStyle name="40% - Accent3 5 2 10 2" xfId="16013" xr:uid="{00000000-0005-0000-0000-000069380000}"/>
    <cellStyle name="40% - Accent3 5 2 10 2 2" xfId="29420" xr:uid="{00000000-0005-0000-0000-00006A380000}"/>
    <cellStyle name="40% - Accent3 5 2 10 3" xfId="20981" xr:uid="{00000000-0005-0000-0000-00006B380000}"/>
    <cellStyle name="40% - Accent3 5 2 11" xfId="9342" xr:uid="{00000000-0005-0000-0000-00006C380000}"/>
    <cellStyle name="40% - Accent3 5 2 11 2" xfId="23817" xr:uid="{00000000-0005-0000-0000-00006D380000}"/>
    <cellStyle name="40% - Accent3 5 2 12" xfId="20980" xr:uid="{00000000-0005-0000-0000-00006E380000}"/>
    <cellStyle name="40% - Accent3 5 2 2" xfId="3657" xr:uid="{00000000-0005-0000-0000-00006F380000}"/>
    <cellStyle name="40% - Accent3 5 2 2 10" xfId="9343" xr:uid="{00000000-0005-0000-0000-000070380000}"/>
    <cellStyle name="40% - Accent3 5 2 2 10 2" xfId="23818" xr:uid="{00000000-0005-0000-0000-000071380000}"/>
    <cellStyle name="40% - Accent3 5 2 2 11" xfId="20982" xr:uid="{00000000-0005-0000-0000-000072380000}"/>
    <cellStyle name="40% - Accent3 5 2 2 2" xfId="3658" xr:uid="{00000000-0005-0000-0000-000073380000}"/>
    <cellStyle name="40% - Accent3 5 2 2 2 2" xfId="3659" xr:uid="{00000000-0005-0000-0000-000074380000}"/>
    <cellStyle name="40% - Accent3 5 2 2 2 2 2" xfId="11071" xr:uid="{00000000-0005-0000-0000-000075380000}"/>
    <cellStyle name="40% - Accent3 5 2 2 2 2 2 2" xfId="25013" xr:uid="{00000000-0005-0000-0000-000076380000}"/>
    <cellStyle name="40% - Accent3 5 2 2 2 2 3" xfId="20984" xr:uid="{00000000-0005-0000-0000-000077380000}"/>
    <cellStyle name="40% - Accent3 5 2 2 2 3" xfId="3660" xr:uid="{00000000-0005-0000-0000-000078380000}"/>
    <cellStyle name="40% - Accent3 5 2 2 2 3 2" xfId="12844" xr:uid="{00000000-0005-0000-0000-000079380000}"/>
    <cellStyle name="40% - Accent3 5 2 2 2 3 2 2" xfId="26556" xr:uid="{00000000-0005-0000-0000-00007A380000}"/>
    <cellStyle name="40% - Accent3 5 2 2 2 3 3" xfId="20985" xr:uid="{00000000-0005-0000-0000-00007B380000}"/>
    <cellStyle name="40% - Accent3 5 2 2 2 4" xfId="3661" xr:uid="{00000000-0005-0000-0000-00007C380000}"/>
    <cellStyle name="40% - Accent3 5 2 2 2 4 2" xfId="15240" xr:uid="{00000000-0005-0000-0000-00007D380000}"/>
    <cellStyle name="40% - Accent3 5 2 2 2 4 2 2" xfId="28789" xr:uid="{00000000-0005-0000-0000-00007E380000}"/>
    <cellStyle name="40% - Accent3 5 2 2 2 4 3" xfId="20986" xr:uid="{00000000-0005-0000-0000-00007F380000}"/>
    <cellStyle name="40% - Accent3 5 2 2 2 5" xfId="3662" xr:uid="{00000000-0005-0000-0000-000080380000}"/>
    <cellStyle name="40% - Accent3 5 2 2 2 5 2" xfId="16883" xr:uid="{00000000-0005-0000-0000-000081380000}"/>
    <cellStyle name="40% - Accent3 5 2 2 2 5 2 2" xfId="30290" xr:uid="{00000000-0005-0000-0000-000082380000}"/>
    <cellStyle name="40% - Accent3 5 2 2 2 5 3" xfId="20987" xr:uid="{00000000-0005-0000-0000-000083380000}"/>
    <cellStyle name="40% - Accent3 5 2 2 2 6" xfId="9344" xr:uid="{00000000-0005-0000-0000-000084380000}"/>
    <cellStyle name="40% - Accent3 5 2 2 2 6 2" xfId="23819" xr:uid="{00000000-0005-0000-0000-000085380000}"/>
    <cellStyle name="40% - Accent3 5 2 2 2 7" xfId="20983" xr:uid="{00000000-0005-0000-0000-000086380000}"/>
    <cellStyle name="40% - Accent3 5 2 2 3" xfId="3663" xr:uid="{00000000-0005-0000-0000-000087380000}"/>
    <cellStyle name="40% - Accent3 5 2 2 3 2" xfId="3664" xr:uid="{00000000-0005-0000-0000-000088380000}"/>
    <cellStyle name="40% - Accent3 5 2 2 3 2 2" xfId="15241" xr:uid="{00000000-0005-0000-0000-000089380000}"/>
    <cellStyle name="40% - Accent3 5 2 2 3 2 2 2" xfId="28790" xr:uid="{00000000-0005-0000-0000-00008A380000}"/>
    <cellStyle name="40% - Accent3 5 2 2 3 2 3" xfId="20989" xr:uid="{00000000-0005-0000-0000-00008B380000}"/>
    <cellStyle name="40% - Accent3 5 2 2 3 3" xfId="11070" xr:uid="{00000000-0005-0000-0000-00008C380000}"/>
    <cellStyle name="40% - Accent3 5 2 2 3 3 2" xfId="25012" xr:uid="{00000000-0005-0000-0000-00008D380000}"/>
    <cellStyle name="40% - Accent3 5 2 2 3 4" xfId="20988" xr:uid="{00000000-0005-0000-0000-00008E380000}"/>
    <cellStyle name="40% - Accent3 5 2 2 4" xfId="3665" xr:uid="{00000000-0005-0000-0000-00008F380000}"/>
    <cellStyle name="40% - Accent3 5 2 2 4 2" xfId="12271" xr:uid="{00000000-0005-0000-0000-000090380000}"/>
    <cellStyle name="40% - Accent3 5 2 2 4 2 2" xfId="25983" xr:uid="{00000000-0005-0000-0000-000091380000}"/>
    <cellStyle name="40% - Accent3 5 2 2 4 3" xfId="20990" xr:uid="{00000000-0005-0000-0000-000092380000}"/>
    <cellStyle name="40% - Accent3 5 2 2 5" xfId="3666" xr:uid="{00000000-0005-0000-0000-000093380000}"/>
    <cellStyle name="40% - Accent3 5 2 2 5 2" xfId="12843" xr:uid="{00000000-0005-0000-0000-000094380000}"/>
    <cellStyle name="40% - Accent3 5 2 2 5 2 2" xfId="26555" xr:uid="{00000000-0005-0000-0000-000095380000}"/>
    <cellStyle name="40% - Accent3 5 2 2 5 3" xfId="20991" xr:uid="{00000000-0005-0000-0000-000096380000}"/>
    <cellStyle name="40% - Accent3 5 2 2 6" xfId="3667" xr:uid="{00000000-0005-0000-0000-000097380000}"/>
    <cellStyle name="40% - Accent3 5 2 2 6 2" xfId="13835" xr:uid="{00000000-0005-0000-0000-000098380000}"/>
    <cellStyle name="40% - Accent3 5 2 2 6 2 2" xfId="27384" xr:uid="{00000000-0005-0000-0000-000099380000}"/>
    <cellStyle name="40% - Accent3 5 2 2 6 3" xfId="20992" xr:uid="{00000000-0005-0000-0000-00009A380000}"/>
    <cellStyle name="40% - Accent3 5 2 2 7" xfId="3668" xr:uid="{00000000-0005-0000-0000-00009B380000}"/>
    <cellStyle name="40% - Accent3 5 2 2 7 2" xfId="14416" xr:uid="{00000000-0005-0000-0000-00009C380000}"/>
    <cellStyle name="40% - Accent3 5 2 2 7 2 2" xfId="27965" xr:uid="{00000000-0005-0000-0000-00009D380000}"/>
    <cellStyle name="40% - Accent3 5 2 2 7 3" xfId="20993" xr:uid="{00000000-0005-0000-0000-00009E380000}"/>
    <cellStyle name="40% - Accent3 5 2 2 8" xfId="3669" xr:uid="{00000000-0005-0000-0000-00009F380000}"/>
    <cellStyle name="40% - Accent3 5 2 2 8 2" xfId="15239" xr:uid="{00000000-0005-0000-0000-0000A0380000}"/>
    <cellStyle name="40% - Accent3 5 2 2 8 2 2" xfId="28788" xr:uid="{00000000-0005-0000-0000-0000A1380000}"/>
    <cellStyle name="40% - Accent3 5 2 2 8 3" xfId="20994" xr:uid="{00000000-0005-0000-0000-0000A2380000}"/>
    <cellStyle name="40% - Accent3 5 2 2 9" xfId="3670" xr:uid="{00000000-0005-0000-0000-0000A3380000}"/>
    <cellStyle name="40% - Accent3 5 2 2 9 2" xfId="16302" xr:uid="{00000000-0005-0000-0000-0000A4380000}"/>
    <cellStyle name="40% - Accent3 5 2 2 9 2 2" xfId="29709" xr:uid="{00000000-0005-0000-0000-0000A5380000}"/>
    <cellStyle name="40% - Accent3 5 2 2 9 3" xfId="20995" xr:uid="{00000000-0005-0000-0000-0000A6380000}"/>
    <cellStyle name="40% - Accent3 5 2 3" xfId="3671" xr:uid="{00000000-0005-0000-0000-0000A7380000}"/>
    <cellStyle name="40% - Accent3 5 2 3 2" xfId="3672" xr:uid="{00000000-0005-0000-0000-0000A8380000}"/>
    <cellStyle name="40% - Accent3 5 2 3 2 2" xfId="11072" xr:uid="{00000000-0005-0000-0000-0000A9380000}"/>
    <cellStyle name="40% - Accent3 5 2 3 2 2 2" xfId="25014" xr:uid="{00000000-0005-0000-0000-0000AA380000}"/>
    <cellStyle name="40% - Accent3 5 2 3 2 3" xfId="20997" xr:uid="{00000000-0005-0000-0000-0000AB380000}"/>
    <cellStyle name="40% - Accent3 5 2 3 3" xfId="3673" xr:uid="{00000000-0005-0000-0000-0000AC380000}"/>
    <cellStyle name="40% - Accent3 5 2 3 3 2" xfId="12845" xr:uid="{00000000-0005-0000-0000-0000AD380000}"/>
    <cellStyle name="40% - Accent3 5 2 3 3 2 2" xfId="26557" xr:uid="{00000000-0005-0000-0000-0000AE380000}"/>
    <cellStyle name="40% - Accent3 5 2 3 3 3" xfId="20998" xr:uid="{00000000-0005-0000-0000-0000AF380000}"/>
    <cellStyle name="40% - Accent3 5 2 3 4" xfId="3674" xr:uid="{00000000-0005-0000-0000-0000B0380000}"/>
    <cellStyle name="40% - Accent3 5 2 3 4 2" xfId="15242" xr:uid="{00000000-0005-0000-0000-0000B1380000}"/>
    <cellStyle name="40% - Accent3 5 2 3 4 2 2" xfId="28791" xr:uid="{00000000-0005-0000-0000-0000B2380000}"/>
    <cellStyle name="40% - Accent3 5 2 3 4 3" xfId="20999" xr:uid="{00000000-0005-0000-0000-0000B3380000}"/>
    <cellStyle name="40% - Accent3 5 2 3 5" xfId="3675" xr:uid="{00000000-0005-0000-0000-0000B4380000}"/>
    <cellStyle name="40% - Accent3 5 2 3 5 2" xfId="16594" xr:uid="{00000000-0005-0000-0000-0000B5380000}"/>
    <cellStyle name="40% - Accent3 5 2 3 5 2 2" xfId="30001" xr:uid="{00000000-0005-0000-0000-0000B6380000}"/>
    <cellStyle name="40% - Accent3 5 2 3 5 3" xfId="21000" xr:uid="{00000000-0005-0000-0000-0000B7380000}"/>
    <cellStyle name="40% - Accent3 5 2 3 6" xfId="9345" xr:uid="{00000000-0005-0000-0000-0000B8380000}"/>
    <cellStyle name="40% - Accent3 5 2 3 6 2" xfId="23820" xr:uid="{00000000-0005-0000-0000-0000B9380000}"/>
    <cellStyle name="40% - Accent3 5 2 3 7" xfId="20996" xr:uid="{00000000-0005-0000-0000-0000BA380000}"/>
    <cellStyle name="40% - Accent3 5 2 4" xfId="3676" xr:uid="{00000000-0005-0000-0000-0000BB380000}"/>
    <cellStyle name="40% - Accent3 5 2 4 2" xfId="3677" xr:uid="{00000000-0005-0000-0000-0000BC380000}"/>
    <cellStyle name="40% - Accent3 5 2 4 2 2" xfId="15243" xr:uid="{00000000-0005-0000-0000-0000BD380000}"/>
    <cellStyle name="40% - Accent3 5 2 4 2 2 2" xfId="28792" xr:uid="{00000000-0005-0000-0000-0000BE380000}"/>
    <cellStyle name="40% - Accent3 5 2 4 2 3" xfId="21002" xr:uid="{00000000-0005-0000-0000-0000BF380000}"/>
    <cellStyle name="40% - Accent3 5 2 4 3" xfId="11069" xr:uid="{00000000-0005-0000-0000-0000C0380000}"/>
    <cellStyle name="40% - Accent3 5 2 4 3 2" xfId="25011" xr:uid="{00000000-0005-0000-0000-0000C1380000}"/>
    <cellStyle name="40% - Accent3 5 2 4 4" xfId="21001" xr:uid="{00000000-0005-0000-0000-0000C2380000}"/>
    <cellStyle name="40% - Accent3 5 2 5" xfId="3678" xr:uid="{00000000-0005-0000-0000-0000C3380000}"/>
    <cellStyle name="40% - Accent3 5 2 5 2" xfId="11971" xr:uid="{00000000-0005-0000-0000-0000C4380000}"/>
    <cellStyle name="40% - Accent3 5 2 5 2 2" xfId="25686" xr:uid="{00000000-0005-0000-0000-0000C5380000}"/>
    <cellStyle name="40% - Accent3 5 2 5 3" xfId="21003" xr:uid="{00000000-0005-0000-0000-0000C6380000}"/>
    <cellStyle name="40% - Accent3 5 2 6" xfId="3679" xr:uid="{00000000-0005-0000-0000-0000C7380000}"/>
    <cellStyle name="40% - Accent3 5 2 6 2" xfId="12842" xr:uid="{00000000-0005-0000-0000-0000C8380000}"/>
    <cellStyle name="40% - Accent3 5 2 6 2 2" xfId="26554" xr:uid="{00000000-0005-0000-0000-0000C9380000}"/>
    <cellStyle name="40% - Accent3 5 2 6 3" xfId="21004" xr:uid="{00000000-0005-0000-0000-0000CA380000}"/>
    <cellStyle name="40% - Accent3 5 2 7" xfId="3680" xr:uid="{00000000-0005-0000-0000-0000CB380000}"/>
    <cellStyle name="40% - Accent3 5 2 7 2" xfId="13546" xr:uid="{00000000-0005-0000-0000-0000CC380000}"/>
    <cellStyle name="40% - Accent3 5 2 7 2 2" xfId="27095" xr:uid="{00000000-0005-0000-0000-0000CD380000}"/>
    <cellStyle name="40% - Accent3 5 2 7 3" xfId="21005" xr:uid="{00000000-0005-0000-0000-0000CE380000}"/>
    <cellStyle name="40% - Accent3 5 2 8" xfId="3681" xr:uid="{00000000-0005-0000-0000-0000CF380000}"/>
    <cellStyle name="40% - Accent3 5 2 8 2" xfId="14127" xr:uid="{00000000-0005-0000-0000-0000D0380000}"/>
    <cellStyle name="40% - Accent3 5 2 8 2 2" xfId="27676" xr:uid="{00000000-0005-0000-0000-0000D1380000}"/>
    <cellStyle name="40% - Accent3 5 2 8 3" xfId="21006" xr:uid="{00000000-0005-0000-0000-0000D2380000}"/>
    <cellStyle name="40% - Accent3 5 2 9" xfId="3682" xr:uid="{00000000-0005-0000-0000-0000D3380000}"/>
    <cellStyle name="40% - Accent3 5 2 9 2" xfId="15238" xr:uid="{00000000-0005-0000-0000-0000D4380000}"/>
    <cellStyle name="40% - Accent3 5 2 9 2 2" xfId="28787" xr:uid="{00000000-0005-0000-0000-0000D5380000}"/>
    <cellStyle name="40% - Accent3 5 2 9 3" xfId="21007" xr:uid="{00000000-0005-0000-0000-0000D6380000}"/>
    <cellStyle name="40% - Accent3 5 3" xfId="3683" xr:uid="{00000000-0005-0000-0000-0000D7380000}"/>
    <cellStyle name="40% - Accent3 5 3 10" xfId="9346" xr:uid="{00000000-0005-0000-0000-0000D8380000}"/>
    <cellStyle name="40% - Accent3 5 3 10 2" xfId="23821" xr:uid="{00000000-0005-0000-0000-0000D9380000}"/>
    <cellStyle name="40% - Accent3 5 3 11" xfId="21008" xr:uid="{00000000-0005-0000-0000-0000DA380000}"/>
    <cellStyle name="40% - Accent3 5 3 2" xfId="3684" xr:uid="{00000000-0005-0000-0000-0000DB380000}"/>
    <cellStyle name="40% - Accent3 5 3 2 2" xfId="3685" xr:uid="{00000000-0005-0000-0000-0000DC380000}"/>
    <cellStyle name="40% - Accent3 5 3 2 2 2" xfId="11074" xr:uid="{00000000-0005-0000-0000-0000DD380000}"/>
    <cellStyle name="40% - Accent3 5 3 2 2 2 2" xfId="25016" xr:uid="{00000000-0005-0000-0000-0000DE380000}"/>
    <cellStyle name="40% - Accent3 5 3 2 2 3" xfId="21010" xr:uid="{00000000-0005-0000-0000-0000DF380000}"/>
    <cellStyle name="40% - Accent3 5 3 2 3" xfId="3686" xr:uid="{00000000-0005-0000-0000-0000E0380000}"/>
    <cellStyle name="40% - Accent3 5 3 2 3 2" xfId="12847" xr:uid="{00000000-0005-0000-0000-0000E1380000}"/>
    <cellStyle name="40% - Accent3 5 3 2 3 2 2" xfId="26559" xr:uid="{00000000-0005-0000-0000-0000E2380000}"/>
    <cellStyle name="40% - Accent3 5 3 2 3 3" xfId="21011" xr:uid="{00000000-0005-0000-0000-0000E3380000}"/>
    <cellStyle name="40% - Accent3 5 3 2 4" xfId="3687" xr:uid="{00000000-0005-0000-0000-0000E4380000}"/>
    <cellStyle name="40% - Accent3 5 3 2 4 2" xfId="15245" xr:uid="{00000000-0005-0000-0000-0000E5380000}"/>
    <cellStyle name="40% - Accent3 5 3 2 4 2 2" xfId="28794" xr:uid="{00000000-0005-0000-0000-0000E6380000}"/>
    <cellStyle name="40% - Accent3 5 3 2 4 3" xfId="21012" xr:uid="{00000000-0005-0000-0000-0000E7380000}"/>
    <cellStyle name="40% - Accent3 5 3 2 5" xfId="3688" xr:uid="{00000000-0005-0000-0000-0000E8380000}"/>
    <cellStyle name="40% - Accent3 5 3 2 5 2" xfId="16743" xr:uid="{00000000-0005-0000-0000-0000E9380000}"/>
    <cellStyle name="40% - Accent3 5 3 2 5 2 2" xfId="30150" xr:uid="{00000000-0005-0000-0000-0000EA380000}"/>
    <cellStyle name="40% - Accent3 5 3 2 5 3" xfId="21013" xr:uid="{00000000-0005-0000-0000-0000EB380000}"/>
    <cellStyle name="40% - Accent3 5 3 2 6" xfId="9347" xr:uid="{00000000-0005-0000-0000-0000EC380000}"/>
    <cellStyle name="40% - Accent3 5 3 2 6 2" xfId="23822" xr:uid="{00000000-0005-0000-0000-0000ED380000}"/>
    <cellStyle name="40% - Accent3 5 3 2 7" xfId="21009" xr:uid="{00000000-0005-0000-0000-0000EE380000}"/>
    <cellStyle name="40% - Accent3 5 3 3" xfId="3689" xr:uid="{00000000-0005-0000-0000-0000EF380000}"/>
    <cellStyle name="40% - Accent3 5 3 3 2" xfId="3690" xr:uid="{00000000-0005-0000-0000-0000F0380000}"/>
    <cellStyle name="40% - Accent3 5 3 3 2 2" xfId="15246" xr:uid="{00000000-0005-0000-0000-0000F1380000}"/>
    <cellStyle name="40% - Accent3 5 3 3 2 2 2" xfId="28795" xr:uid="{00000000-0005-0000-0000-0000F2380000}"/>
    <cellStyle name="40% - Accent3 5 3 3 2 3" xfId="21015" xr:uid="{00000000-0005-0000-0000-0000F3380000}"/>
    <cellStyle name="40% - Accent3 5 3 3 3" xfId="11073" xr:uid="{00000000-0005-0000-0000-0000F4380000}"/>
    <cellStyle name="40% - Accent3 5 3 3 3 2" xfId="25015" xr:uid="{00000000-0005-0000-0000-0000F5380000}"/>
    <cellStyle name="40% - Accent3 5 3 3 4" xfId="21014" xr:uid="{00000000-0005-0000-0000-0000F6380000}"/>
    <cellStyle name="40% - Accent3 5 3 4" xfId="3691" xr:uid="{00000000-0005-0000-0000-0000F7380000}"/>
    <cellStyle name="40% - Accent3 5 3 4 2" xfId="12131" xr:uid="{00000000-0005-0000-0000-0000F8380000}"/>
    <cellStyle name="40% - Accent3 5 3 4 2 2" xfId="25843" xr:uid="{00000000-0005-0000-0000-0000F9380000}"/>
    <cellStyle name="40% - Accent3 5 3 4 3" xfId="21016" xr:uid="{00000000-0005-0000-0000-0000FA380000}"/>
    <cellStyle name="40% - Accent3 5 3 5" xfId="3692" xr:uid="{00000000-0005-0000-0000-0000FB380000}"/>
    <cellStyle name="40% - Accent3 5 3 5 2" xfId="12846" xr:uid="{00000000-0005-0000-0000-0000FC380000}"/>
    <cellStyle name="40% - Accent3 5 3 5 2 2" xfId="26558" xr:uid="{00000000-0005-0000-0000-0000FD380000}"/>
    <cellStyle name="40% - Accent3 5 3 5 3" xfId="21017" xr:uid="{00000000-0005-0000-0000-0000FE380000}"/>
    <cellStyle name="40% - Accent3 5 3 6" xfId="3693" xr:uid="{00000000-0005-0000-0000-0000FF380000}"/>
    <cellStyle name="40% - Accent3 5 3 6 2" xfId="13695" xr:uid="{00000000-0005-0000-0000-000000390000}"/>
    <cellStyle name="40% - Accent3 5 3 6 2 2" xfId="27244" xr:uid="{00000000-0005-0000-0000-000001390000}"/>
    <cellStyle name="40% - Accent3 5 3 6 3" xfId="21018" xr:uid="{00000000-0005-0000-0000-000002390000}"/>
    <cellStyle name="40% - Accent3 5 3 7" xfId="3694" xr:uid="{00000000-0005-0000-0000-000003390000}"/>
    <cellStyle name="40% - Accent3 5 3 7 2" xfId="14276" xr:uid="{00000000-0005-0000-0000-000004390000}"/>
    <cellStyle name="40% - Accent3 5 3 7 2 2" xfId="27825" xr:uid="{00000000-0005-0000-0000-000005390000}"/>
    <cellStyle name="40% - Accent3 5 3 7 3" xfId="21019" xr:uid="{00000000-0005-0000-0000-000006390000}"/>
    <cellStyle name="40% - Accent3 5 3 8" xfId="3695" xr:uid="{00000000-0005-0000-0000-000007390000}"/>
    <cellStyle name="40% - Accent3 5 3 8 2" xfId="15244" xr:uid="{00000000-0005-0000-0000-000008390000}"/>
    <cellStyle name="40% - Accent3 5 3 8 2 2" xfId="28793" xr:uid="{00000000-0005-0000-0000-000009390000}"/>
    <cellStyle name="40% - Accent3 5 3 8 3" xfId="21020" xr:uid="{00000000-0005-0000-0000-00000A390000}"/>
    <cellStyle name="40% - Accent3 5 3 9" xfId="3696" xr:uid="{00000000-0005-0000-0000-00000B390000}"/>
    <cellStyle name="40% - Accent3 5 3 9 2" xfId="16162" xr:uid="{00000000-0005-0000-0000-00000C390000}"/>
    <cellStyle name="40% - Accent3 5 3 9 2 2" xfId="29569" xr:uid="{00000000-0005-0000-0000-00000D390000}"/>
    <cellStyle name="40% - Accent3 5 3 9 3" xfId="21021" xr:uid="{00000000-0005-0000-0000-00000E390000}"/>
    <cellStyle name="40% - Accent3 5 4" xfId="3697" xr:uid="{00000000-0005-0000-0000-00000F390000}"/>
    <cellStyle name="40% - Accent3 5 4 2" xfId="3698" xr:uid="{00000000-0005-0000-0000-000010390000}"/>
    <cellStyle name="40% - Accent3 5 4 2 2" xfId="11075" xr:uid="{00000000-0005-0000-0000-000011390000}"/>
    <cellStyle name="40% - Accent3 5 4 2 2 2" xfId="25017" xr:uid="{00000000-0005-0000-0000-000012390000}"/>
    <cellStyle name="40% - Accent3 5 4 2 3" xfId="21023" xr:uid="{00000000-0005-0000-0000-000013390000}"/>
    <cellStyle name="40% - Accent3 5 4 3" xfId="3699" xr:uid="{00000000-0005-0000-0000-000014390000}"/>
    <cellStyle name="40% - Accent3 5 4 3 2" xfId="12848" xr:uid="{00000000-0005-0000-0000-000015390000}"/>
    <cellStyle name="40% - Accent3 5 4 3 2 2" xfId="26560" xr:uid="{00000000-0005-0000-0000-000016390000}"/>
    <cellStyle name="40% - Accent3 5 4 3 3" xfId="21024" xr:uid="{00000000-0005-0000-0000-000017390000}"/>
    <cellStyle name="40% - Accent3 5 4 4" xfId="3700" xr:uid="{00000000-0005-0000-0000-000018390000}"/>
    <cellStyle name="40% - Accent3 5 4 4 2" xfId="15247" xr:uid="{00000000-0005-0000-0000-000019390000}"/>
    <cellStyle name="40% - Accent3 5 4 4 2 2" xfId="28796" xr:uid="{00000000-0005-0000-0000-00001A390000}"/>
    <cellStyle name="40% - Accent3 5 4 4 3" xfId="21025" xr:uid="{00000000-0005-0000-0000-00001B390000}"/>
    <cellStyle name="40% - Accent3 5 4 5" xfId="3701" xr:uid="{00000000-0005-0000-0000-00001C390000}"/>
    <cellStyle name="40% - Accent3 5 4 5 2" xfId="16451" xr:uid="{00000000-0005-0000-0000-00001D390000}"/>
    <cellStyle name="40% - Accent3 5 4 5 2 2" xfId="29858" xr:uid="{00000000-0005-0000-0000-00001E390000}"/>
    <cellStyle name="40% - Accent3 5 4 5 3" xfId="21026" xr:uid="{00000000-0005-0000-0000-00001F390000}"/>
    <cellStyle name="40% - Accent3 5 4 6" xfId="9348" xr:uid="{00000000-0005-0000-0000-000020390000}"/>
    <cellStyle name="40% - Accent3 5 4 6 2" xfId="23823" xr:uid="{00000000-0005-0000-0000-000021390000}"/>
    <cellStyle name="40% - Accent3 5 4 7" xfId="21022" xr:uid="{00000000-0005-0000-0000-000022390000}"/>
    <cellStyle name="40% - Accent3 5 5" xfId="3702" xr:uid="{00000000-0005-0000-0000-000023390000}"/>
    <cellStyle name="40% - Accent3 5 5 2" xfId="3703" xr:uid="{00000000-0005-0000-0000-000024390000}"/>
    <cellStyle name="40% - Accent3 5 5 2 2" xfId="15248" xr:uid="{00000000-0005-0000-0000-000025390000}"/>
    <cellStyle name="40% - Accent3 5 5 2 2 2" xfId="28797" xr:uid="{00000000-0005-0000-0000-000026390000}"/>
    <cellStyle name="40% - Accent3 5 5 2 3" xfId="21028" xr:uid="{00000000-0005-0000-0000-000027390000}"/>
    <cellStyle name="40% - Accent3 5 5 3" xfId="11068" xr:uid="{00000000-0005-0000-0000-000028390000}"/>
    <cellStyle name="40% - Accent3 5 5 3 2" xfId="25010" xr:uid="{00000000-0005-0000-0000-000029390000}"/>
    <cellStyle name="40% - Accent3 5 5 4" xfId="21027" xr:uid="{00000000-0005-0000-0000-00002A390000}"/>
    <cellStyle name="40% - Accent3 5 6" xfId="3704" xr:uid="{00000000-0005-0000-0000-00002B390000}"/>
    <cellStyle name="40% - Accent3 5 6 2" xfId="11802" xr:uid="{00000000-0005-0000-0000-00002C390000}"/>
    <cellStyle name="40% - Accent3 5 6 2 2" xfId="25517" xr:uid="{00000000-0005-0000-0000-00002D390000}"/>
    <cellStyle name="40% - Accent3 5 6 3" xfId="21029" xr:uid="{00000000-0005-0000-0000-00002E390000}"/>
    <cellStyle name="40% - Accent3 5 7" xfId="3705" xr:uid="{00000000-0005-0000-0000-00002F390000}"/>
    <cellStyle name="40% - Accent3 5 7 2" xfId="12841" xr:uid="{00000000-0005-0000-0000-000030390000}"/>
    <cellStyle name="40% - Accent3 5 7 2 2" xfId="26553" xr:uid="{00000000-0005-0000-0000-000031390000}"/>
    <cellStyle name="40% - Accent3 5 7 3" xfId="21030" xr:uid="{00000000-0005-0000-0000-000032390000}"/>
    <cellStyle name="40% - Accent3 5 8" xfId="3706" xr:uid="{00000000-0005-0000-0000-000033390000}"/>
    <cellStyle name="40% - Accent3 5 8 2" xfId="13403" xr:uid="{00000000-0005-0000-0000-000034390000}"/>
    <cellStyle name="40% - Accent3 5 8 2 2" xfId="26952" xr:uid="{00000000-0005-0000-0000-000035390000}"/>
    <cellStyle name="40% - Accent3 5 8 3" xfId="21031" xr:uid="{00000000-0005-0000-0000-000036390000}"/>
    <cellStyle name="40% - Accent3 5 9" xfId="3707" xr:uid="{00000000-0005-0000-0000-000037390000}"/>
    <cellStyle name="40% - Accent3 5 9 2" xfId="13984" xr:uid="{00000000-0005-0000-0000-000038390000}"/>
    <cellStyle name="40% - Accent3 5 9 2 2" xfId="27533" xr:uid="{00000000-0005-0000-0000-000039390000}"/>
    <cellStyle name="40% - Accent3 5 9 3" xfId="21032" xr:uid="{00000000-0005-0000-0000-00003A390000}"/>
    <cellStyle name="40% - Accent3 6" xfId="3708" xr:uid="{00000000-0005-0000-0000-00003B390000}"/>
    <cellStyle name="40% - Accent3 6 10" xfId="3709" xr:uid="{00000000-0005-0000-0000-00003C390000}"/>
    <cellStyle name="40% - Accent3 6 10 2" xfId="15249" xr:uid="{00000000-0005-0000-0000-00003D390000}"/>
    <cellStyle name="40% - Accent3 6 10 2 2" xfId="28798" xr:uid="{00000000-0005-0000-0000-00003E390000}"/>
    <cellStyle name="40% - Accent3 6 10 3" xfId="21034" xr:uid="{00000000-0005-0000-0000-00003F390000}"/>
    <cellStyle name="40% - Accent3 6 11" xfId="3710" xr:uid="{00000000-0005-0000-0000-000040390000}"/>
    <cellStyle name="40% - Accent3 6 11 2" xfId="15976" xr:uid="{00000000-0005-0000-0000-000041390000}"/>
    <cellStyle name="40% - Accent3 6 11 2 2" xfId="29383" xr:uid="{00000000-0005-0000-0000-000042390000}"/>
    <cellStyle name="40% - Accent3 6 11 3" xfId="21035" xr:uid="{00000000-0005-0000-0000-000043390000}"/>
    <cellStyle name="40% - Accent3 6 12" xfId="9349" xr:uid="{00000000-0005-0000-0000-000044390000}"/>
    <cellStyle name="40% - Accent3 6 12 2" xfId="23824" xr:uid="{00000000-0005-0000-0000-000045390000}"/>
    <cellStyle name="40% - Accent3 6 13" xfId="21033" xr:uid="{00000000-0005-0000-0000-000046390000}"/>
    <cellStyle name="40% - Accent3 6 2" xfId="3711" xr:uid="{00000000-0005-0000-0000-000047390000}"/>
    <cellStyle name="40% - Accent3 6 2 10" xfId="3712" xr:uid="{00000000-0005-0000-0000-000048390000}"/>
    <cellStyle name="40% - Accent3 6 2 10 2" xfId="16119" xr:uid="{00000000-0005-0000-0000-000049390000}"/>
    <cellStyle name="40% - Accent3 6 2 10 2 2" xfId="29526" xr:uid="{00000000-0005-0000-0000-00004A390000}"/>
    <cellStyle name="40% - Accent3 6 2 10 3" xfId="21037" xr:uid="{00000000-0005-0000-0000-00004B390000}"/>
    <cellStyle name="40% - Accent3 6 2 11" xfId="9350" xr:uid="{00000000-0005-0000-0000-00004C390000}"/>
    <cellStyle name="40% - Accent3 6 2 11 2" xfId="23825" xr:uid="{00000000-0005-0000-0000-00004D390000}"/>
    <cellStyle name="40% - Accent3 6 2 12" xfId="21036" xr:uid="{00000000-0005-0000-0000-00004E390000}"/>
    <cellStyle name="40% - Accent3 6 2 2" xfId="3713" xr:uid="{00000000-0005-0000-0000-00004F390000}"/>
    <cellStyle name="40% - Accent3 6 2 2 10" xfId="9351" xr:uid="{00000000-0005-0000-0000-000050390000}"/>
    <cellStyle name="40% - Accent3 6 2 2 10 2" xfId="23826" xr:uid="{00000000-0005-0000-0000-000051390000}"/>
    <cellStyle name="40% - Accent3 6 2 2 11" xfId="21038" xr:uid="{00000000-0005-0000-0000-000052390000}"/>
    <cellStyle name="40% - Accent3 6 2 2 2" xfId="3714" xr:uid="{00000000-0005-0000-0000-000053390000}"/>
    <cellStyle name="40% - Accent3 6 2 2 2 2" xfId="3715" xr:uid="{00000000-0005-0000-0000-000054390000}"/>
    <cellStyle name="40% - Accent3 6 2 2 2 2 2" xfId="11079" xr:uid="{00000000-0005-0000-0000-000055390000}"/>
    <cellStyle name="40% - Accent3 6 2 2 2 2 2 2" xfId="25021" xr:uid="{00000000-0005-0000-0000-000056390000}"/>
    <cellStyle name="40% - Accent3 6 2 2 2 2 3" xfId="21040" xr:uid="{00000000-0005-0000-0000-000057390000}"/>
    <cellStyle name="40% - Accent3 6 2 2 2 3" xfId="3716" xr:uid="{00000000-0005-0000-0000-000058390000}"/>
    <cellStyle name="40% - Accent3 6 2 2 2 3 2" xfId="12852" xr:uid="{00000000-0005-0000-0000-000059390000}"/>
    <cellStyle name="40% - Accent3 6 2 2 2 3 2 2" xfId="26564" xr:uid="{00000000-0005-0000-0000-00005A390000}"/>
    <cellStyle name="40% - Accent3 6 2 2 2 3 3" xfId="21041" xr:uid="{00000000-0005-0000-0000-00005B390000}"/>
    <cellStyle name="40% - Accent3 6 2 2 2 4" xfId="3717" xr:uid="{00000000-0005-0000-0000-00005C390000}"/>
    <cellStyle name="40% - Accent3 6 2 2 2 4 2" xfId="15252" xr:uid="{00000000-0005-0000-0000-00005D390000}"/>
    <cellStyle name="40% - Accent3 6 2 2 2 4 2 2" xfId="28801" xr:uid="{00000000-0005-0000-0000-00005E390000}"/>
    <cellStyle name="40% - Accent3 6 2 2 2 4 3" xfId="21042" xr:uid="{00000000-0005-0000-0000-00005F390000}"/>
    <cellStyle name="40% - Accent3 6 2 2 2 5" xfId="3718" xr:uid="{00000000-0005-0000-0000-000060390000}"/>
    <cellStyle name="40% - Accent3 6 2 2 2 5 2" xfId="16989" xr:uid="{00000000-0005-0000-0000-000061390000}"/>
    <cellStyle name="40% - Accent3 6 2 2 2 5 2 2" xfId="30396" xr:uid="{00000000-0005-0000-0000-000062390000}"/>
    <cellStyle name="40% - Accent3 6 2 2 2 5 3" xfId="21043" xr:uid="{00000000-0005-0000-0000-000063390000}"/>
    <cellStyle name="40% - Accent3 6 2 2 2 6" xfId="9352" xr:uid="{00000000-0005-0000-0000-000064390000}"/>
    <cellStyle name="40% - Accent3 6 2 2 2 6 2" xfId="23827" xr:uid="{00000000-0005-0000-0000-000065390000}"/>
    <cellStyle name="40% - Accent3 6 2 2 2 7" xfId="21039" xr:uid="{00000000-0005-0000-0000-000066390000}"/>
    <cellStyle name="40% - Accent3 6 2 2 3" xfId="3719" xr:uid="{00000000-0005-0000-0000-000067390000}"/>
    <cellStyle name="40% - Accent3 6 2 2 3 2" xfId="3720" xr:uid="{00000000-0005-0000-0000-000068390000}"/>
    <cellStyle name="40% - Accent3 6 2 2 3 2 2" xfId="15253" xr:uid="{00000000-0005-0000-0000-000069390000}"/>
    <cellStyle name="40% - Accent3 6 2 2 3 2 2 2" xfId="28802" xr:uid="{00000000-0005-0000-0000-00006A390000}"/>
    <cellStyle name="40% - Accent3 6 2 2 3 2 3" xfId="21045" xr:uid="{00000000-0005-0000-0000-00006B390000}"/>
    <cellStyle name="40% - Accent3 6 2 2 3 3" xfId="11078" xr:uid="{00000000-0005-0000-0000-00006C390000}"/>
    <cellStyle name="40% - Accent3 6 2 2 3 3 2" xfId="25020" xr:uid="{00000000-0005-0000-0000-00006D390000}"/>
    <cellStyle name="40% - Accent3 6 2 2 3 4" xfId="21044" xr:uid="{00000000-0005-0000-0000-00006E390000}"/>
    <cellStyle name="40% - Accent3 6 2 2 4" xfId="3721" xr:uid="{00000000-0005-0000-0000-00006F390000}"/>
    <cellStyle name="40% - Accent3 6 2 2 4 2" xfId="12377" xr:uid="{00000000-0005-0000-0000-000070390000}"/>
    <cellStyle name="40% - Accent3 6 2 2 4 2 2" xfId="26089" xr:uid="{00000000-0005-0000-0000-000071390000}"/>
    <cellStyle name="40% - Accent3 6 2 2 4 3" xfId="21046" xr:uid="{00000000-0005-0000-0000-000072390000}"/>
    <cellStyle name="40% - Accent3 6 2 2 5" xfId="3722" xr:uid="{00000000-0005-0000-0000-000073390000}"/>
    <cellStyle name="40% - Accent3 6 2 2 5 2" xfId="12851" xr:uid="{00000000-0005-0000-0000-000074390000}"/>
    <cellStyle name="40% - Accent3 6 2 2 5 2 2" xfId="26563" xr:uid="{00000000-0005-0000-0000-000075390000}"/>
    <cellStyle name="40% - Accent3 6 2 2 5 3" xfId="21047" xr:uid="{00000000-0005-0000-0000-000076390000}"/>
    <cellStyle name="40% - Accent3 6 2 2 6" xfId="3723" xr:uid="{00000000-0005-0000-0000-000077390000}"/>
    <cellStyle name="40% - Accent3 6 2 2 6 2" xfId="13941" xr:uid="{00000000-0005-0000-0000-000078390000}"/>
    <cellStyle name="40% - Accent3 6 2 2 6 2 2" xfId="27490" xr:uid="{00000000-0005-0000-0000-000079390000}"/>
    <cellStyle name="40% - Accent3 6 2 2 6 3" xfId="21048" xr:uid="{00000000-0005-0000-0000-00007A390000}"/>
    <cellStyle name="40% - Accent3 6 2 2 7" xfId="3724" xr:uid="{00000000-0005-0000-0000-00007B390000}"/>
    <cellStyle name="40% - Accent3 6 2 2 7 2" xfId="14522" xr:uid="{00000000-0005-0000-0000-00007C390000}"/>
    <cellStyle name="40% - Accent3 6 2 2 7 2 2" xfId="28071" xr:uid="{00000000-0005-0000-0000-00007D390000}"/>
    <cellStyle name="40% - Accent3 6 2 2 7 3" xfId="21049" xr:uid="{00000000-0005-0000-0000-00007E390000}"/>
    <cellStyle name="40% - Accent3 6 2 2 8" xfId="3725" xr:uid="{00000000-0005-0000-0000-00007F390000}"/>
    <cellStyle name="40% - Accent3 6 2 2 8 2" xfId="15251" xr:uid="{00000000-0005-0000-0000-000080390000}"/>
    <cellStyle name="40% - Accent3 6 2 2 8 2 2" xfId="28800" xr:uid="{00000000-0005-0000-0000-000081390000}"/>
    <cellStyle name="40% - Accent3 6 2 2 8 3" xfId="21050" xr:uid="{00000000-0005-0000-0000-000082390000}"/>
    <cellStyle name="40% - Accent3 6 2 2 9" xfId="3726" xr:uid="{00000000-0005-0000-0000-000083390000}"/>
    <cellStyle name="40% - Accent3 6 2 2 9 2" xfId="16408" xr:uid="{00000000-0005-0000-0000-000084390000}"/>
    <cellStyle name="40% - Accent3 6 2 2 9 2 2" xfId="29815" xr:uid="{00000000-0005-0000-0000-000085390000}"/>
    <cellStyle name="40% - Accent3 6 2 2 9 3" xfId="21051" xr:uid="{00000000-0005-0000-0000-000086390000}"/>
    <cellStyle name="40% - Accent3 6 2 3" xfId="3727" xr:uid="{00000000-0005-0000-0000-000087390000}"/>
    <cellStyle name="40% - Accent3 6 2 3 2" xfId="3728" xr:uid="{00000000-0005-0000-0000-000088390000}"/>
    <cellStyle name="40% - Accent3 6 2 3 2 2" xfId="11080" xr:uid="{00000000-0005-0000-0000-000089390000}"/>
    <cellStyle name="40% - Accent3 6 2 3 2 2 2" xfId="25022" xr:uid="{00000000-0005-0000-0000-00008A390000}"/>
    <cellStyle name="40% - Accent3 6 2 3 2 3" xfId="21053" xr:uid="{00000000-0005-0000-0000-00008B390000}"/>
    <cellStyle name="40% - Accent3 6 2 3 3" xfId="3729" xr:uid="{00000000-0005-0000-0000-00008C390000}"/>
    <cellStyle name="40% - Accent3 6 2 3 3 2" xfId="12853" xr:uid="{00000000-0005-0000-0000-00008D390000}"/>
    <cellStyle name="40% - Accent3 6 2 3 3 2 2" xfId="26565" xr:uid="{00000000-0005-0000-0000-00008E390000}"/>
    <cellStyle name="40% - Accent3 6 2 3 3 3" xfId="21054" xr:uid="{00000000-0005-0000-0000-00008F390000}"/>
    <cellStyle name="40% - Accent3 6 2 3 4" xfId="3730" xr:uid="{00000000-0005-0000-0000-000090390000}"/>
    <cellStyle name="40% - Accent3 6 2 3 4 2" xfId="15254" xr:uid="{00000000-0005-0000-0000-000091390000}"/>
    <cellStyle name="40% - Accent3 6 2 3 4 2 2" xfId="28803" xr:uid="{00000000-0005-0000-0000-000092390000}"/>
    <cellStyle name="40% - Accent3 6 2 3 4 3" xfId="21055" xr:uid="{00000000-0005-0000-0000-000093390000}"/>
    <cellStyle name="40% - Accent3 6 2 3 5" xfId="3731" xr:uid="{00000000-0005-0000-0000-000094390000}"/>
    <cellStyle name="40% - Accent3 6 2 3 5 2" xfId="16700" xr:uid="{00000000-0005-0000-0000-000095390000}"/>
    <cellStyle name="40% - Accent3 6 2 3 5 2 2" xfId="30107" xr:uid="{00000000-0005-0000-0000-000096390000}"/>
    <cellStyle name="40% - Accent3 6 2 3 5 3" xfId="21056" xr:uid="{00000000-0005-0000-0000-000097390000}"/>
    <cellStyle name="40% - Accent3 6 2 3 6" xfId="9353" xr:uid="{00000000-0005-0000-0000-000098390000}"/>
    <cellStyle name="40% - Accent3 6 2 3 6 2" xfId="23828" xr:uid="{00000000-0005-0000-0000-000099390000}"/>
    <cellStyle name="40% - Accent3 6 2 3 7" xfId="21052" xr:uid="{00000000-0005-0000-0000-00009A390000}"/>
    <cellStyle name="40% - Accent3 6 2 4" xfId="3732" xr:uid="{00000000-0005-0000-0000-00009B390000}"/>
    <cellStyle name="40% - Accent3 6 2 4 2" xfId="3733" xr:uid="{00000000-0005-0000-0000-00009C390000}"/>
    <cellStyle name="40% - Accent3 6 2 4 2 2" xfId="15255" xr:uid="{00000000-0005-0000-0000-00009D390000}"/>
    <cellStyle name="40% - Accent3 6 2 4 2 2 2" xfId="28804" xr:uid="{00000000-0005-0000-0000-00009E390000}"/>
    <cellStyle name="40% - Accent3 6 2 4 2 3" xfId="21058" xr:uid="{00000000-0005-0000-0000-00009F390000}"/>
    <cellStyle name="40% - Accent3 6 2 4 3" xfId="11077" xr:uid="{00000000-0005-0000-0000-0000A0390000}"/>
    <cellStyle name="40% - Accent3 6 2 4 3 2" xfId="25019" xr:uid="{00000000-0005-0000-0000-0000A1390000}"/>
    <cellStyle name="40% - Accent3 6 2 4 4" xfId="21057" xr:uid="{00000000-0005-0000-0000-0000A2390000}"/>
    <cellStyle name="40% - Accent3 6 2 5" xfId="3734" xr:uid="{00000000-0005-0000-0000-0000A3390000}"/>
    <cellStyle name="40% - Accent3 6 2 5 2" xfId="12077" xr:uid="{00000000-0005-0000-0000-0000A4390000}"/>
    <cellStyle name="40% - Accent3 6 2 5 2 2" xfId="25792" xr:uid="{00000000-0005-0000-0000-0000A5390000}"/>
    <cellStyle name="40% - Accent3 6 2 5 3" xfId="21059" xr:uid="{00000000-0005-0000-0000-0000A6390000}"/>
    <cellStyle name="40% - Accent3 6 2 6" xfId="3735" xr:uid="{00000000-0005-0000-0000-0000A7390000}"/>
    <cellStyle name="40% - Accent3 6 2 6 2" xfId="12850" xr:uid="{00000000-0005-0000-0000-0000A8390000}"/>
    <cellStyle name="40% - Accent3 6 2 6 2 2" xfId="26562" xr:uid="{00000000-0005-0000-0000-0000A9390000}"/>
    <cellStyle name="40% - Accent3 6 2 6 3" xfId="21060" xr:uid="{00000000-0005-0000-0000-0000AA390000}"/>
    <cellStyle name="40% - Accent3 6 2 7" xfId="3736" xr:uid="{00000000-0005-0000-0000-0000AB390000}"/>
    <cellStyle name="40% - Accent3 6 2 7 2" xfId="13652" xr:uid="{00000000-0005-0000-0000-0000AC390000}"/>
    <cellStyle name="40% - Accent3 6 2 7 2 2" xfId="27201" xr:uid="{00000000-0005-0000-0000-0000AD390000}"/>
    <cellStyle name="40% - Accent3 6 2 7 3" xfId="21061" xr:uid="{00000000-0005-0000-0000-0000AE390000}"/>
    <cellStyle name="40% - Accent3 6 2 8" xfId="3737" xr:uid="{00000000-0005-0000-0000-0000AF390000}"/>
    <cellStyle name="40% - Accent3 6 2 8 2" xfId="14233" xr:uid="{00000000-0005-0000-0000-0000B0390000}"/>
    <cellStyle name="40% - Accent3 6 2 8 2 2" xfId="27782" xr:uid="{00000000-0005-0000-0000-0000B1390000}"/>
    <cellStyle name="40% - Accent3 6 2 8 3" xfId="21062" xr:uid="{00000000-0005-0000-0000-0000B2390000}"/>
    <cellStyle name="40% - Accent3 6 2 9" xfId="3738" xr:uid="{00000000-0005-0000-0000-0000B3390000}"/>
    <cellStyle name="40% - Accent3 6 2 9 2" xfId="15250" xr:uid="{00000000-0005-0000-0000-0000B4390000}"/>
    <cellStyle name="40% - Accent3 6 2 9 2 2" xfId="28799" xr:uid="{00000000-0005-0000-0000-0000B5390000}"/>
    <cellStyle name="40% - Accent3 6 2 9 3" xfId="21063" xr:uid="{00000000-0005-0000-0000-0000B6390000}"/>
    <cellStyle name="40% - Accent3 6 3" xfId="3739" xr:uid="{00000000-0005-0000-0000-0000B7390000}"/>
    <cellStyle name="40% - Accent3 6 3 10" xfId="9354" xr:uid="{00000000-0005-0000-0000-0000B8390000}"/>
    <cellStyle name="40% - Accent3 6 3 10 2" xfId="23829" xr:uid="{00000000-0005-0000-0000-0000B9390000}"/>
    <cellStyle name="40% - Accent3 6 3 11" xfId="21064" xr:uid="{00000000-0005-0000-0000-0000BA390000}"/>
    <cellStyle name="40% - Accent3 6 3 2" xfId="3740" xr:uid="{00000000-0005-0000-0000-0000BB390000}"/>
    <cellStyle name="40% - Accent3 6 3 2 2" xfId="3741" xr:uid="{00000000-0005-0000-0000-0000BC390000}"/>
    <cellStyle name="40% - Accent3 6 3 2 2 2" xfId="11082" xr:uid="{00000000-0005-0000-0000-0000BD390000}"/>
    <cellStyle name="40% - Accent3 6 3 2 2 2 2" xfId="25024" xr:uid="{00000000-0005-0000-0000-0000BE390000}"/>
    <cellStyle name="40% - Accent3 6 3 2 2 3" xfId="21066" xr:uid="{00000000-0005-0000-0000-0000BF390000}"/>
    <cellStyle name="40% - Accent3 6 3 2 3" xfId="3742" xr:uid="{00000000-0005-0000-0000-0000C0390000}"/>
    <cellStyle name="40% - Accent3 6 3 2 3 2" xfId="12855" xr:uid="{00000000-0005-0000-0000-0000C1390000}"/>
    <cellStyle name="40% - Accent3 6 3 2 3 2 2" xfId="26567" xr:uid="{00000000-0005-0000-0000-0000C2390000}"/>
    <cellStyle name="40% - Accent3 6 3 2 3 3" xfId="21067" xr:uid="{00000000-0005-0000-0000-0000C3390000}"/>
    <cellStyle name="40% - Accent3 6 3 2 4" xfId="3743" xr:uid="{00000000-0005-0000-0000-0000C4390000}"/>
    <cellStyle name="40% - Accent3 6 3 2 4 2" xfId="15257" xr:uid="{00000000-0005-0000-0000-0000C5390000}"/>
    <cellStyle name="40% - Accent3 6 3 2 4 2 2" xfId="28806" xr:uid="{00000000-0005-0000-0000-0000C6390000}"/>
    <cellStyle name="40% - Accent3 6 3 2 4 3" xfId="21068" xr:uid="{00000000-0005-0000-0000-0000C7390000}"/>
    <cellStyle name="40% - Accent3 6 3 2 5" xfId="3744" xr:uid="{00000000-0005-0000-0000-0000C8390000}"/>
    <cellStyle name="40% - Accent3 6 3 2 5 2" xfId="16846" xr:uid="{00000000-0005-0000-0000-0000C9390000}"/>
    <cellStyle name="40% - Accent3 6 3 2 5 2 2" xfId="30253" xr:uid="{00000000-0005-0000-0000-0000CA390000}"/>
    <cellStyle name="40% - Accent3 6 3 2 5 3" xfId="21069" xr:uid="{00000000-0005-0000-0000-0000CB390000}"/>
    <cellStyle name="40% - Accent3 6 3 2 6" xfId="9355" xr:uid="{00000000-0005-0000-0000-0000CC390000}"/>
    <cellStyle name="40% - Accent3 6 3 2 6 2" xfId="23830" xr:uid="{00000000-0005-0000-0000-0000CD390000}"/>
    <cellStyle name="40% - Accent3 6 3 2 7" xfId="21065" xr:uid="{00000000-0005-0000-0000-0000CE390000}"/>
    <cellStyle name="40% - Accent3 6 3 3" xfId="3745" xr:uid="{00000000-0005-0000-0000-0000CF390000}"/>
    <cellStyle name="40% - Accent3 6 3 3 2" xfId="3746" xr:uid="{00000000-0005-0000-0000-0000D0390000}"/>
    <cellStyle name="40% - Accent3 6 3 3 2 2" xfId="15258" xr:uid="{00000000-0005-0000-0000-0000D1390000}"/>
    <cellStyle name="40% - Accent3 6 3 3 2 2 2" xfId="28807" xr:uid="{00000000-0005-0000-0000-0000D2390000}"/>
    <cellStyle name="40% - Accent3 6 3 3 2 3" xfId="21071" xr:uid="{00000000-0005-0000-0000-0000D3390000}"/>
    <cellStyle name="40% - Accent3 6 3 3 3" xfId="11081" xr:uid="{00000000-0005-0000-0000-0000D4390000}"/>
    <cellStyle name="40% - Accent3 6 3 3 3 2" xfId="25023" xr:uid="{00000000-0005-0000-0000-0000D5390000}"/>
    <cellStyle name="40% - Accent3 6 3 3 4" xfId="21070" xr:uid="{00000000-0005-0000-0000-0000D6390000}"/>
    <cellStyle name="40% - Accent3 6 3 4" xfId="3747" xr:uid="{00000000-0005-0000-0000-0000D7390000}"/>
    <cellStyle name="40% - Accent3 6 3 4 2" xfId="12234" xr:uid="{00000000-0005-0000-0000-0000D8390000}"/>
    <cellStyle name="40% - Accent3 6 3 4 2 2" xfId="25946" xr:uid="{00000000-0005-0000-0000-0000D9390000}"/>
    <cellStyle name="40% - Accent3 6 3 4 3" xfId="21072" xr:uid="{00000000-0005-0000-0000-0000DA390000}"/>
    <cellStyle name="40% - Accent3 6 3 5" xfId="3748" xr:uid="{00000000-0005-0000-0000-0000DB390000}"/>
    <cellStyle name="40% - Accent3 6 3 5 2" xfId="12854" xr:uid="{00000000-0005-0000-0000-0000DC390000}"/>
    <cellStyle name="40% - Accent3 6 3 5 2 2" xfId="26566" xr:uid="{00000000-0005-0000-0000-0000DD390000}"/>
    <cellStyle name="40% - Accent3 6 3 5 3" xfId="21073" xr:uid="{00000000-0005-0000-0000-0000DE390000}"/>
    <cellStyle name="40% - Accent3 6 3 6" xfId="3749" xr:uid="{00000000-0005-0000-0000-0000DF390000}"/>
    <cellStyle name="40% - Accent3 6 3 6 2" xfId="13798" xr:uid="{00000000-0005-0000-0000-0000E0390000}"/>
    <cellStyle name="40% - Accent3 6 3 6 2 2" xfId="27347" xr:uid="{00000000-0005-0000-0000-0000E1390000}"/>
    <cellStyle name="40% - Accent3 6 3 6 3" xfId="21074" xr:uid="{00000000-0005-0000-0000-0000E2390000}"/>
    <cellStyle name="40% - Accent3 6 3 7" xfId="3750" xr:uid="{00000000-0005-0000-0000-0000E3390000}"/>
    <cellStyle name="40% - Accent3 6 3 7 2" xfId="14379" xr:uid="{00000000-0005-0000-0000-0000E4390000}"/>
    <cellStyle name="40% - Accent3 6 3 7 2 2" xfId="27928" xr:uid="{00000000-0005-0000-0000-0000E5390000}"/>
    <cellStyle name="40% - Accent3 6 3 7 3" xfId="21075" xr:uid="{00000000-0005-0000-0000-0000E6390000}"/>
    <cellStyle name="40% - Accent3 6 3 8" xfId="3751" xr:uid="{00000000-0005-0000-0000-0000E7390000}"/>
    <cellStyle name="40% - Accent3 6 3 8 2" xfId="15256" xr:uid="{00000000-0005-0000-0000-0000E8390000}"/>
    <cellStyle name="40% - Accent3 6 3 8 2 2" xfId="28805" xr:uid="{00000000-0005-0000-0000-0000E9390000}"/>
    <cellStyle name="40% - Accent3 6 3 8 3" xfId="21076" xr:uid="{00000000-0005-0000-0000-0000EA390000}"/>
    <cellStyle name="40% - Accent3 6 3 9" xfId="3752" xr:uid="{00000000-0005-0000-0000-0000EB390000}"/>
    <cellStyle name="40% - Accent3 6 3 9 2" xfId="16265" xr:uid="{00000000-0005-0000-0000-0000EC390000}"/>
    <cellStyle name="40% - Accent3 6 3 9 2 2" xfId="29672" xr:uid="{00000000-0005-0000-0000-0000ED390000}"/>
    <cellStyle name="40% - Accent3 6 3 9 3" xfId="21077" xr:uid="{00000000-0005-0000-0000-0000EE390000}"/>
    <cellStyle name="40% - Accent3 6 4" xfId="3753" xr:uid="{00000000-0005-0000-0000-0000EF390000}"/>
    <cellStyle name="40% - Accent3 6 4 2" xfId="3754" xr:uid="{00000000-0005-0000-0000-0000F0390000}"/>
    <cellStyle name="40% - Accent3 6 4 2 2" xfId="11083" xr:uid="{00000000-0005-0000-0000-0000F1390000}"/>
    <cellStyle name="40% - Accent3 6 4 2 2 2" xfId="25025" xr:uid="{00000000-0005-0000-0000-0000F2390000}"/>
    <cellStyle name="40% - Accent3 6 4 2 3" xfId="21079" xr:uid="{00000000-0005-0000-0000-0000F3390000}"/>
    <cellStyle name="40% - Accent3 6 4 3" xfId="3755" xr:uid="{00000000-0005-0000-0000-0000F4390000}"/>
    <cellStyle name="40% - Accent3 6 4 3 2" xfId="12856" xr:uid="{00000000-0005-0000-0000-0000F5390000}"/>
    <cellStyle name="40% - Accent3 6 4 3 2 2" xfId="26568" xr:uid="{00000000-0005-0000-0000-0000F6390000}"/>
    <cellStyle name="40% - Accent3 6 4 3 3" xfId="21080" xr:uid="{00000000-0005-0000-0000-0000F7390000}"/>
    <cellStyle name="40% - Accent3 6 4 4" xfId="3756" xr:uid="{00000000-0005-0000-0000-0000F8390000}"/>
    <cellStyle name="40% - Accent3 6 4 4 2" xfId="15259" xr:uid="{00000000-0005-0000-0000-0000F9390000}"/>
    <cellStyle name="40% - Accent3 6 4 4 2 2" xfId="28808" xr:uid="{00000000-0005-0000-0000-0000FA390000}"/>
    <cellStyle name="40% - Accent3 6 4 4 3" xfId="21081" xr:uid="{00000000-0005-0000-0000-0000FB390000}"/>
    <cellStyle name="40% - Accent3 6 4 5" xfId="3757" xr:uid="{00000000-0005-0000-0000-0000FC390000}"/>
    <cellStyle name="40% - Accent3 6 4 5 2" xfId="16557" xr:uid="{00000000-0005-0000-0000-0000FD390000}"/>
    <cellStyle name="40% - Accent3 6 4 5 2 2" xfId="29964" xr:uid="{00000000-0005-0000-0000-0000FE390000}"/>
    <cellStyle name="40% - Accent3 6 4 5 3" xfId="21082" xr:uid="{00000000-0005-0000-0000-0000FF390000}"/>
    <cellStyle name="40% - Accent3 6 4 6" xfId="9356" xr:uid="{00000000-0005-0000-0000-0000003A0000}"/>
    <cellStyle name="40% - Accent3 6 4 6 2" xfId="23831" xr:uid="{00000000-0005-0000-0000-0000013A0000}"/>
    <cellStyle name="40% - Accent3 6 4 7" xfId="21078" xr:uid="{00000000-0005-0000-0000-0000023A0000}"/>
    <cellStyle name="40% - Accent3 6 5" xfId="3758" xr:uid="{00000000-0005-0000-0000-0000033A0000}"/>
    <cellStyle name="40% - Accent3 6 5 2" xfId="3759" xr:uid="{00000000-0005-0000-0000-0000043A0000}"/>
    <cellStyle name="40% - Accent3 6 5 2 2" xfId="15260" xr:uid="{00000000-0005-0000-0000-0000053A0000}"/>
    <cellStyle name="40% - Accent3 6 5 2 2 2" xfId="28809" xr:uid="{00000000-0005-0000-0000-0000063A0000}"/>
    <cellStyle name="40% - Accent3 6 5 2 3" xfId="21084" xr:uid="{00000000-0005-0000-0000-0000073A0000}"/>
    <cellStyle name="40% - Accent3 6 5 3" xfId="11076" xr:uid="{00000000-0005-0000-0000-0000083A0000}"/>
    <cellStyle name="40% - Accent3 6 5 3 2" xfId="25018" xr:uid="{00000000-0005-0000-0000-0000093A0000}"/>
    <cellStyle name="40% - Accent3 6 5 4" xfId="21083" xr:uid="{00000000-0005-0000-0000-00000A3A0000}"/>
    <cellStyle name="40% - Accent3 6 6" xfId="3760" xr:uid="{00000000-0005-0000-0000-00000B3A0000}"/>
    <cellStyle name="40% - Accent3 6 6 2" xfId="11932" xr:uid="{00000000-0005-0000-0000-00000C3A0000}"/>
    <cellStyle name="40% - Accent3 6 6 2 2" xfId="25647" xr:uid="{00000000-0005-0000-0000-00000D3A0000}"/>
    <cellStyle name="40% - Accent3 6 6 3" xfId="21085" xr:uid="{00000000-0005-0000-0000-00000E3A0000}"/>
    <cellStyle name="40% - Accent3 6 7" xfId="3761" xr:uid="{00000000-0005-0000-0000-00000F3A0000}"/>
    <cellStyle name="40% - Accent3 6 7 2" xfId="12849" xr:uid="{00000000-0005-0000-0000-0000103A0000}"/>
    <cellStyle name="40% - Accent3 6 7 2 2" xfId="26561" xr:uid="{00000000-0005-0000-0000-0000113A0000}"/>
    <cellStyle name="40% - Accent3 6 7 3" xfId="21086" xr:uid="{00000000-0005-0000-0000-0000123A0000}"/>
    <cellStyle name="40% - Accent3 6 8" xfId="3762" xr:uid="{00000000-0005-0000-0000-0000133A0000}"/>
    <cellStyle name="40% - Accent3 6 8 2" xfId="13509" xr:uid="{00000000-0005-0000-0000-0000143A0000}"/>
    <cellStyle name="40% - Accent3 6 8 2 2" xfId="27058" xr:uid="{00000000-0005-0000-0000-0000153A0000}"/>
    <cellStyle name="40% - Accent3 6 8 3" xfId="21087" xr:uid="{00000000-0005-0000-0000-0000163A0000}"/>
    <cellStyle name="40% - Accent3 6 9" xfId="3763" xr:uid="{00000000-0005-0000-0000-0000173A0000}"/>
    <cellStyle name="40% - Accent3 6 9 2" xfId="14090" xr:uid="{00000000-0005-0000-0000-0000183A0000}"/>
    <cellStyle name="40% - Accent3 6 9 2 2" xfId="27639" xr:uid="{00000000-0005-0000-0000-0000193A0000}"/>
    <cellStyle name="40% - Accent3 6 9 3" xfId="21088" xr:uid="{00000000-0005-0000-0000-00001A3A0000}"/>
    <cellStyle name="40% - Accent3 7" xfId="3764" xr:uid="{00000000-0005-0000-0000-00001B3A0000}"/>
    <cellStyle name="40% - Accent3 7 10" xfId="3765" xr:uid="{00000000-0005-0000-0000-00001C3A0000}"/>
    <cellStyle name="40% - Accent3 7 10 2" xfId="15993" xr:uid="{00000000-0005-0000-0000-00001D3A0000}"/>
    <cellStyle name="40% - Accent3 7 10 2 2" xfId="29400" xr:uid="{00000000-0005-0000-0000-00001E3A0000}"/>
    <cellStyle name="40% - Accent3 7 10 3" xfId="21090" xr:uid="{00000000-0005-0000-0000-00001F3A0000}"/>
    <cellStyle name="40% - Accent3 7 11" xfId="9357" xr:uid="{00000000-0005-0000-0000-0000203A0000}"/>
    <cellStyle name="40% - Accent3 7 11 2" xfId="23832" xr:uid="{00000000-0005-0000-0000-0000213A0000}"/>
    <cellStyle name="40% - Accent3 7 12" xfId="21089" xr:uid="{00000000-0005-0000-0000-0000223A0000}"/>
    <cellStyle name="40% - Accent3 7 2" xfId="3766" xr:uid="{00000000-0005-0000-0000-0000233A0000}"/>
    <cellStyle name="40% - Accent3 7 2 10" xfId="9358" xr:uid="{00000000-0005-0000-0000-0000243A0000}"/>
    <cellStyle name="40% - Accent3 7 2 10 2" xfId="23833" xr:uid="{00000000-0005-0000-0000-0000253A0000}"/>
    <cellStyle name="40% - Accent3 7 2 11" xfId="21091" xr:uid="{00000000-0005-0000-0000-0000263A0000}"/>
    <cellStyle name="40% - Accent3 7 2 2" xfId="3767" xr:uid="{00000000-0005-0000-0000-0000273A0000}"/>
    <cellStyle name="40% - Accent3 7 2 2 2" xfId="3768" xr:uid="{00000000-0005-0000-0000-0000283A0000}"/>
    <cellStyle name="40% - Accent3 7 2 2 2 2" xfId="11086" xr:uid="{00000000-0005-0000-0000-0000293A0000}"/>
    <cellStyle name="40% - Accent3 7 2 2 2 2 2" xfId="25028" xr:uid="{00000000-0005-0000-0000-00002A3A0000}"/>
    <cellStyle name="40% - Accent3 7 2 2 2 3" xfId="21093" xr:uid="{00000000-0005-0000-0000-00002B3A0000}"/>
    <cellStyle name="40% - Accent3 7 2 2 3" xfId="3769" xr:uid="{00000000-0005-0000-0000-00002C3A0000}"/>
    <cellStyle name="40% - Accent3 7 2 2 3 2" xfId="12859" xr:uid="{00000000-0005-0000-0000-00002D3A0000}"/>
    <cellStyle name="40% - Accent3 7 2 2 3 2 2" xfId="26571" xr:uid="{00000000-0005-0000-0000-00002E3A0000}"/>
    <cellStyle name="40% - Accent3 7 2 2 3 3" xfId="21094" xr:uid="{00000000-0005-0000-0000-00002F3A0000}"/>
    <cellStyle name="40% - Accent3 7 2 2 4" xfId="3770" xr:uid="{00000000-0005-0000-0000-0000303A0000}"/>
    <cellStyle name="40% - Accent3 7 2 2 4 2" xfId="15263" xr:uid="{00000000-0005-0000-0000-0000313A0000}"/>
    <cellStyle name="40% - Accent3 7 2 2 4 2 2" xfId="28812" xr:uid="{00000000-0005-0000-0000-0000323A0000}"/>
    <cellStyle name="40% - Accent3 7 2 2 4 3" xfId="21095" xr:uid="{00000000-0005-0000-0000-0000333A0000}"/>
    <cellStyle name="40% - Accent3 7 2 2 5" xfId="3771" xr:uid="{00000000-0005-0000-0000-0000343A0000}"/>
    <cellStyle name="40% - Accent3 7 2 2 5 2" xfId="16863" xr:uid="{00000000-0005-0000-0000-0000353A0000}"/>
    <cellStyle name="40% - Accent3 7 2 2 5 2 2" xfId="30270" xr:uid="{00000000-0005-0000-0000-0000363A0000}"/>
    <cellStyle name="40% - Accent3 7 2 2 5 3" xfId="21096" xr:uid="{00000000-0005-0000-0000-0000373A0000}"/>
    <cellStyle name="40% - Accent3 7 2 2 6" xfId="9359" xr:uid="{00000000-0005-0000-0000-0000383A0000}"/>
    <cellStyle name="40% - Accent3 7 2 2 6 2" xfId="23834" xr:uid="{00000000-0005-0000-0000-0000393A0000}"/>
    <cellStyle name="40% - Accent3 7 2 2 7" xfId="21092" xr:uid="{00000000-0005-0000-0000-00003A3A0000}"/>
    <cellStyle name="40% - Accent3 7 2 3" xfId="3772" xr:uid="{00000000-0005-0000-0000-00003B3A0000}"/>
    <cellStyle name="40% - Accent3 7 2 3 2" xfId="3773" xr:uid="{00000000-0005-0000-0000-00003C3A0000}"/>
    <cellStyle name="40% - Accent3 7 2 3 2 2" xfId="15264" xr:uid="{00000000-0005-0000-0000-00003D3A0000}"/>
    <cellStyle name="40% - Accent3 7 2 3 2 2 2" xfId="28813" xr:uid="{00000000-0005-0000-0000-00003E3A0000}"/>
    <cellStyle name="40% - Accent3 7 2 3 2 3" xfId="21098" xr:uid="{00000000-0005-0000-0000-00003F3A0000}"/>
    <cellStyle name="40% - Accent3 7 2 3 3" xfId="11085" xr:uid="{00000000-0005-0000-0000-0000403A0000}"/>
    <cellStyle name="40% - Accent3 7 2 3 3 2" xfId="25027" xr:uid="{00000000-0005-0000-0000-0000413A0000}"/>
    <cellStyle name="40% - Accent3 7 2 3 4" xfId="21097" xr:uid="{00000000-0005-0000-0000-0000423A0000}"/>
    <cellStyle name="40% - Accent3 7 2 4" xfId="3774" xr:uid="{00000000-0005-0000-0000-0000433A0000}"/>
    <cellStyle name="40% - Accent3 7 2 4 2" xfId="12251" xr:uid="{00000000-0005-0000-0000-0000443A0000}"/>
    <cellStyle name="40% - Accent3 7 2 4 2 2" xfId="25963" xr:uid="{00000000-0005-0000-0000-0000453A0000}"/>
    <cellStyle name="40% - Accent3 7 2 4 3" xfId="21099" xr:uid="{00000000-0005-0000-0000-0000463A0000}"/>
    <cellStyle name="40% - Accent3 7 2 5" xfId="3775" xr:uid="{00000000-0005-0000-0000-0000473A0000}"/>
    <cellStyle name="40% - Accent3 7 2 5 2" xfId="12858" xr:uid="{00000000-0005-0000-0000-0000483A0000}"/>
    <cellStyle name="40% - Accent3 7 2 5 2 2" xfId="26570" xr:uid="{00000000-0005-0000-0000-0000493A0000}"/>
    <cellStyle name="40% - Accent3 7 2 5 3" xfId="21100" xr:uid="{00000000-0005-0000-0000-00004A3A0000}"/>
    <cellStyle name="40% - Accent3 7 2 6" xfId="3776" xr:uid="{00000000-0005-0000-0000-00004B3A0000}"/>
    <cellStyle name="40% - Accent3 7 2 6 2" xfId="13815" xr:uid="{00000000-0005-0000-0000-00004C3A0000}"/>
    <cellStyle name="40% - Accent3 7 2 6 2 2" xfId="27364" xr:uid="{00000000-0005-0000-0000-00004D3A0000}"/>
    <cellStyle name="40% - Accent3 7 2 6 3" xfId="21101" xr:uid="{00000000-0005-0000-0000-00004E3A0000}"/>
    <cellStyle name="40% - Accent3 7 2 7" xfId="3777" xr:uid="{00000000-0005-0000-0000-00004F3A0000}"/>
    <cellStyle name="40% - Accent3 7 2 7 2" xfId="14396" xr:uid="{00000000-0005-0000-0000-0000503A0000}"/>
    <cellStyle name="40% - Accent3 7 2 7 2 2" xfId="27945" xr:uid="{00000000-0005-0000-0000-0000513A0000}"/>
    <cellStyle name="40% - Accent3 7 2 7 3" xfId="21102" xr:uid="{00000000-0005-0000-0000-0000523A0000}"/>
    <cellStyle name="40% - Accent3 7 2 8" xfId="3778" xr:uid="{00000000-0005-0000-0000-0000533A0000}"/>
    <cellStyle name="40% - Accent3 7 2 8 2" xfId="15262" xr:uid="{00000000-0005-0000-0000-0000543A0000}"/>
    <cellStyle name="40% - Accent3 7 2 8 2 2" xfId="28811" xr:uid="{00000000-0005-0000-0000-0000553A0000}"/>
    <cellStyle name="40% - Accent3 7 2 8 3" xfId="21103" xr:uid="{00000000-0005-0000-0000-0000563A0000}"/>
    <cellStyle name="40% - Accent3 7 2 9" xfId="3779" xr:uid="{00000000-0005-0000-0000-0000573A0000}"/>
    <cellStyle name="40% - Accent3 7 2 9 2" xfId="16282" xr:uid="{00000000-0005-0000-0000-0000583A0000}"/>
    <cellStyle name="40% - Accent3 7 2 9 2 2" xfId="29689" xr:uid="{00000000-0005-0000-0000-0000593A0000}"/>
    <cellStyle name="40% - Accent3 7 2 9 3" xfId="21104" xr:uid="{00000000-0005-0000-0000-00005A3A0000}"/>
    <cellStyle name="40% - Accent3 7 3" xfId="3780" xr:uid="{00000000-0005-0000-0000-00005B3A0000}"/>
    <cellStyle name="40% - Accent3 7 3 2" xfId="3781" xr:uid="{00000000-0005-0000-0000-00005C3A0000}"/>
    <cellStyle name="40% - Accent3 7 3 2 2" xfId="11087" xr:uid="{00000000-0005-0000-0000-00005D3A0000}"/>
    <cellStyle name="40% - Accent3 7 3 2 2 2" xfId="25029" xr:uid="{00000000-0005-0000-0000-00005E3A0000}"/>
    <cellStyle name="40% - Accent3 7 3 2 3" xfId="21106" xr:uid="{00000000-0005-0000-0000-00005F3A0000}"/>
    <cellStyle name="40% - Accent3 7 3 3" xfId="3782" xr:uid="{00000000-0005-0000-0000-0000603A0000}"/>
    <cellStyle name="40% - Accent3 7 3 3 2" xfId="12860" xr:uid="{00000000-0005-0000-0000-0000613A0000}"/>
    <cellStyle name="40% - Accent3 7 3 3 2 2" xfId="26572" xr:uid="{00000000-0005-0000-0000-0000623A0000}"/>
    <cellStyle name="40% - Accent3 7 3 3 3" xfId="21107" xr:uid="{00000000-0005-0000-0000-0000633A0000}"/>
    <cellStyle name="40% - Accent3 7 3 4" xfId="3783" xr:uid="{00000000-0005-0000-0000-0000643A0000}"/>
    <cellStyle name="40% - Accent3 7 3 4 2" xfId="15265" xr:uid="{00000000-0005-0000-0000-0000653A0000}"/>
    <cellStyle name="40% - Accent3 7 3 4 2 2" xfId="28814" xr:uid="{00000000-0005-0000-0000-0000663A0000}"/>
    <cellStyle name="40% - Accent3 7 3 4 3" xfId="21108" xr:uid="{00000000-0005-0000-0000-0000673A0000}"/>
    <cellStyle name="40% - Accent3 7 3 5" xfId="3784" xr:uid="{00000000-0005-0000-0000-0000683A0000}"/>
    <cellStyle name="40% - Accent3 7 3 5 2" xfId="16574" xr:uid="{00000000-0005-0000-0000-0000693A0000}"/>
    <cellStyle name="40% - Accent3 7 3 5 2 2" xfId="29981" xr:uid="{00000000-0005-0000-0000-00006A3A0000}"/>
    <cellStyle name="40% - Accent3 7 3 5 3" xfId="21109" xr:uid="{00000000-0005-0000-0000-00006B3A0000}"/>
    <cellStyle name="40% - Accent3 7 3 6" xfId="9360" xr:uid="{00000000-0005-0000-0000-00006C3A0000}"/>
    <cellStyle name="40% - Accent3 7 3 6 2" xfId="23835" xr:uid="{00000000-0005-0000-0000-00006D3A0000}"/>
    <cellStyle name="40% - Accent3 7 3 7" xfId="21105" xr:uid="{00000000-0005-0000-0000-00006E3A0000}"/>
    <cellStyle name="40% - Accent3 7 4" xfId="3785" xr:uid="{00000000-0005-0000-0000-00006F3A0000}"/>
    <cellStyle name="40% - Accent3 7 4 2" xfId="3786" xr:uid="{00000000-0005-0000-0000-0000703A0000}"/>
    <cellStyle name="40% - Accent3 7 4 2 2" xfId="15266" xr:uid="{00000000-0005-0000-0000-0000713A0000}"/>
    <cellStyle name="40% - Accent3 7 4 2 2 2" xfId="28815" xr:uid="{00000000-0005-0000-0000-0000723A0000}"/>
    <cellStyle name="40% - Accent3 7 4 2 3" xfId="21111" xr:uid="{00000000-0005-0000-0000-0000733A0000}"/>
    <cellStyle name="40% - Accent3 7 4 3" xfId="11084" xr:uid="{00000000-0005-0000-0000-0000743A0000}"/>
    <cellStyle name="40% - Accent3 7 4 3 2" xfId="25026" xr:uid="{00000000-0005-0000-0000-0000753A0000}"/>
    <cellStyle name="40% - Accent3 7 4 4" xfId="21110" xr:uid="{00000000-0005-0000-0000-0000763A0000}"/>
    <cellStyle name="40% - Accent3 7 5" xfId="3787" xr:uid="{00000000-0005-0000-0000-0000773A0000}"/>
    <cellStyle name="40% - Accent3 7 5 2" xfId="11949" xr:uid="{00000000-0005-0000-0000-0000783A0000}"/>
    <cellStyle name="40% - Accent3 7 5 2 2" xfId="25664" xr:uid="{00000000-0005-0000-0000-0000793A0000}"/>
    <cellStyle name="40% - Accent3 7 5 3" xfId="21112" xr:uid="{00000000-0005-0000-0000-00007A3A0000}"/>
    <cellStyle name="40% - Accent3 7 6" xfId="3788" xr:uid="{00000000-0005-0000-0000-00007B3A0000}"/>
    <cellStyle name="40% - Accent3 7 6 2" xfId="12857" xr:uid="{00000000-0005-0000-0000-00007C3A0000}"/>
    <cellStyle name="40% - Accent3 7 6 2 2" xfId="26569" xr:uid="{00000000-0005-0000-0000-00007D3A0000}"/>
    <cellStyle name="40% - Accent3 7 6 3" xfId="21113" xr:uid="{00000000-0005-0000-0000-00007E3A0000}"/>
    <cellStyle name="40% - Accent3 7 7" xfId="3789" xr:uid="{00000000-0005-0000-0000-00007F3A0000}"/>
    <cellStyle name="40% - Accent3 7 7 2" xfId="13526" xr:uid="{00000000-0005-0000-0000-0000803A0000}"/>
    <cellStyle name="40% - Accent3 7 7 2 2" xfId="27075" xr:uid="{00000000-0005-0000-0000-0000813A0000}"/>
    <cellStyle name="40% - Accent3 7 7 3" xfId="21114" xr:uid="{00000000-0005-0000-0000-0000823A0000}"/>
    <cellStyle name="40% - Accent3 7 8" xfId="3790" xr:uid="{00000000-0005-0000-0000-0000833A0000}"/>
    <cellStyle name="40% - Accent3 7 8 2" xfId="14107" xr:uid="{00000000-0005-0000-0000-0000843A0000}"/>
    <cellStyle name="40% - Accent3 7 8 2 2" xfId="27656" xr:uid="{00000000-0005-0000-0000-0000853A0000}"/>
    <cellStyle name="40% - Accent3 7 8 3" xfId="21115" xr:uid="{00000000-0005-0000-0000-0000863A0000}"/>
    <cellStyle name="40% - Accent3 7 9" xfId="3791" xr:uid="{00000000-0005-0000-0000-0000873A0000}"/>
    <cellStyle name="40% - Accent3 7 9 2" xfId="15261" xr:uid="{00000000-0005-0000-0000-0000883A0000}"/>
    <cellStyle name="40% - Accent3 7 9 2 2" xfId="28810" xr:uid="{00000000-0005-0000-0000-0000893A0000}"/>
    <cellStyle name="40% - Accent3 7 9 3" xfId="21116" xr:uid="{00000000-0005-0000-0000-00008A3A0000}"/>
    <cellStyle name="40% - Accent3 8" xfId="3792" xr:uid="{00000000-0005-0000-0000-00008B3A0000}"/>
    <cellStyle name="40% - Accent3 8 10" xfId="9361" xr:uid="{00000000-0005-0000-0000-00008C3A0000}"/>
    <cellStyle name="40% - Accent3 8 10 2" xfId="23836" xr:uid="{00000000-0005-0000-0000-00008D3A0000}"/>
    <cellStyle name="40% - Accent3 8 11" xfId="21117" xr:uid="{00000000-0005-0000-0000-00008E3A0000}"/>
    <cellStyle name="40% - Accent3 8 2" xfId="3793" xr:uid="{00000000-0005-0000-0000-00008F3A0000}"/>
    <cellStyle name="40% - Accent3 8 2 2" xfId="3794" xr:uid="{00000000-0005-0000-0000-0000903A0000}"/>
    <cellStyle name="40% - Accent3 8 2 2 2" xfId="11089" xr:uid="{00000000-0005-0000-0000-0000913A0000}"/>
    <cellStyle name="40% - Accent3 8 2 2 2 2" xfId="25031" xr:uid="{00000000-0005-0000-0000-0000923A0000}"/>
    <cellStyle name="40% - Accent3 8 2 2 3" xfId="21119" xr:uid="{00000000-0005-0000-0000-0000933A0000}"/>
    <cellStyle name="40% - Accent3 8 2 3" xfId="3795" xr:uid="{00000000-0005-0000-0000-0000943A0000}"/>
    <cellStyle name="40% - Accent3 8 2 3 2" xfId="12862" xr:uid="{00000000-0005-0000-0000-0000953A0000}"/>
    <cellStyle name="40% - Accent3 8 2 3 2 2" xfId="26574" xr:uid="{00000000-0005-0000-0000-0000963A0000}"/>
    <cellStyle name="40% - Accent3 8 2 3 3" xfId="21120" xr:uid="{00000000-0005-0000-0000-0000973A0000}"/>
    <cellStyle name="40% - Accent3 8 2 4" xfId="3796" xr:uid="{00000000-0005-0000-0000-0000983A0000}"/>
    <cellStyle name="40% - Accent3 8 2 4 2" xfId="15268" xr:uid="{00000000-0005-0000-0000-0000993A0000}"/>
    <cellStyle name="40% - Accent3 8 2 4 2 2" xfId="28817" xr:uid="{00000000-0005-0000-0000-00009A3A0000}"/>
    <cellStyle name="40% - Accent3 8 2 4 3" xfId="21121" xr:uid="{00000000-0005-0000-0000-00009B3A0000}"/>
    <cellStyle name="40% - Accent3 8 2 5" xfId="3797" xr:uid="{00000000-0005-0000-0000-00009C3A0000}"/>
    <cellStyle name="40% - Accent3 8 2 5 2" xfId="16720" xr:uid="{00000000-0005-0000-0000-00009D3A0000}"/>
    <cellStyle name="40% - Accent3 8 2 5 2 2" xfId="30127" xr:uid="{00000000-0005-0000-0000-00009E3A0000}"/>
    <cellStyle name="40% - Accent3 8 2 5 3" xfId="21122" xr:uid="{00000000-0005-0000-0000-00009F3A0000}"/>
    <cellStyle name="40% - Accent3 8 2 6" xfId="9362" xr:uid="{00000000-0005-0000-0000-0000A03A0000}"/>
    <cellStyle name="40% - Accent3 8 2 6 2" xfId="23837" xr:uid="{00000000-0005-0000-0000-0000A13A0000}"/>
    <cellStyle name="40% - Accent3 8 2 7" xfId="21118" xr:uid="{00000000-0005-0000-0000-0000A23A0000}"/>
    <cellStyle name="40% - Accent3 8 3" xfId="3798" xr:uid="{00000000-0005-0000-0000-0000A33A0000}"/>
    <cellStyle name="40% - Accent3 8 3 2" xfId="3799" xr:uid="{00000000-0005-0000-0000-0000A43A0000}"/>
    <cellStyle name="40% - Accent3 8 3 2 2" xfId="15269" xr:uid="{00000000-0005-0000-0000-0000A53A0000}"/>
    <cellStyle name="40% - Accent3 8 3 2 2 2" xfId="28818" xr:uid="{00000000-0005-0000-0000-0000A63A0000}"/>
    <cellStyle name="40% - Accent3 8 3 2 3" xfId="21124" xr:uid="{00000000-0005-0000-0000-0000A73A0000}"/>
    <cellStyle name="40% - Accent3 8 3 3" xfId="11088" xr:uid="{00000000-0005-0000-0000-0000A83A0000}"/>
    <cellStyle name="40% - Accent3 8 3 3 2" xfId="25030" xr:uid="{00000000-0005-0000-0000-0000A93A0000}"/>
    <cellStyle name="40% - Accent3 8 3 4" xfId="21123" xr:uid="{00000000-0005-0000-0000-0000AA3A0000}"/>
    <cellStyle name="40% - Accent3 8 4" xfId="3800" xr:uid="{00000000-0005-0000-0000-0000AB3A0000}"/>
    <cellStyle name="40% - Accent3 8 4 2" xfId="12098" xr:uid="{00000000-0005-0000-0000-0000AC3A0000}"/>
    <cellStyle name="40% - Accent3 8 4 2 2" xfId="25812" xr:uid="{00000000-0005-0000-0000-0000AD3A0000}"/>
    <cellStyle name="40% - Accent3 8 4 3" xfId="21125" xr:uid="{00000000-0005-0000-0000-0000AE3A0000}"/>
    <cellStyle name="40% - Accent3 8 5" xfId="3801" xr:uid="{00000000-0005-0000-0000-0000AF3A0000}"/>
    <cellStyle name="40% - Accent3 8 5 2" xfId="12861" xr:uid="{00000000-0005-0000-0000-0000B03A0000}"/>
    <cellStyle name="40% - Accent3 8 5 2 2" xfId="26573" xr:uid="{00000000-0005-0000-0000-0000B13A0000}"/>
    <cellStyle name="40% - Accent3 8 5 3" xfId="21126" xr:uid="{00000000-0005-0000-0000-0000B23A0000}"/>
    <cellStyle name="40% - Accent3 8 6" xfId="3802" xr:uid="{00000000-0005-0000-0000-0000B33A0000}"/>
    <cellStyle name="40% - Accent3 8 6 2" xfId="13672" xr:uid="{00000000-0005-0000-0000-0000B43A0000}"/>
    <cellStyle name="40% - Accent3 8 6 2 2" xfId="27221" xr:uid="{00000000-0005-0000-0000-0000B53A0000}"/>
    <cellStyle name="40% - Accent3 8 6 3" xfId="21127" xr:uid="{00000000-0005-0000-0000-0000B63A0000}"/>
    <cellStyle name="40% - Accent3 8 7" xfId="3803" xr:uid="{00000000-0005-0000-0000-0000B73A0000}"/>
    <cellStyle name="40% - Accent3 8 7 2" xfId="14253" xr:uid="{00000000-0005-0000-0000-0000B83A0000}"/>
    <cellStyle name="40% - Accent3 8 7 2 2" xfId="27802" xr:uid="{00000000-0005-0000-0000-0000B93A0000}"/>
    <cellStyle name="40% - Accent3 8 7 3" xfId="21128" xr:uid="{00000000-0005-0000-0000-0000BA3A0000}"/>
    <cellStyle name="40% - Accent3 8 8" xfId="3804" xr:uid="{00000000-0005-0000-0000-0000BB3A0000}"/>
    <cellStyle name="40% - Accent3 8 8 2" xfId="15267" xr:uid="{00000000-0005-0000-0000-0000BC3A0000}"/>
    <cellStyle name="40% - Accent3 8 8 2 2" xfId="28816" xr:uid="{00000000-0005-0000-0000-0000BD3A0000}"/>
    <cellStyle name="40% - Accent3 8 8 3" xfId="21129" xr:uid="{00000000-0005-0000-0000-0000BE3A0000}"/>
    <cellStyle name="40% - Accent3 8 9" xfId="3805" xr:uid="{00000000-0005-0000-0000-0000BF3A0000}"/>
    <cellStyle name="40% - Accent3 8 9 2" xfId="16139" xr:uid="{00000000-0005-0000-0000-0000C03A0000}"/>
    <cellStyle name="40% - Accent3 8 9 2 2" xfId="29546" xr:uid="{00000000-0005-0000-0000-0000C13A0000}"/>
    <cellStyle name="40% - Accent3 8 9 3" xfId="21130" xr:uid="{00000000-0005-0000-0000-0000C23A0000}"/>
    <cellStyle name="40% - Accent3 9" xfId="3806" xr:uid="{00000000-0005-0000-0000-0000C33A0000}"/>
    <cellStyle name="40% - Accent3 9 2" xfId="3807" xr:uid="{00000000-0005-0000-0000-0000C43A0000}"/>
    <cellStyle name="40% - Accent3 9 2 2" xfId="11090" xr:uid="{00000000-0005-0000-0000-0000C53A0000}"/>
    <cellStyle name="40% - Accent3 9 2 2 2" xfId="25032" xr:uid="{00000000-0005-0000-0000-0000C63A0000}"/>
    <cellStyle name="40% - Accent3 9 2 3" xfId="21132" xr:uid="{00000000-0005-0000-0000-0000C73A0000}"/>
    <cellStyle name="40% - Accent3 9 3" xfId="3808" xr:uid="{00000000-0005-0000-0000-0000C83A0000}"/>
    <cellStyle name="40% - Accent3 9 3 2" xfId="12863" xr:uid="{00000000-0005-0000-0000-0000C93A0000}"/>
    <cellStyle name="40% - Accent3 9 3 2 2" xfId="26575" xr:uid="{00000000-0005-0000-0000-0000CA3A0000}"/>
    <cellStyle name="40% - Accent3 9 3 3" xfId="21133" xr:uid="{00000000-0005-0000-0000-0000CB3A0000}"/>
    <cellStyle name="40% - Accent3 9 4" xfId="3809" xr:uid="{00000000-0005-0000-0000-0000CC3A0000}"/>
    <cellStyle name="40% - Accent3 9 4 2" xfId="15270" xr:uid="{00000000-0005-0000-0000-0000CD3A0000}"/>
    <cellStyle name="40% - Accent3 9 4 2 2" xfId="28819" xr:uid="{00000000-0005-0000-0000-0000CE3A0000}"/>
    <cellStyle name="40% - Accent3 9 4 3" xfId="21134" xr:uid="{00000000-0005-0000-0000-0000CF3A0000}"/>
    <cellStyle name="40% - Accent3 9 5" xfId="3810" xr:uid="{00000000-0005-0000-0000-0000D03A0000}"/>
    <cellStyle name="40% - Accent3 9 5 2" xfId="17104" xr:uid="{00000000-0005-0000-0000-0000D13A0000}"/>
    <cellStyle name="40% - Accent3 9 5 2 2" xfId="30463" xr:uid="{00000000-0005-0000-0000-0000D23A0000}"/>
    <cellStyle name="40% - Accent3 9 5 3" xfId="21135" xr:uid="{00000000-0005-0000-0000-0000D33A0000}"/>
    <cellStyle name="40% - Accent3 9 6" xfId="9363" xr:uid="{00000000-0005-0000-0000-0000D43A0000}"/>
    <cellStyle name="40% - Accent3 9 6 2" xfId="23838" xr:uid="{00000000-0005-0000-0000-0000D53A0000}"/>
    <cellStyle name="40% - Accent3 9 7" xfId="21131" xr:uid="{00000000-0005-0000-0000-0000D63A0000}"/>
    <cellStyle name="40% - Accent4" xfId="41" builtinId="43" customBuiltin="1"/>
    <cellStyle name="40% - Accent4 10" xfId="3811" xr:uid="{00000000-0005-0000-0000-0000D83A0000}"/>
    <cellStyle name="40% - Accent4 10 2" xfId="3812" xr:uid="{00000000-0005-0000-0000-0000D93A0000}"/>
    <cellStyle name="40% - Accent4 10 2 2" xfId="3813" xr:uid="{00000000-0005-0000-0000-0000DA3A0000}"/>
    <cellStyle name="40% - Accent4 10 2 2 2" xfId="12866" xr:uid="{00000000-0005-0000-0000-0000DB3A0000}"/>
    <cellStyle name="40% - Accent4 10 2 2 2 2" xfId="26578" xr:uid="{00000000-0005-0000-0000-0000DC3A0000}"/>
    <cellStyle name="40% - Accent4 10 2 2 3" xfId="21138" xr:uid="{00000000-0005-0000-0000-0000DD3A0000}"/>
    <cellStyle name="40% - Accent4 10 2 3" xfId="3814" xr:uid="{00000000-0005-0000-0000-0000DE3A0000}"/>
    <cellStyle name="40% - Accent4 10 2 3 2" xfId="15273" xr:uid="{00000000-0005-0000-0000-0000DF3A0000}"/>
    <cellStyle name="40% - Accent4 10 2 3 2 2" xfId="28822" xr:uid="{00000000-0005-0000-0000-0000E03A0000}"/>
    <cellStyle name="40% - Accent4 10 2 3 3" xfId="21139" xr:uid="{00000000-0005-0000-0000-0000E13A0000}"/>
    <cellStyle name="40% - Accent4 10 2 4" xfId="11092" xr:uid="{00000000-0005-0000-0000-0000E23A0000}"/>
    <cellStyle name="40% - Accent4 10 2 4 2" xfId="25034" xr:uid="{00000000-0005-0000-0000-0000E33A0000}"/>
    <cellStyle name="40% - Accent4 10 2 5" xfId="21137" xr:uid="{00000000-0005-0000-0000-0000E43A0000}"/>
    <cellStyle name="40% - Accent4 10 3" xfId="3815" xr:uid="{00000000-0005-0000-0000-0000E53A0000}"/>
    <cellStyle name="40% - Accent4 10 3 2" xfId="12865" xr:uid="{00000000-0005-0000-0000-0000E63A0000}"/>
    <cellStyle name="40% - Accent4 10 3 2 2" xfId="26577" xr:uid="{00000000-0005-0000-0000-0000E73A0000}"/>
    <cellStyle name="40% - Accent4 10 3 3" xfId="21140" xr:uid="{00000000-0005-0000-0000-0000E83A0000}"/>
    <cellStyle name="40% - Accent4 10 4" xfId="3816" xr:uid="{00000000-0005-0000-0000-0000E93A0000}"/>
    <cellStyle name="40% - Accent4 10 4 2" xfId="15272" xr:uid="{00000000-0005-0000-0000-0000EA3A0000}"/>
    <cellStyle name="40% - Accent4 10 4 2 2" xfId="28821" xr:uid="{00000000-0005-0000-0000-0000EB3A0000}"/>
    <cellStyle name="40% - Accent4 10 4 3" xfId="21141" xr:uid="{00000000-0005-0000-0000-0000EC3A0000}"/>
    <cellStyle name="40% - Accent4 10 5" xfId="3817" xr:uid="{00000000-0005-0000-0000-0000ED3A0000}"/>
    <cellStyle name="40% - Accent4 10 5 2" xfId="17194" xr:uid="{00000000-0005-0000-0000-0000EE3A0000}"/>
    <cellStyle name="40% - Accent4 10 5 2 2" xfId="30553" xr:uid="{00000000-0005-0000-0000-0000EF3A0000}"/>
    <cellStyle name="40% - Accent4 10 5 3" xfId="21142" xr:uid="{00000000-0005-0000-0000-0000F03A0000}"/>
    <cellStyle name="40% - Accent4 10 6" xfId="9365" xr:uid="{00000000-0005-0000-0000-0000F13A0000}"/>
    <cellStyle name="40% - Accent4 10 6 2" xfId="23840" xr:uid="{00000000-0005-0000-0000-0000F23A0000}"/>
    <cellStyle name="40% - Accent4 10 7" xfId="21136" xr:uid="{00000000-0005-0000-0000-0000F33A0000}"/>
    <cellStyle name="40% - Accent4 11" xfId="3818" xr:uid="{00000000-0005-0000-0000-0000F43A0000}"/>
    <cellStyle name="40% - Accent4 11 2" xfId="3819" xr:uid="{00000000-0005-0000-0000-0000F53A0000}"/>
    <cellStyle name="40% - Accent4 11 2 2" xfId="11093" xr:uid="{00000000-0005-0000-0000-0000F63A0000}"/>
    <cellStyle name="40% - Accent4 11 2 2 2" xfId="25035" xr:uid="{00000000-0005-0000-0000-0000F73A0000}"/>
    <cellStyle name="40% - Accent4 11 2 3" xfId="21144" xr:uid="{00000000-0005-0000-0000-0000F83A0000}"/>
    <cellStyle name="40% - Accent4 11 3" xfId="3820" xr:uid="{00000000-0005-0000-0000-0000F93A0000}"/>
    <cellStyle name="40% - Accent4 11 3 2" xfId="12867" xr:uid="{00000000-0005-0000-0000-0000FA3A0000}"/>
    <cellStyle name="40% - Accent4 11 3 2 2" xfId="26579" xr:uid="{00000000-0005-0000-0000-0000FB3A0000}"/>
    <cellStyle name="40% - Accent4 11 3 3" xfId="21145" xr:uid="{00000000-0005-0000-0000-0000FC3A0000}"/>
    <cellStyle name="40% - Accent4 11 4" xfId="3821" xr:uid="{00000000-0005-0000-0000-0000FD3A0000}"/>
    <cellStyle name="40% - Accent4 11 4 2" xfId="15274" xr:uid="{00000000-0005-0000-0000-0000FE3A0000}"/>
    <cellStyle name="40% - Accent4 11 4 2 2" xfId="28823" xr:uid="{00000000-0005-0000-0000-0000FF3A0000}"/>
    <cellStyle name="40% - Accent4 11 4 3" xfId="21146" xr:uid="{00000000-0005-0000-0000-0000003B0000}"/>
    <cellStyle name="40% - Accent4 11 5" xfId="3822" xr:uid="{00000000-0005-0000-0000-0000013B0000}"/>
    <cellStyle name="40% - Accent4 11 5 2" xfId="17283" xr:uid="{00000000-0005-0000-0000-0000023B0000}"/>
    <cellStyle name="40% - Accent4 11 5 2 2" xfId="30642" xr:uid="{00000000-0005-0000-0000-0000033B0000}"/>
    <cellStyle name="40% - Accent4 11 5 3" xfId="21147" xr:uid="{00000000-0005-0000-0000-0000043B0000}"/>
    <cellStyle name="40% - Accent4 11 6" xfId="9366" xr:uid="{00000000-0005-0000-0000-0000053B0000}"/>
    <cellStyle name="40% - Accent4 11 6 2" xfId="23841" xr:uid="{00000000-0005-0000-0000-0000063B0000}"/>
    <cellStyle name="40% - Accent4 11 7" xfId="21143" xr:uid="{00000000-0005-0000-0000-0000073B0000}"/>
    <cellStyle name="40% - Accent4 12" xfId="3823" xr:uid="{00000000-0005-0000-0000-0000083B0000}"/>
    <cellStyle name="40% - Accent4 12 2" xfId="3824" xr:uid="{00000000-0005-0000-0000-0000093B0000}"/>
    <cellStyle name="40% - Accent4 12 2 2" xfId="3825" xr:uid="{00000000-0005-0000-0000-00000A3B0000}"/>
    <cellStyle name="40% - Accent4 12 2 2 2" xfId="11095" xr:uid="{00000000-0005-0000-0000-00000B3B0000}"/>
    <cellStyle name="40% - Accent4 12 2 2 2 2" xfId="25037" xr:uid="{00000000-0005-0000-0000-00000C3B0000}"/>
    <cellStyle name="40% - Accent4 12 2 2 3" xfId="21150" xr:uid="{00000000-0005-0000-0000-00000D3B0000}"/>
    <cellStyle name="40% - Accent4 12 2 3" xfId="3826" xr:uid="{00000000-0005-0000-0000-00000E3B0000}"/>
    <cellStyle name="40% - Accent4 12 2 3 2" xfId="12869" xr:uid="{00000000-0005-0000-0000-00000F3B0000}"/>
    <cellStyle name="40% - Accent4 12 2 3 2 2" xfId="26581" xr:uid="{00000000-0005-0000-0000-0000103B0000}"/>
    <cellStyle name="40% - Accent4 12 2 3 3" xfId="21151" xr:uid="{00000000-0005-0000-0000-0000113B0000}"/>
    <cellStyle name="40% - Accent4 12 2 4" xfId="3827" xr:uid="{00000000-0005-0000-0000-0000123B0000}"/>
    <cellStyle name="40% - Accent4 12 2 4 2" xfId="15276" xr:uid="{00000000-0005-0000-0000-0000133B0000}"/>
    <cellStyle name="40% - Accent4 12 2 4 2 2" xfId="28825" xr:uid="{00000000-0005-0000-0000-0000143B0000}"/>
    <cellStyle name="40% - Accent4 12 2 4 3" xfId="21152" xr:uid="{00000000-0005-0000-0000-0000153B0000}"/>
    <cellStyle name="40% - Accent4 12 2 5" xfId="9368" xr:uid="{00000000-0005-0000-0000-0000163B0000}"/>
    <cellStyle name="40% - Accent4 12 2 5 2" xfId="23843" xr:uid="{00000000-0005-0000-0000-0000173B0000}"/>
    <cellStyle name="40% - Accent4 12 2 6" xfId="21149" xr:uid="{00000000-0005-0000-0000-0000183B0000}"/>
    <cellStyle name="40% - Accent4 12 3" xfId="3828" xr:uid="{00000000-0005-0000-0000-0000193B0000}"/>
    <cellStyle name="40% - Accent4 12 3 2" xfId="11094" xr:uid="{00000000-0005-0000-0000-00001A3B0000}"/>
    <cellStyle name="40% - Accent4 12 3 2 2" xfId="25036" xr:uid="{00000000-0005-0000-0000-00001B3B0000}"/>
    <cellStyle name="40% - Accent4 12 3 3" xfId="21153" xr:uid="{00000000-0005-0000-0000-00001C3B0000}"/>
    <cellStyle name="40% - Accent4 12 4" xfId="3829" xr:uid="{00000000-0005-0000-0000-00001D3B0000}"/>
    <cellStyle name="40% - Accent4 12 4 2" xfId="12868" xr:uid="{00000000-0005-0000-0000-00001E3B0000}"/>
    <cellStyle name="40% - Accent4 12 4 2 2" xfId="26580" xr:uid="{00000000-0005-0000-0000-00001F3B0000}"/>
    <cellStyle name="40% - Accent4 12 4 3" xfId="21154" xr:uid="{00000000-0005-0000-0000-0000203B0000}"/>
    <cellStyle name="40% - Accent4 12 5" xfId="3830" xr:uid="{00000000-0005-0000-0000-0000213B0000}"/>
    <cellStyle name="40% - Accent4 12 5 2" xfId="15275" xr:uid="{00000000-0005-0000-0000-0000223B0000}"/>
    <cellStyle name="40% - Accent4 12 5 2 2" xfId="28824" xr:uid="{00000000-0005-0000-0000-0000233B0000}"/>
    <cellStyle name="40% - Accent4 12 5 3" xfId="21155" xr:uid="{00000000-0005-0000-0000-0000243B0000}"/>
    <cellStyle name="40% - Accent4 12 6" xfId="3831" xr:uid="{00000000-0005-0000-0000-0000253B0000}"/>
    <cellStyle name="40% - Accent4 12 6 2" xfId="16435" xr:uid="{00000000-0005-0000-0000-0000263B0000}"/>
    <cellStyle name="40% - Accent4 12 6 2 2" xfId="29842" xr:uid="{00000000-0005-0000-0000-0000273B0000}"/>
    <cellStyle name="40% - Accent4 12 6 3" xfId="21156" xr:uid="{00000000-0005-0000-0000-0000283B0000}"/>
    <cellStyle name="40% - Accent4 12 7" xfId="9367" xr:uid="{00000000-0005-0000-0000-0000293B0000}"/>
    <cellStyle name="40% - Accent4 12 7 2" xfId="23842" xr:uid="{00000000-0005-0000-0000-00002A3B0000}"/>
    <cellStyle name="40% - Accent4 12 8" xfId="21148" xr:uid="{00000000-0005-0000-0000-00002B3B0000}"/>
    <cellStyle name="40% - Accent4 13" xfId="3832" xr:uid="{00000000-0005-0000-0000-00002C3B0000}"/>
    <cellStyle name="40% - Accent4 13 2" xfId="3833" xr:uid="{00000000-0005-0000-0000-00002D3B0000}"/>
    <cellStyle name="40% - Accent4 13 2 2" xfId="11096" xr:uid="{00000000-0005-0000-0000-00002E3B0000}"/>
    <cellStyle name="40% - Accent4 13 2 2 2" xfId="25038" xr:uid="{00000000-0005-0000-0000-00002F3B0000}"/>
    <cellStyle name="40% - Accent4 13 2 3" xfId="21158" xr:uid="{00000000-0005-0000-0000-0000303B0000}"/>
    <cellStyle name="40% - Accent4 13 3" xfId="3834" xr:uid="{00000000-0005-0000-0000-0000313B0000}"/>
    <cellStyle name="40% - Accent4 13 3 2" xfId="12870" xr:uid="{00000000-0005-0000-0000-0000323B0000}"/>
    <cellStyle name="40% - Accent4 13 3 2 2" xfId="26582" xr:uid="{00000000-0005-0000-0000-0000333B0000}"/>
    <cellStyle name="40% - Accent4 13 3 3" xfId="21159" xr:uid="{00000000-0005-0000-0000-0000343B0000}"/>
    <cellStyle name="40% - Accent4 13 4" xfId="3835" xr:uid="{00000000-0005-0000-0000-0000353B0000}"/>
    <cellStyle name="40% - Accent4 13 4 2" xfId="15277" xr:uid="{00000000-0005-0000-0000-0000363B0000}"/>
    <cellStyle name="40% - Accent4 13 4 2 2" xfId="28826" xr:uid="{00000000-0005-0000-0000-0000373B0000}"/>
    <cellStyle name="40% - Accent4 13 4 3" xfId="21160" xr:uid="{00000000-0005-0000-0000-0000383B0000}"/>
    <cellStyle name="40% - Accent4 13 5" xfId="9369" xr:uid="{00000000-0005-0000-0000-0000393B0000}"/>
    <cellStyle name="40% - Accent4 13 5 2" xfId="23844" xr:uid="{00000000-0005-0000-0000-00003A3B0000}"/>
    <cellStyle name="40% - Accent4 13 6" xfId="21157" xr:uid="{00000000-0005-0000-0000-00003B3B0000}"/>
    <cellStyle name="40% - Accent4 14" xfId="3836" xr:uid="{00000000-0005-0000-0000-00003C3B0000}"/>
    <cellStyle name="40% - Accent4 14 2" xfId="3837" xr:uid="{00000000-0005-0000-0000-00003D3B0000}"/>
    <cellStyle name="40% - Accent4 14 2 2" xfId="11097" xr:uid="{00000000-0005-0000-0000-00003E3B0000}"/>
    <cellStyle name="40% - Accent4 14 2 2 2" xfId="25039" xr:uid="{00000000-0005-0000-0000-00003F3B0000}"/>
    <cellStyle name="40% - Accent4 14 2 3" xfId="21162" xr:uid="{00000000-0005-0000-0000-0000403B0000}"/>
    <cellStyle name="40% - Accent4 14 3" xfId="3838" xr:uid="{00000000-0005-0000-0000-0000413B0000}"/>
    <cellStyle name="40% - Accent4 14 3 2" xfId="12871" xr:uid="{00000000-0005-0000-0000-0000423B0000}"/>
    <cellStyle name="40% - Accent4 14 3 2 2" xfId="26583" xr:uid="{00000000-0005-0000-0000-0000433B0000}"/>
    <cellStyle name="40% - Accent4 14 3 3" xfId="21163" xr:uid="{00000000-0005-0000-0000-0000443B0000}"/>
    <cellStyle name="40% - Accent4 14 4" xfId="3839" xr:uid="{00000000-0005-0000-0000-0000453B0000}"/>
    <cellStyle name="40% - Accent4 14 4 2" xfId="15278" xr:uid="{00000000-0005-0000-0000-0000463B0000}"/>
    <cellStyle name="40% - Accent4 14 4 2 2" xfId="28827" xr:uid="{00000000-0005-0000-0000-0000473B0000}"/>
    <cellStyle name="40% - Accent4 14 4 3" xfId="21164" xr:uid="{00000000-0005-0000-0000-0000483B0000}"/>
    <cellStyle name="40% - Accent4 14 5" xfId="9370" xr:uid="{00000000-0005-0000-0000-0000493B0000}"/>
    <cellStyle name="40% - Accent4 14 5 2" xfId="23845" xr:uid="{00000000-0005-0000-0000-00004A3B0000}"/>
    <cellStyle name="40% - Accent4 14 6" xfId="21161" xr:uid="{00000000-0005-0000-0000-00004B3B0000}"/>
    <cellStyle name="40% - Accent4 15" xfId="3840" xr:uid="{00000000-0005-0000-0000-00004C3B0000}"/>
    <cellStyle name="40% - Accent4 15 2" xfId="3841" xr:uid="{00000000-0005-0000-0000-00004D3B0000}"/>
    <cellStyle name="40% - Accent4 15 2 2" xfId="11098" xr:uid="{00000000-0005-0000-0000-00004E3B0000}"/>
    <cellStyle name="40% - Accent4 15 2 2 2" xfId="25040" xr:uid="{00000000-0005-0000-0000-00004F3B0000}"/>
    <cellStyle name="40% - Accent4 15 2 3" xfId="21166" xr:uid="{00000000-0005-0000-0000-0000503B0000}"/>
    <cellStyle name="40% - Accent4 15 3" xfId="3842" xr:uid="{00000000-0005-0000-0000-0000513B0000}"/>
    <cellStyle name="40% - Accent4 15 3 2" xfId="12872" xr:uid="{00000000-0005-0000-0000-0000523B0000}"/>
    <cellStyle name="40% - Accent4 15 3 2 2" xfId="26584" xr:uid="{00000000-0005-0000-0000-0000533B0000}"/>
    <cellStyle name="40% - Accent4 15 3 3" xfId="21167" xr:uid="{00000000-0005-0000-0000-0000543B0000}"/>
    <cellStyle name="40% - Accent4 15 4" xfId="3843" xr:uid="{00000000-0005-0000-0000-0000553B0000}"/>
    <cellStyle name="40% - Accent4 15 4 2" xfId="15279" xr:uid="{00000000-0005-0000-0000-0000563B0000}"/>
    <cellStyle name="40% - Accent4 15 4 2 2" xfId="28828" xr:uid="{00000000-0005-0000-0000-0000573B0000}"/>
    <cellStyle name="40% - Accent4 15 4 3" xfId="21168" xr:uid="{00000000-0005-0000-0000-0000583B0000}"/>
    <cellStyle name="40% - Accent4 15 5" xfId="9371" xr:uid="{00000000-0005-0000-0000-0000593B0000}"/>
    <cellStyle name="40% - Accent4 15 5 2" xfId="23846" xr:uid="{00000000-0005-0000-0000-00005A3B0000}"/>
    <cellStyle name="40% - Accent4 15 6" xfId="21165" xr:uid="{00000000-0005-0000-0000-00005B3B0000}"/>
    <cellStyle name="40% - Accent4 16" xfId="3844" xr:uid="{00000000-0005-0000-0000-00005C3B0000}"/>
    <cellStyle name="40% - Accent4 16 2" xfId="3845" xr:uid="{00000000-0005-0000-0000-00005D3B0000}"/>
    <cellStyle name="40% - Accent4 16 2 2" xfId="11099" xr:uid="{00000000-0005-0000-0000-00005E3B0000}"/>
    <cellStyle name="40% - Accent4 16 2 2 2" xfId="25041" xr:uid="{00000000-0005-0000-0000-00005F3B0000}"/>
    <cellStyle name="40% - Accent4 16 2 3" xfId="21170" xr:uid="{00000000-0005-0000-0000-0000603B0000}"/>
    <cellStyle name="40% - Accent4 16 3" xfId="3846" xr:uid="{00000000-0005-0000-0000-0000613B0000}"/>
    <cellStyle name="40% - Accent4 16 3 2" xfId="12873" xr:uid="{00000000-0005-0000-0000-0000623B0000}"/>
    <cellStyle name="40% - Accent4 16 3 2 2" xfId="26585" xr:uid="{00000000-0005-0000-0000-0000633B0000}"/>
    <cellStyle name="40% - Accent4 16 3 3" xfId="21171" xr:uid="{00000000-0005-0000-0000-0000643B0000}"/>
    <cellStyle name="40% - Accent4 16 4" xfId="3847" xr:uid="{00000000-0005-0000-0000-0000653B0000}"/>
    <cellStyle name="40% - Accent4 16 4 2" xfId="15280" xr:uid="{00000000-0005-0000-0000-0000663B0000}"/>
    <cellStyle name="40% - Accent4 16 4 2 2" xfId="28829" xr:uid="{00000000-0005-0000-0000-0000673B0000}"/>
    <cellStyle name="40% - Accent4 16 4 3" xfId="21172" xr:uid="{00000000-0005-0000-0000-0000683B0000}"/>
    <cellStyle name="40% - Accent4 16 5" xfId="9372" xr:uid="{00000000-0005-0000-0000-0000693B0000}"/>
    <cellStyle name="40% - Accent4 16 5 2" xfId="23847" xr:uid="{00000000-0005-0000-0000-00006A3B0000}"/>
    <cellStyle name="40% - Accent4 16 6" xfId="21169" xr:uid="{00000000-0005-0000-0000-00006B3B0000}"/>
    <cellStyle name="40% - Accent4 17" xfId="3848" xr:uid="{00000000-0005-0000-0000-00006C3B0000}"/>
    <cellStyle name="40% - Accent4 17 2" xfId="3849" xr:uid="{00000000-0005-0000-0000-00006D3B0000}"/>
    <cellStyle name="40% - Accent4 17 2 2" xfId="11100" xr:uid="{00000000-0005-0000-0000-00006E3B0000}"/>
    <cellStyle name="40% - Accent4 17 2 2 2" xfId="25042" xr:uid="{00000000-0005-0000-0000-00006F3B0000}"/>
    <cellStyle name="40% - Accent4 17 2 3" xfId="21174" xr:uid="{00000000-0005-0000-0000-0000703B0000}"/>
    <cellStyle name="40% - Accent4 17 3" xfId="3850" xr:uid="{00000000-0005-0000-0000-0000713B0000}"/>
    <cellStyle name="40% - Accent4 17 3 2" xfId="12874" xr:uid="{00000000-0005-0000-0000-0000723B0000}"/>
    <cellStyle name="40% - Accent4 17 3 2 2" xfId="26586" xr:uid="{00000000-0005-0000-0000-0000733B0000}"/>
    <cellStyle name="40% - Accent4 17 3 3" xfId="21175" xr:uid="{00000000-0005-0000-0000-0000743B0000}"/>
    <cellStyle name="40% - Accent4 17 4" xfId="3851" xr:uid="{00000000-0005-0000-0000-0000753B0000}"/>
    <cellStyle name="40% - Accent4 17 4 2" xfId="15281" xr:uid="{00000000-0005-0000-0000-0000763B0000}"/>
    <cellStyle name="40% - Accent4 17 4 2 2" xfId="28830" xr:uid="{00000000-0005-0000-0000-0000773B0000}"/>
    <cellStyle name="40% - Accent4 17 4 3" xfId="21176" xr:uid="{00000000-0005-0000-0000-0000783B0000}"/>
    <cellStyle name="40% - Accent4 17 5" xfId="9373" xr:uid="{00000000-0005-0000-0000-0000793B0000}"/>
    <cellStyle name="40% - Accent4 17 5 2" xfId="23848" xr:uid="{00000000-0005-0000-0000-00007A3B0000}"/>
    <cellStyle name="40% - Accent4 17 6" xfId="21173" xr:uid="{00000000-0005-0000-0000-00007B3B0000}"/>
    <cellStyle name="40% - Accent4 18" xfId="3852" xr:uid="{00000000-0005-0000-0000-00007C3B0000}"/>
    <cellStyle name="40% - Accent4 18 2" xfId="3853" xr:uid="{00000000-0005-0000-0000-00007D3B0000}"/>
    <cellStyle name="40% - Accent4 18 2 2" xfId="11101" xr:uid="{00000000-0005-0000-0000-00007E3B0000}"/>
    <cellStyle name="40% - Accent4 18 2 2 2" xfId="25043" xr:uid="{00000000-0005-0000-0000-00007F3B0000}"/>
    <cellStyle name="40% - Accent4 18 2 3" xfId="21178" xr:uid="{00000000-0005-0000-0000-0000803B0000}"/>
    <cellStyle name="40% - Accent4 18 3" xfId="3854" xr:uid="{00000000-0005-0000-0000-0000813B0000}"/>
    <cellStyle name="40% - Accent4 18 3 2" xfId="12875" xr:uid="{00000000-0005-0000-0000-0000823B0000}"/>
    <cellStyle name="40% - Accent4 18 3 2 2" xfId="26587" xr:uid="{00000000-0005-0000-0000-0000833B0000}"/>
    <cellStyle name="40% - Accent4 18 3 3" xfId="21179" xr:uid="{00000000-0005-0000-0000-0000843B0000}"/>
    <cellStyle name="40% - Accent4 18 4" xfId="3855" xr:uid="{00000000-0005-0000-0000-0000853B0000}"/>
    <cellStyle name="40% - Accent4 18 4 2" xfId="15282" xr:uid="{00000000-0005-0000-0000-0000863B0000}"/>
    <cellStyle name="40% - Accent4 18 4 2 2" xfId="28831" xr:uid="{00000000-0005-0000-0000-0000873B0000}"/>
    <cellStyle name="40% - Accent4 18 4 3" xfId="21180" xr:uid="{00000000-0005-0000-0000-0000883B0000}"/>
    <cellStyle name="40% - Accent4 18 5" xfId="9374" xr:uid="{00000000-0005-0000-0000-0000893B0000}"/>
    <cellStyle name="40% - Accent4 18 5 2" xfId="23849" xr:uid="{00000000-0005-0000-0000-00008A3B0000}"/>
    <cellStyle name="40% - Accent4 18 6" xfId="21177" xr:uid="{00000000-0005-0000-0000-00008B3B0000}"/>
    <cellStyle name="40% - Accent4 19" xfId="3856" xr:uid="{00000000-0005-0000-0000-00008C3B0000}"/>
    <cellStyle name="40% - Accent4 19 2" xfId="3857" xr:uid="{00000000-0005-0000-0000-00008D3B0000}"/>
    <cellStyle name="40% - Accent4 19 2 2" xfId="11719" xr:uid="{00000000-0005-0000-0000-00008E3B0000}"/>
    <cellStyle name="40% - Accent4 19 2 2 2" xfId="25439" xr:uid="{00000000-0005-0000-0000-00008F3B0000}"/>
    <cellStyle name="40% - Accent4 19 2 3" xfId="21182" xr:uid="{00000000-0005-0000-0000-0000903B0000}"/>
    <cellStyle name="40% - Accent4 19 3" xfId="3858" xr:uid="{00000000-0005-0000-0000-0000913B0000}"/>
    <cellStyle name="40% - Accent4 19 3 2" xfId="12876" xr:uid="{00000000-0005-0000-0000-0000923B0000}"/>
    <cellStyle name="40% - Accent4 19 3 2 2" xfId="26588" xr:uid="{00000000-0005-0000-0000-0000933B0000}"/>
    <cellStyle name="40% - Accent4 19 3 3" xfId="21183" xr:uid="{00000000-0005-0000-0000-0000943B0000}"/>
    <cellStyle name="40% - Accent4 19 4" xfId="3859" xr:uid="{00000000-0005-0000-0000-0000953B0000}"/>
    <cellStyle name="40% - Accent4 19 4 2" xfId="15283" xr:uid="{00000000-0005-0000-0000-0000963B0000}"/>
    <cellStyle name="40% - Accent4 19 4 2 2" xfId="28832" xr:uid="{00000000-0005-0000-0000-0000973B0000}"/>
    <cellStyle name="40% - Accent4 19 4 3" xfId="21184" xr:uid="{00000000-0005-0000-0000-0000983B0000}"/>
    <cellStyle name="40% - Accent4 19 5" xfId="10471" xr:uid="{00000000-0005-0000-0000-0000993B0000}"/>
    <cellStyle name="40% - Accent4 19 5 2" xfId="24430" xr:uid="{00000000-0005-0000-0000-00009A3B0000}"/>
    <cellStyle name="40% - Accent4 19 6" xfId="21181" xr:uid="{00000000-0005-0000-0000-00009B3B0000}"/>
    <cellStyle name="40% - Accent4 2" xfId="3860" xr:uid="{00000000-0005-0000-0000-00009C3B0000}"/>
    <cellStyle name="40% - Accent4 2 10" xfId="3861" xr:uid="{00000000-0005-0000-0000-00009D3B0000}"/>
    <cellStyle name="40% - Accent4 2 10 2" xfId="3862" xr:uid="{00000000-0005-0000-0000-00009E3B0000}"/>
    <cellStyle name="40% - Accent4 2 10 2 2" xfId="15285" xr:uid="{00000000-0005-0000-0000-00009F3B0000}"/>
    <cellStyle name="40% - Accent4 2 10 2 2 2" xfId="28834" xr:uid="{00000000-0005-0000-0000-0000A03B0000}"/>
    <cellStyle name="40% - Accent4 2 10 2 3" xfId="21187" xr:uid="{00000000-0005-0000-0000-0000A13B0000}"/>
    <cellStyle name="40% - Accent4 2 10 3" xfId="11843" xr:uid="{00000000-0005-0000-0000-0000A23B0000}"/>
    <cellStyle name="40% - Accent4 2 10 3 2" xfId="25558" xr:uid="{00000000-0005-0000-0000-0000A33B0000}"/>
    <cellStyle name="40% - Accent4 2 10 4" xfId="21186" xr:uid="{00000000-0005-0000-0000-0000A43B0000}"/>
    <cellStyle name="40% - Accent4 2 11" xfId="3863" xr:uid="{00000000-0005-0000-0000-0000A53B0000}"/>
    <cellStyle name="40% - Accent4 2 11 2" xfId="12877" xr:uid="{00000000-0005-0000-0000-0000A63B0000}"/>
    <cellStyle name="40% - Accent4 2 11 2 2" xfId="26589" xr:uid="{00000000-0005-0000-0000-0000A73B0000}"/>
    <cellStyle name="40% - Accent4 2 11 3" xfId="21188" xr:uid="{00000000-0005-0000-0000-0000A83B0000}"/>
    <cellStyle name="40% - Accent4 2 12" xfId="3864" xr:uid="{00000000-0005-0000-0000-0000A93B0000}"/>
    <cellStyle name="40% - Accent4 2 12 2" xfId="13442" xr:uid="{00000000-0005-0000-0000-0000AA3B0000}"/>
    <cellStyle name="40% - Accent4 2 12 2 2" xfId="26991" xr:uid="{00000000-0005-0000-0000-0000AB3B0000}"/>
    <cellStyle name="40% - Accent4 2 12 3" xfId="21189" xr:uid="{00000000-0005-0000-0000-0000AC3B0000}"/>
    <cellStyle name="40% - Accent4 2 13" xfId="3865" xr:uid="{00000000-0005-0000-0000-0000AD3B0000}"/>
    <cellStyle name="40% - Accent4 2 13 2" xfId="14023" xr:uid="{00000000-0005-0000-0000-0000AE3B0000}"/>
    <cellStyle name="40% - Accent4 2 13 2 2" xfId="27572" xr:uid="{00000000-0005-0000-0000-0000AF3B0000}"/>
    <cellStyle name="40% - Accent4 2 13 3" xfId="21190" xr:uid="{00000000-0005-0000-0000-0000B03B0000}"/>
    <cellStyle name="40% - Accent4 2 14" xfId="3866" xr:uid="{00000000-0005-0000-0000-0000B13B0000}"/>
    <cellStyle name="40% - Accent4 2 14 2" xfId="15284" xr:uid="{00000000-0005-0000-0000-0000B23B0000}"/>
    <cellStyle name="40% - Accent4 2 14 2 2" xfId="28833" xr:uid="{00000000-0005-0000-0000-0000B33B0000}"/>
    <cellStyle name="40% - Accent4 2 14 3" xfId="21191" xr:uid="{00000000-0005-0000-0000-0000B43B0000}"/>
    <cellStyle name="40% - Accent4 2 15" xfId="3867" xr:uid="{00000000-0005-0000-0000-0000B53B0000}"/>
    <cellStyle name="40% - Accent4 2 15 2" xfId="15909" xr:uid="{00000000-0005-0000-0000-0000B63B0000}"/>
    <cellStyle name="40% - Accent4 2 15 2 2" xfId="29316" xr:uid="{00000000-0005-0000-0000-0000B73B0000}"/>
    <cellStyle name="40% - Accent4 2 15 3" xfId="21192" xr:uid="{00000000-0005-0000-0000-0000B83B0000}"/>
    <cellStyle name="40% - Accent4 2 16" xfId="9375" xr:uid="{00000000-0005-0000-0000-0000B93B0000}"/>
    <cellStyle name="40% - Accent4 2 16 2" xfId="23850" xr:uid="{00000000-0005-0000-0000-0000BA3B0000}"/>
    <cellStyle name="40% - Accent4 2 17" xfId="21185" xr:uid="{00000000-0005-0000-0000-0000BB3B0000}"/>
    <cellStyle name="40% - Accent4 2 18" xfId="33075" xr:uid="{00000000-0005-0000-0000-0000BC3B0000}"/>
    <cellStyle name="40% - Accent4 2 2" xfId="3868" xr:uid="{00000000-0005-0000-0000-0000BD3B0000}"/>
    <cellStyle name="40% - Accent4 2 2 10" xfId="3869" xr:uid="{00000000-0005-0000-0000-0000BE3B0000}"/>
    <cellStyle name="40% - Accent4 2 2 10 2" xfId="15286" xr:uid="{00000000-0005-0000-0000-0000BF3B0000}"/>
    <cellStyle name="40% - Accent4 2 2 10 2 2" xfId="28835" xr:uid="{00000000-0005-0000-0000-0000C03B0000}"/>
    <cellStyle name="40% - Accent4 2 2 10 3" xfId="21194" xr:uid="{00000000-0005-0000-0000-0000C13B0000}"/>
    <cellStyle name="40% - Accent4 2 2 11" xfId="3870" xr:uid="{00000000-0005-0000-0000-0000C23B0000}"/>
    <cellStyle name="40% - Accent4 2 2 11 2" xfId="15955" xr:uid="{00000000-0005-0000-0000-0000C33B0000}"/>
    <cellStyle name="40% - Accent4 2 2 11 2 2" xfId="29362" xr:uid="{00000000-0005-0000-0000-0000C43B0000}"/>
    <cellStyle name="40% - Accent4 2 2 11 3" xfId="21195" xr:uid="{00000000-0005-0000-0000-0000C53B0000}"/>
    <cellStyle name="40% - Accent4 2 2 12" xfId="9376" xr:uid="{00000000-0005-0000-0000-0000C63B0000}"/>
    <cellStyle name="40% - Accent4 2 2 12 2" xfId="23851" xr:uid="{00000000-0005-0000-0000-0000C73B0000}"/>
    <cellStyle name="40% - Accent4 2 2 13" xfId="21193" xr:uid="{00000000-0005-0000-0000-0000C83B0000}"/>
    <cellStyle name="40% - Accent4 2 2 2" xfId="3871" xr:uid="{00000000-0005-0000-0000-0000C93B0000}"/>
    <cellStyle name="40% - Accent4 2 2 2 10" xfId="3872" xr:uid="{00000000-0005-0000-0000-0000CA3B0000}"/>
    <cellStyle name="40% - Accent4 2 2 2 10 2" xfId="16098" xr:uid="{00000000-0005-0000-0000-0000CB3B0000}"/>
    <cellStyle name="40% - Accent4 2 2 2 10 2 2" xfId="29505" xr:uid="{00000000-0005-0000-0000-0000CC3B0000}"/>
    <cellStyle name="40% - Accent4 2 2 2 10 3" xfId="21197" xr:uid="{00000000-0005-0000-0000-0000CD3B0000}"/>
    <cellStyle name="40% - Accent4 2 2 2 11" xfId="9377" xr:uid="{00000000-0005-0000-0000-0000CE3B0000}"/>
    <cellStyle name="40% - Accent4 2 2 2 11 2" xfId="23852" xr:uid="{00000000-0005-0000-0000-0000CF3B0000}"/>
    <cellStyle name="40% - Accent4 2 2 2 12" xfId="21196" xr:uid="{00000000-0005-0000-0000-0000D03B0000}"/>
    <cellStyle name="40% - Accent4 2 2 2 2" xfId="3873" xr:uid="{00000000-0005-0000-0000-0000D13B0000}"/>
    <cellStyle name="40% - Accent4 2 2 2 2 10" xfId="9378" xr:uid="{00000000-0005-0000-0000-0000D23B0000}"/>
    <cellStyle name="40% - Accent4 2 2 2 2 10 2" xfId="23853" xr:uid="{00000000-0005-0000-0000-0000D33B0000}"/>
    <cellStyle name="40% - Accent4 2 2 2 2 11" xfId="21198" xr:uid="{00000000-0005-0000-0000-0000D43B0000}"/>
    <cellStyle name="40% - Accent4 2 2 2 2 2" xfId="3874" xr:uid="{00000000-0005-0000-0000-0000D53B0000}"/>
    <cellStyle name="40% - Accent4 2 2 2 2 2 2" xfId="3875" xr:uid="{00000000-0005-0000-0000-0000D63B0000}"/>
    <cellStyle name="40% - Accent4 2 2 2 2 2 2 2" xfId="11106" xr:uid="{00000000-0005-0000-0000-0000D73B0000}"/>
    <cellStyle name="40% - Accent4 2 2 2 2 2 2 2 2" xfId="25048" xr:uid="{00000000-0005-0000-0000-0000D83B0000}"/>
    <cellStyle name="40% - Accent4 2 2 2 2 2 2 3" xfId="21200" xr:uid="{00000000-0005-0000-0000-0000D93B0000}"/>
    <cellStyle name="40% - Accent4 2 2 2 2 2 3" xfId="3876" xr:uid="{00000000-0005-0000-0000-0000DA3B0000}"/>
    <cellStyle name="40% - Accent4 2 2 2 2 2 3 2" xfId="12881" xr:uid="{00000000-0005-0000-0000-0000DB3B0000}"/>
    <cellStyle name="40% - Accent4 2 2 2 2 2 3 2 2" xfId="26593" xr:uid="{00000000-0005-0000-0000-0000DC3B0000}"/>
    <cellStyle name="40% - Accent4 2 2 2 2 2 3 3" xfId="21201" xr:uid="{00000000-0005-0000-0000-0000DD3B0000}"/>
    <cellStyle name="40% - Accent4 2 2 2 2 2 4" xfId="3877" xr:uid="{00000000-0005-0000-0000-0000DE3B0000}"/>
    <cellStyle name="40% - Accent4 2 2 2 2 2 4 2" xfId="15289" xr:uid="{00000000-0005-0000-0000-0000DF3B0000}"/>
    <cellStyle name="40% - Accent4 2 2 2 2 2 4 2 2" xfId="28838" xr:uid="{00000000-0005-0000-0000-0000E03B0000}"/>
    <cellStyle name="40% - Accent4 2 2 2 2 2 4 3" xfId="21202" xr:uid="{00000000-0005-0000-0000-0000E13B0000}"/>
    <cellStyle name="40% - Accent4 2 2 2 2 2 5" xfId="3878" xr:uid="{00000000-0005-0000-0000-0000E23B0000}"/>
    <cellStyle name="40% - Accent4 2 2 2 2 2 5 2" xfId="16968" xr:uid="{00000000-0005-0000-0000-0000E33B0000}"/>
    <cellStyle name="40% - Accent4 2 2 2 2 2 5 2 2" xfId="30375" xr:uid="{00000000-0005-0000-0000-0000E43B0000}"/>
    <cellStyle name="40% - Accent4 2 2 2 2 2 5 3" xfId="21203" xr:uid="{00000000-0005-0000-0000-0000E53B0000}"/>
    <cellStyle name="40% - Accent4 2 2 2 2 2 6" xfId="9379" xr:uid="{00000000-0005-0000-0000-0000E63B0000}"/>
    <cellStyle name="40% - Accent4 2 2 2 2 2 6 2" xfId="23854" xr:uid="{00000000-0005-0000-0000-0000E73B0000}"/>
    <cellStyle name="40% - Accent4 2 2 2 2 2 7" xfId="21199" xr:uid="{00000000-0005-0000-0000-0000E83B0000}"/>
    <cellStyle name="40% - Accent4 2 2 2 2 3" xfId="3879" xr:uid="{00000000-0005-0000-0000-0000E93B0000}"/>
    <cellStyle name="40% - Accent4 2 2 2 2 3 2" xfId="3880" xr:uid="{00000000-0005-0000-0000-0000EA3B0000}"/>
    <cellStyle name="40% - Accent4 2 2 2 2 3 2 2" xfId="15290" xr:uid="{00000000-0005-0000-0000-0000EB3B0000}"/>
    <cellStyle name="40% - Accent4 2 2 2 2 3 2 2 2" xfId="28839" xr:uid="{00000000-0005-0000-0000-0000EC3B0000}"/>
    <cellStyle name="40% - Accent4 2 2 2 2 3 2 3" xfId="21205" xr:uid="{00000000-0005-0000-0000-0000ED3B0000}"/>
    <cellStyle name="40% - Accent4 2 2 2 2 3 3" xfId="11105" xr:uid="{00000000-0005-0000-0000-0000EE3B0000}"/>
    <cellStyle name="40% - Accent4 2 2 2 2 3 3 2" xfId="25047" xr:uid="{00000000-0005-0000-0000-0000EF3B0000}"/>
    <cellStyle name="40% - Accent4 2 2 2 2 3 4" xfId="21204" xr:uid="{00000000-0005-0000-0000-0000F03B0000}"/>
    <cellStyle name="40% - Accent4 2 2 2 2 4" xfId="3881" xr:uid="{00000000-0005-0000-0000-0000F13B0000}"/>
    <cellStyle name="40% - Accent4 2 2 2 2 4 2" xfId="12356" xr:uid="{00000000-0005-0000-0000-0000F23B0000}"/>
    <cellStyle name="40% - Accent4 2 2 2 2 4 2 2" xfId="26068" xr:uid="{00000000-0005-0000-0000-0000F33B0000}"/>
    <cellStyle name="40% - Accent4 2 2 2 2 4 3" xfId="21206" xr:uid="{00000000-0005-0000-0000-0000F43B0000}"/>
    <cellStyle name="40% - Accent4 2 2 2 2 5" xfId="3882" xr:uid="{00000000-0005-0000-0000-0000F53B0000}"/>
    <cellStyle name="40% - Accent4 2 2 2 2 5 2" xfId="12880" xr:uid="{00000000-0005-0000-0000-0000F63B0000}"/>
    <cellStyle name="40% - Accent4 2 2 2 2 5 2 2" xfId="26592" xr:uid="{00000000-0005-0000-0000-0000F73B0000}"/>
    <cellStyle name="40% - Accent4 2 2 2 2 5 3" xfId="21207" xr:uid="{00000000-0005-0000-0000-0000F83B0000}"/>
    <cellStyle name="40% - Accent4 2 2 2 2 6" xfId="3883" xr:uid="{00000000-0005-0000-0000-0000F93B0000}"/>
    <cellStyle name="40% - Accent4 2 2 2 2 6 2" xfId="13920" xr:uid="{00000000-0005-0000-0000-0000FA3B0000}"/>
    <cellStyle name="40% - Accent4 2 2 2 2 6 2 2" xfId="27469" xr:uid="{00000000-0005-0000-0000-0000FB3B0000}"/>
    <cellStyle name="40% - Accent4 2 2 2 2 6 3" xfId="21208" xr:uid="{00000000-0005-0000-0000-0000FC3B0000}"/>
    <cellStyle name="40% - Accent4 2 2 2 2 7" xfId="3884" xr:uid="{00000000-0005-0000-0000-0000FD3B0000}"/>
    <cellStyle name="40% - Accent4 2 2 2 2 7 2" xfId="14501" xr:uid="{00000000-0005-0000-0000-0000FE3B0000}"/>
    <cellStyle name="40% - Accent4 2 2 2 2 7 2 2" xfId="28050" xr:uid="{00000000-0005-0000-0000-0000FF3B0000}"/>
    <cellStyle name="40% - Accent4 2 2 2 2 7 3" xfId="21209" xr:uid="{00000000-0005-0000-0000-0000003C0000}"/>
    <cellStyle name="40% - Accent4 2 2 2 2 8" xfId="3885" xr:uid="{00000000-0005-0000-0000-0000013C0000}"/>
    <cellStyle name="40% - Accent4 2 2 2 2 8 2" xfId="15288" xr:uid="{00000000-0005-0000-0000-0000023C0000}"/>
    <cellStyle name="40% - Accent4 2 2 2 2 8 2 2" xfId="28837" xr:uid="{00000000-0005-0000-0000-0000033C0000}"/>
    <cellStyle name="40% - Accent4 2 2 2 2 8 3" xfId="21210" xr:uid="{00000000-0005-0000-0000-0000043C0000}"/>
    <cellStyle name="40% - Accent4 2 2 2 2 9" xfId="3886" xr:uid="{00000000-0005-0000-0000-0000053C0000}"/>
    <cellStyle name="40% - Accent4 2 2 2 2 9 2" xfId="16387" xr:uid="{00000000-0005-0000-0000-0000063C0000}"/>
    <cellStyle name="40% - Accent4 2 2 2 2 9 2 2" xfId="29794" xr:uid="{00000000-0005-0000-0000-0000073C0000}"/>
    <cellStyle name="40% - Accent4 2 2 2 2 9 3" xfId="21211" xr:uid="{00000000-0005-0000-0000-0000083C0000}"/>
    <cellStyle name="40% - Accent4 2 2 2 3" xfId="3887" xr:uid="{00000000-0005-0000-0000-0000093C0000}"/>
    <cellStyle name="40% - Accent4 2 2 2 3 2" xfId="3888" xr:uid="{00000000-0005-0000-0000-00000A3C0000}"/>
    <cellStyle name="40% - Accent4 2 2 2 3 2 2" xfId="11107" xr:uid="{00000000-0005-0000-0000-00000B3C0000}"/>
    <cellStyle name="40% - Accent4 2 2 2 3 2 2 2" xfId="25049" xr:uid="{00000000-0005-0000-0000-00000C3C0000}"/>
    <cellStyle name="40% - Accent4 2 2 2 3 2 3" xfId="21213" xr:uid="{00000000-0005-0000-0000-00000D3C0000}"/>
    <cellStyle name="40% - Accent4 2 2 2 3 3" xfId="3889" xr:uid="{00000000-0005-0000-0000-00000E3C0000}"/>
    <cellStyle name="40% - Accent4 2 2 2 3 3 2" xfId="12882" xr:uid="{00000000-0005-0000-0000-00000F3C0000}"/>
    <cellStyle name="40% - Accent4 2 2 2 3 3 2 2" xfId="26594" xr:uid="{00000000-0005-0000-0000-0000103C0000}"/>
    <cellStyle name="40% - Accent4 2 2 2 3 3 3" xfId="21214" xr:uid="{00000000-0005-0000-0000-0000113C0000}"/>
    <cellStyle name="40% - Accent4 2 2 2 3 4" xfId="3890" xr:uid="{00000000-0005-0000-0000-0000123C0000}"/>
    <cellStyle name="40% - Accent4 2 2 2 3 4 2" xfId="15291" xr:uid="{00000000-0005-0000-0000-0000133C0000}"/>
    <cellStyle name="40% - Accent4 2 2 2 3 4 2 2" xfId="28840" xr:uid="{00000000-0005-0000-0000-0000143C0000}"/>
    <cellStyle name="40% - Accent4 2 2 2 3 4 3" xfId="21215" xr:uid="{00000000-0005-0000-0000-0000153C0000}"/>
    <cellStyle name="40% - Accent4 2 2 2 3 5" xfId="3891" xr:uid="{00000000-0005-0000-0000-0000163C0000}"/>
    <cellStyle name="40% - Accent4 2 2 2 3 5 2" xfId="16679" xr:uid="{00000000-0005-0000-0000-0000173C0000}"/>
    <cellStyle name="40% - Accent4 2 2 2 3 5 2 2" xfId="30086" xr:uid="{00000000-0005-0000-0000-0000183C0000}"/>
    <cellStyle name="40% - Accent4 2 2 2 3 5 3" xfId="21216" xr:uid="{00000000-0005-0000-0000-0000193C0000}"/>
    <cellStyle name="40% - Accent4 2 2 2 3 6" xfId="9380" xr:uid="{00000000-0005-0000-0000-00001A3C0000}"/>
    <cellStyle name="40% - Accent4 2 2 2 3 6 2" xfId="23855" xr:uid="{00000000-0005-0000-0000-00001B3C0000}"/>
    <cellStyle name="40% - Accent4 2 2 2 3 7" xfId="21212" xr:uid="{00000000-0005-0000-0000-00001C3C0000}"/>
    <cellStyle name="40% - Accent4 2 2 2 4" xfId="3892" xr:uid="{00000000-0005-0000-0000-00001D3C0000}"/>
    <cellStyle name="40% - Accent4 2 2 2 4 2" xfId="3893" xr:uid="{00000000-0005-0000-0000-00001E3C0000}"/>
    <cellStyle name="40% - Accent4 2 2 2 4 2 2" xfId="15292" xr:uid="{00000000-0005-0000-0000-00001F3C0000}"/>
    <cellStyle name="40% - Accent4 2 2 2 4 2 2 2" xfId="28841" xr:uid="{00000000-0005-0000-0000-0000203C0000}"/>
    <cellStyle name="40% - Accent4 2 2 2 4 2 3" xfId="21218" xr:uid="{00000000-0005-0000-0000-0000213C0000}"/>
    <cellStyle name="40% - Accent4 2 2 2 4 3" xfId="11104" xr:uid="{00000000-0005-0000-0000-0000223C0000}"/>
    <cellStyle name="40% - Accent4 2 2 2 4 3 2" xfId="25046" xr:uid="{00000000-0005-0000-0000-0000233C0000}"/>
    <cellStyle name="40% - Accent4 2 2 2 4 4" xfId="21217" xr:uid="{00000000-0005-0000-0000-0000243C0000}"/>
    <cellStyle name="40% - Accent4 2 2 2 5" xfId="3894" xr:uid="{00000000-0005-0000-0000-0000253C0000}"/>
    <cellStyle name="40% - Accent4 2 2 2 5 2" xfId="12056" xr:uid="{00000000-0005-0000-0000-0000263C0000}"/>
    <cellStyle name="40% - Accent4 2 2 2 5 2 2" xfId="25771" xr:uid="{00000000-0005-0000-0000-0000273C0000}"/>
    <cellStyle name="40% - Accent4 2 2 2 5 3" xfId="21219" xr:uid="{00000000-0005-0000-0000-0000283C0000}"/>
    <cellStyle name="40% - Accent4 2 2 2 6" xfId="3895" xr:uid="{00000000-0005-0000-0000-0000293C0000}"/>
    <cellStyle name="40% - Accent4 2 2 2 6 2" xfId="12879" xr:uid="{00000000-0005-0000-0000-00002A3C0000}"/>
    <cellStyle name="40% - Accent4 2 2 2 6 2 2" xfId="26591" xr:uid="{00000000-0005-0000-0000-00002B3C0000}"/>
    <cellStyle name="40% - Accent4 2 2 2 6 3" xfId="21220" xr:uid="{00000000-0005-0000-0000-00002C3C0000}"/>
    <cellStyle name="40% - Accent4 2 2 2 7" xfId="3896" xr:uid="{00000000-0005-0000-0000-00002D3C0000}"/>
    <cellStyle name="40% - Accent4 2 2 2 7 2" xfId="13631" xr:uid="{00000000-0005-0000-0000-00002E3C0000}"/>
    <cellStyle name="40% - Accent4 2 2 2 7 2 2" xfId="27180" xr:uid="{00000000-0005-0000-0000-00002F3C0000}"/>
    <cellStyle name="40% - Accent4 2 2 2 7 3" xfId="21221" xr:uid="{00000000-0005-0000-0000-0000303C0000}"/>
    <cellStyle name="40% - Accent4 2 2 2 8" xfId="3897" xr:uid="{00000000-0005-0000-0000-0000313C0000}"/>
    <cellStyle name="40% - Accent4 2 2 2 8 2" xfId="14212" xr:uid="{00000000-0005-0000-0000-0000323C0000}"/>
    <cellStyle name="40% - Accent4 2 2 2 8 2 2" xfId="27761" xr:uid="{00000000-0005-0000-0000-0000333C0000}"/>
    <cellStyle name="40% - Accent4 2 2 2 8 3" xfId="21222" xr:uid="{00000000-0005-0000-0000-0000343C0000}"/>
    <cellStyle name="40% - Accent4 2 2 2 9" xfId="3898" xr:uid="{00000000-0005-0000-0000-0000353C0000}"/>
    <cellStyle name="40% - Accent4 2 2 2 9 2" xfId="15287" xr:uid="{00000000-0005-0000-0000-0000363C0000}"/>
    <cellStyle name="40% - Accent4 2 2 2 9 2 2" xfId="28836" xr:uid="{00000000-0005-0000-0000-0000373C0000}"/>
    <cellStyle name="40% - Accent4 2 2 2 9 3" xfId="21223" xr:uid="{00000000-0005-0000-0000-0000383C0000}"/>
    <cellStyle name="40% - Accent4 2 2 3" xfId="3899" xr:uid="{00000000-0005-0000-0000-0000393C0000}"/>
    <cellStyle name="40% - Accent4 2 2 3 10" xfId="9381" xr:uid="{00000000-0005-0000-0000-00003A3C0000}"/>
    <cellStyle name="40% - Accent4 2 2 3 10 2" xfId="23856" xr:uid="{00000000-0005-0000-0000-00003B3C0000}"/>
    <cellStyle name="40% - Accent4 2 2 3 11" xfId="21224" xr:uid="{00000000-0005-0000-0000-00003C3C0000}"/>
    <cellStyle name="40% - Accent4 2 2 3 2" xfId="3900" xr:uid="{00000000-0005-0000-0000-00003D3C0000}"/>
    <cellStyle name="40% - Accent4 2 2 3 2 2" xfId="3901" xr:uid="{00000000-0005-0000-0000-00003E3C0000}"/>
    <cellStyle name="40% - Accent4 2 2 3 2 2 2" xfId="11109" xr:uid="{00000000-0005-0000-0000-00003F3C0000}"/>
    <cellStyle name="40% - Accent4 2 2 3 2 2 2 2" xfId="25051" xr:uid="{00000000-0005-0000-0000-0000403C0000}"/>
    <cellStyle name="40% - Accent4 2 2 3 2 2 3" xfId="21226" xr:uid="{00000000-0005-0000-0000-0000413C0000}"/>
    <cellStyle name="40% - Accent4 2 2 3 2 3" xfId="3902" xr:uid="{00000000-0005-0000-0000-0000423C0000}"/>
    <cellStyle name="40% - Accent4 2 2 3 2 3 2" xfId="12884" xr:uid="{00000000-0005-0000-0000-0000433C0000}"/>
    <cellStyle name="40% - Accent4 2 2 3 2 3 2 2" xfId="26596" xr:uid="{00000000-0005-0000-0000-0000443C0000}"/>
    <cellStyle name="40% - Accent4 2 2 3 2 3 3" xfId="21227" xr:uid="{00000000-0005-0000-0000-0000453C0000}"/>
    <cellStyle name="40% - Accent4 2 2 3 2 4" xfId="3903" xr:uid="{00000000-0005-0000-0000-0000463C0000}"/>
    <cellStyle name="40% - Accent4 2 2 3 2 4 2" xfId="15294" xr:uid="{00000000-0005-0000-0000-0000473C0000}"/>
    <cellStyle name="40% - Accent4 2 2 3 2 4 2 2" xfId="28843" xr:uid="{00000000-0005-0000-0000-0000483C0000}"/>
    <cellStyle name="40% - Accent4 2 2 3 2 4 3" xfId="21228" xr:uid="{00000000-0005-0000-0000-0000493C0000}"/>
    <cellStyle name="40% - Accent4 2 2 3 2 5" xfId="3904" xr:uid="{00000000-0005-0000-0000-00004A3C0000}"/>
    <cellStyle name="40% - Accent4 2 2 3 2 5 2" xfId="16825" xr:uid="{00000000-0005-0000-0000-00004B3C0000}"/>
    <cellStyle name="40% - Accent4 2 2 3 2 5 2 2" xfId="30232" xr:uid="{00000000-0005-0000-0000-00004C3C0000}"/>
    <cellStyle name="40% - Accent4 2 2 3 2 5 3" xfId="21229" xr:uid="{00000000-0005-0000-0000-00004D3C0000}"/>
    <cellStyle name="40% - Accent4 2 2 3 2 6" xfId="9382" xr:uid="{00000000-0005-0000-0000-00004E3C0000}"/>
    <cellStyle name="40% - Accent4 2 2 3 2 6 2" xfId="23857" xr:uid="{00000000-0005-0000-0000-00004F3C0000}"/>
    <cellStyle name="40% - Accent4 2 2 3 2 7" xfId="21225" xr:uid="{00000000-0005-0000-0000-0000503C0000}"/>
    <cellStyle name="40% - Accent4 2 2 3 3" xfId="3905" xr:uid="{00000000-0005-0000-0000-0000513C0000}"/>
    <cellStyle name="40% - Accent4 2 2 3 3 2" xfId="3906" xr:uid="{00000000-0005-0000-0000-0000523C0000}"/>
    <cellStyle name="40% - Accent4 2 2 3 3 2 2" xfId="15295" xr:uid="{00000000-0005-0000-0000-0000533C0000}"/>
    <cellStyle name="40% - Accent4 2 2 3 3 2 2 2" xfId="28844" xr:uid="{00000000-0005-0000-0000-0000543C0000}"/>
    <cellStyle name="40% - Accent4 2 2 3 3 2 3" xfId="21231" xr:uid="{00000000-0005-0000-0000-0000553C0000}"/>
    <cellStyle name="40% - Accent4 2 2 3 3 3" xfId="11108" xr:uid="{00000000-0005-0000-0000-0000563C0000}"/>
    <cellStyle name="40% - Accent4 2 2 3 3 3 2" xfId="25050" xr:uid="{00000000-0005-0000-0000-0000573C0000}"/>
    <cellStyle name="40% - Accent4 2 2 3 3 4" xfId="21230" xr:uid="{00000000-0005-0000-0000-0000583C0000}"/>
    <cellStyle name="40% - Accent4 2 2 3 4" xfId="3907" xr:uid="{00000000-0005-0000-0000-0000593C0000}"/>
    <cellStyle name="40% - Accent4 2 2 3 4 2" xfId="12213" xr:uid="{00000000-0005-0000-0000-00005A3C0000}"/>
    <cellStyle name="40% - Accent4 2 2 3 4 2 2" xfId="25925" xr:uid="{00000000-0005-0000-0000-00005B3C0000}"/>
    <cellStyle name="40% - Accent4 2 2 3 4 3" xfId="21232" xr:uid="{00000000-0005-0000-0000-00005C3C0000}"/>
    <cellStyle name="40% - Accent4 2 2 3 5" xfId="3908" xr:uid="{00000000-0005-0000-0000-00005D3C0000}"/>
    <cellStyle name="40% - Accent4 2 2 3 5 2" xfId="12883" xr:uid="{00000000-0005-0000-0000-00005E3C0000}"/>
    <cellStyle name="40% - Accent4 2 2 3 5 2 2" xfId="26595" xr:uid="{00000000-0005-0000-0000-00005F3C0000}"/>
    <cellStyle name="40% - Accent4 2 2 3 5 3" xfId="21233" xr:uid="{00000000-0005-0000-0000-0000603C0000}"/>
    <cellStyle name="40% - Accent4 2 2 3 6" xfId="3909" xr:uid="{00000000-0005-0000-0000-0000613C0000}"/>
    <cellStyle name="40% - Accent4 2 2 3 6 2" xfId="13777" xr:uid="{00000000-0005-0000-0000-0000623C0000}"/>
    <cellStyle name="40% - Accent4 2 2 3 6 2 2" xfId="27326" xr:uid="{00000000-0005-0000-0000-0000633C0000}"/>
    <cellStyle name="40% - Accent4 2 2 3 6 3" xfId="21234" xr:uid="{00000000-0005-0000-0000-0000643C0000}"/>
    <cellStyle name="40% - Accent4 2 2 3 7" xfId="3910" xr:uid="{00000000-0005-0000-0000-0000653C0000}"/>
    <cellStyle name="40% - Accent4 2 2 3 7 2" xfId="14358" xr:uid="{00000000-0005-0000-0000-0000663C0000}"/>
    <cellStyle name="40% - Accent4 2 2 3 7 2 2" xfId="27907" xr:uid="{00000000-0005-0000-0000-0000673C0000}"/>
    <cellStyle name="40% - Accent4 2 2 3 7 3" xfId="21235" xr:uid="{00000000-0005-0000-0000-0000683C0000}"/>
    <cellStyle name="40% - Accent4 2 2 3 8" xfId="3911" xr:uid="{00000000-0005-0000-0000-0000693C0000}"/>
    <cellStyle name="40% - Accent4 2 2 3 8 2" xfId="15293" xr:uid="{00000000-0005-0000-0000-00006A3C0000}"/>
    <cellStyle name="40% - Accent4 2 2 3 8 2 2" xfId="28842" xr:uid="{00000000-0005-0000-0000-00006B3C0000}"/>
    <cellStyle name="40% - Accent4 2 2 3 8 3" xfId="21236" xr:uid="{00000000-0005-0000-0000-00006C3C0000}"/>
    <cellStyle name="40% - Accent4 2 2 3 9" xfId="3912" xr:uid="{00000000-0005-0000-0000-00006D3C0000}"/>
    <cellStyle name="40% - Accent4 2 2 3 9 2" xfId="16244" xr:uid="{00000000-0005-0000-0000-00006E3C0000}"/>
    <cellStyle name="40% - Accent4 2 2 3 9 2 2" xfId="29651" xr:uid="{00000000-0005-0000-0000-00006F3C0000}"/>
    <cellStyle name="40% - Accent4 2 2 3 9 3" xfId="21237" xr:uid="{00000000-0005-0000-0000-0000703C0000}"/>
    <cellStyle name="40% - Accent4 2 2 4" xfId="3913" xr:uid="{00000000-0005-0000-0000-0000713C0000}"/>
    <cellStyle name="40% - Accent4 2 2 4 2" xfId="3914" xr:uid="{00000000-0005-0000-0000-0000723C0000}"/>
    <cellStyle name="40% - Accent4 2 2 4 2 2" xfId="11110" xr:uid="{00000000-0005-0000-0000-0000733C0000}"/>
    <cellStyle name="40% - Accent4 2 2 4 2 2 2" xfId="25052" xr:uid="{00000000-0005-0000-0000-0000743C0000}"/>
    <cellStyle name="40% - Accent4 2 2 4 2 3" xfId="21239" xr:uid="{00000000-0005-0000-0000-0000753C0000}"/>
    <cellStyle name="40% - Accent4 2 2 4 3" xfId="3915" xr:uid="{00000000-0005-0000-0000-0000763C0000}"/>
    <cellStyle name="40% - Accent4 2 2 4 3 2" xfId="12885" xr:uid="{00000000-0005-0000-0000-0000773C0000}"/>
    <cellStyle name="40% - Accent4 2 2 4 3 2 2" xfId="26597" xr:uid="{00000000-0005-0000-0000-0000783C0000}"/>
    <cellStyle name="40% - Accent4 2 2 4 3 3" xfId="21240" xr:uid="{00000000-0005-0000-0000-0000793C0000}"/>
    <cellStyle name="40% - Accent4 2 2 4 4" xfId="3916" xr:uid="{00000000-0005-0000-0000-00007A3C0000}"/>
    <cellStyle name="40% - Accent4 2 2 4 4 2" xfId="15296" xr:uid="{00000000-0005-0000-0000-00007B3C0000}"/>
    <cellStyle name="40% - Accent4 2 2 4 4 2 2" xfId="28845" xr:uid="{00000000-0005-0000-0000-00007C3C0000}"/>
    <cellStyle name="40% - Accent4 2 2 4 4 3" xfId="21241" xr:uid="{00000000-0005-0000-0000-00007D3C0000}"/>
    <cellStyle name="40% - Accent4 2 2 4 5" xfId="3917" xr:uid="{00000000-0005-0000-0000-00007E3C0000}"/>
    <cellStyle name="40% - Accent4 2 2 4 5 2" xfId="17172" xr:uid="{00000000-0005-0000-0000-00007F3C0000}"/>
    <cellStyle name="40% - Accent4 2 2 4 5 2 2" xfId="30531" xr:uid="{00000000-0005-0000-0000-0000803C0000}"/>
    <cellStyle name="40% - Accent4 2 2 4 5 3" xfId="21242" xr:uid="{00000000-0005-0000-0000-0000813C0000}"/>
    <cellStyle name="40% - Accent4 2 2 4 6" xfId="9383" xr:uid="{00000000-0005-0000-0000-0000823C0000}"/>
    <cellStyle name="40% - Accent4 2 2 4 6 2" xfId="23858" xr:uid="{00000000-0005-0000-0000-0000833C0000}"/>
    <cellStyle name="40% - Accent4 2 2 4 7" xfId="21238" xr:uid="{00000000-0005-0000-0000-0000843C0000}"/>
    <cellStyle name="40% - Accent4 2 2 5" xfId="3918" xr:uid="{00000000-0005-0000-0000-0000853C0000}"/>
    <cellStyle name="40% - Accent4 2 2 5 2" xfId="3919" xr:uid="{00000000-0005-0000-0000-0000863C0000}"/>
    <cellStyle name="40% - Accent4 2 2 5 2 2" xfId="15297" xr:uid="{00000000-0005-0000-0000-0000873C0000}"/>
    <cellStyle name="40% - Accent4 2 2 5 2 2 2" xfId="28846" xr:uid="{00000000-0005-0000-0000-0000883C0000}"/>
    <cellStyle name="40% - Accent4 2 2 5 2 3" xfId="21244" xr:uid="{00000000-0005-0000-0000-0000893C0000}"/>
    <cellStyle name="40% - Accent4 2 2 5 3" xfId="3920" xr:uid="{00000000-0005-0000-0000-00008A3C0000}"/>
    <cellStyle name="40% - Accent4 2 2 5 3 2" xfId="17261" xr:uid="{00000000-0005-0000-0000-00008B3C0000}"/>
    <cellStyle name="40% - Accent4 2 2 5 3 2 2" xfId="30620" xr:uid="{00000000-0005-0000-0000-00008C3C0000}"/>
    <cellStyle name="40% - Accent4 2 2 5 3 3" xfId="21245" xr:uid="{00000000-0005-0000-0000-00008D3C0000}"/>
    <cellStyle name="40% - Accent4 2 2 5 4" xfId="11103" xr:uid="{00000000-0005-0000-0000-00008E3C0000}"/>
    <cellStyle name="40% - Accent4 2 2 5 4 2" xfId="25045" xr:uid="{00000000-0005-0000-0000-00008F3C0000}"/>
    <cellStyle name="40% - Accent4 2 2 5 5" xfId="21243" xr:uid="{00000000-0005-0000-0000-0000903C0000}"/>
    <cellStyle name="40% - Accent4 2 2 6" xfId="3921" xr:uid="{00000000-0005-0000-0000-0000913C0000}"/>
    <cellStyle name="40% - Accent4 2 2 6 2" xfId="3922" xr:uid="{00000000-0005-0000-0000-0000923C0000}"/>
    <cellStyle name="40% - Accent4 2 2 6 2 2" xfId="16536" xr:uid="{00000000-0005-0000-0000-0000933C0000}"/>
    <cellStyle name="40% - Accent4 2 2 6 2 2 2" xfId="29943" xr:uid="{00000000-0005-0000-0000-0000943C0000}"/>
    <cellStyle name="40% - Accent4 2 2 6 2 3" xfId="21247" xr:uid="{00000000-0005-0000-0000-0000953C0000}"/>
    <cellStyle name="40% - Accent4 2 2 6 3" xfId="11911" xr:uid="{00000000-0005-0000-0000-0000963C0000}"/>
    <cellStyle name="40% - Accent4 2 2 6 3 2" xfId="25626" xr:uid="{00000000-0005-0000-0000-0000973C0000}"/>
    <cellStyle name="40% - Accent4 2 2 6 4" xfId="21246" xr:uid="{00000000-0005-0000-0000-0000983C0000}"/>
    <cellStyle name="40% - Accent4 2 2 7" xfId="3923" xr:uid="{00000000-0005-0000-0000-0000993C0000}"/>
    <cellStyle name="40% - Accent4 2 2 7 2" xfId="12878" xr:uid="{00000000-0005-0000-0000-00009A3C0000}"/>
    <cellStyle name="40% - Accent4 2 2 7 2 2" xfId="26590" xr:uid="{00000000-0005-0000-0000-00009B3C0000}"/>
    <cellStyle name="40% - Accent4 2 2 7 3" xfId="21248" xr:uid="{00000000-0005-0000-0000-00009C3C0000}"/>
    <cellStyle name="40% - Accent4 2 2 8" xfId="3924" xr:uid="{00000000-0005-0000-0000-00009D3C0000}"/>
    <cellStyle name="40% - Accent4 2 2 8 2" xfId="13488" xr:uid="{00000000-0005-0000-0000-00009E3C0000}"/>
    <cellStyle name="40% - Accent4 2 2 8 2 2" xfId="27037" xr:uid="{00000000-0005-0000-0000-00009F3C0000}"/>
    <cellStyle name="40% - Accent4 2 2 8 3" xfId="21249" xr:uid="{00000000-0005-0000-0000-0000A03C0000}"/>
    <cellStyle name="40% - Accent4 2 2 9" xfId="3925" xr:uid="{00000000-0005-0000-0000-0000A13C0000}"/>
    <cellStyle name="40% - Accent4 2 2 9 2" xfId="14069" xr:uid="{00000000-0005-0000-0000-0000A23C0000}"/>
    <cellStyle name="40% - Accent4 2 2 9 2 2" xfId="27618" xr:uid="{00000000-0005-0000-0000-0000A33C0000}"/>
    <cellStyle name="40% - Accent4 2 2 9 3" xfId="21250" xr:uid="{00000000-0005-0000-0000-0000A43C0000}"/>
    <cellStyle name="40% - Accent4 2 3" xfId="3926" xr:uid="{00000000-0005-0000-0000-0000A53C0000}"/>
    <cellStyle name="40% - Accent4 2 3 10" xfId="3927" xr:uid="{00000000-0005-0000-0000-0000A63C0000}"/>
    <cellStyle name="40% - Accent4 2 3 10 2" xfId="16052" xr:uid="{00000000-0005-0000-0000-0000A73C0000}"/>
    <cellStyle name="40% - Accent4 2 3 10 2 2" xfId="29459" xr:uid="{00000000-0005-0000-0000-0000A83C0000}"/>
    <cellStyle name="40% - Accent4 2 3 10 3" xfId="21252" xr:uid="{00000000-0005-0000-0000-0000A93C0000}"/>
    <cellStyle name="40% - Accent4 2 3 11" xfId="9384" xr:uid="{00000000-0005-0000-0000-0000AA3C0000}"/>
    <cellStyle name="40% - Accent4 2 3 11 2" xfId="23859" xr:uid="{00000000-0005-0000-0000-0000AB3C0000}"/>
    <cellStyle name="40% - Accent4 2 3 12" xfId="21251" xr:uid="{00000000-0005-0000-0000-0000AC3C0000}"/>
    <cellStyle name="40% - Accent4 2 3 2" xfId="3928" xr:uid="{00000000-0005-0000-0000-0000AD3C0000}"/>
    <cellStyle name="40% - Accent4 2 3 2 10" xfId="9385" xr:uid="{00000000-0005-0000-0000-0000AE3C0000}"/>
    <cellStyle name="40% - Accent4 2 3 2 10 2" xfId="23860" xr:uid="{00000000-0005-0000-0000-0000AF3C0000}"/>
    <cellStyle name="40% - Accent4 2 3 2 11" xfId="21253" xr:uid="{00000000-0005-0000-0000-0000B03C0000}"/>
    <cellStyle name="40% - Accent4 2 3 2 2" xfId="3929" xr:uid="{00000000-0005-0000-0000-0000B13C0000}"/>
    <cellStyle name="40% - Accent4 2 3 2 2 2" xfId="3930" xr:uid="{00000000-0005-0000-0000-0000B23C0000}"/>
    <cellStyle name="40% - Accent4 2 3 2 2 2 2" xfId="11113" xr:uid="{00000000-0005-0000-0000-0000B33C0000}"/>
    <cellStyle name="40% - Accent4 2 3 2 2 2 2 2" xfId="25055" xr:uid="{00000000-0005-0000-0000-0000B43C0000}"/>
    <cellStyle name="40% - Accent4 2 3 2 2 2 3" xfId="21255" xr:uid="{00000000-0005-0000-0000-0000B53C0000}"/>
    <cellStyle name="40% - Accent4 2 3 2 2 3" xfId="3931" xr:uid="{00000000-0005-0000-0000-0000B63C0000}"/>
    <cellStyle name="40% - Accent4 2 3 2 2 3 2" xfId="12888" xr:uid="{00000000-0005-0000-0000-0000B73C0000}"/>
    <cellStyle name="40% - Accent4 2 3 2 2 3 2 2" xfId="26600" xr:uid="{00000000-0005-0000-0000-0000B83C0000}"/>
    <cellStyle name="40% - Accent4 2 3 2 2 3 3" xfId="21256" xr:uid="{00000000-0005-0000-0000-0000B93C0000}"/>
    <cellStyle name="40% - Accent4 2 3 2 2 4" xfId="3932" xr:uid="{00000000-0005-0000-0000-0000BA3C0000}"/>
    <cellStyle name="40% - Accent4 2 3 2 2 4 2" xfId="15300" xr:uid="{00000000-0005-0000-0000-0000BB3C0000}"/>
    <cellStyle name="40% - Accent4 2 3 2 2 4 2 2" xfId="28849" xr:uid="{00000000-0005-0000-0000-0000BC3C0000}"/>
    <cellStyle name="40% - Accent4 2 3 2 2 4 3" xfId="21257" xr:uid="{00000000-0005-0000-0000-0000BD3C0000}"/>
    <cellStyle name="40% - Accent4 2 3 2 2 5" xfId="3933" xr:uid="{00000000-0005-0000-0000-0000BE3C0000}"/>
    <cellStyle name="40% - Accent4 2 3 2 2 5 2" xfId="16922" xr:uid="{00000000-0005-0000-0000-0000BF3C0000}"/>
    <cellStyle name="40% - Accent4 2 3 2 2 5 2 2" xfId="30329" xr:uid="{00000000-0005-0000-0000-0000C03C0000}"/>
    <cellStyle name="40% - Accent4 2 3 2 2 5 3" xfId="21258" xr:uid="{00000000-0005-0000-0000-0000C13C0000}"/>
    <cellStyle name="40% - Accent4 2 3 2 2 6" xfId="9386" xr:uid="{00000000-0005-0000-0000-0000C23C0000}"/>
    <cellStyle name="40% - Accent4 2 3 2 2 6 2" xfId="23861" xr:uid="{00000000-0005-0000-0000-0000C33C0000}"/>
    <cellStyle name="40% - Accent4 2 3 2 2 7" xfId="21254" xr:uid="{00000000-0005-0000-0000-0000C43C0000}"/>
    <cellStyle name="40% - Accent4 2 3 2 3" xfId="3934" xr:uid="{00000000-0005-0000-0000-0000C53C0000}"/>
    <cellStyle name="40% - Accent4 2 3 2 3 2" xfId="3935" xr:uid="{00000000-0005-0000-0000-0000C63C0000}"/>
    <cellStyle name="40% - Accent4 2 3 2 3 2 2" xfId="15301" xr:uid="{00000000-0005-0000-0000-0000C73C0000}"/>
    <cellStyle name="40% - Accent4 2 3 2 3 2 2 2" xfId="28850" xr:uid="{00000000-0005-0000-0000-0000C83C0000}"/>
    <cellStyle name="40% - Accent4 2 3 2 3 2 3" xfId="21260" xr:uid="{00000000-0005-0000-0000-0000C93C0000}"/>
    <cellStyle name="40% - Accent4 2 3 2 3 3" xfId="11112" xr:uid="{00000000-0005-0000-0000-0000CA3C0000}"/>
    <cellStyle name="40% - Accent4 2 3 2 3 3 2" xfId="25054" xr:uid="{00000000-0005-0000-0000-0000CB3C0000}"/>
    <cellStyle name="40% - Accent4 2 3 2 3 4" xfId="21259" xr:uid="{00000000-0005-0000-0000-0000CC3C0000}"/>
    <cellStyle name="40% - Accent4 2 3 2 4" xfId="3936" xr:uid="{00000000-0005-0000-0000-0000CD3C0000}"/>
    <cellStyle name="40% - Accent4 2 3 2 4 2" xfId="12310" xr:uid="{00000000-0005-0000-0000-0000CE3C0000}"/>
    <cellStyle name="40% - Accent4 2 3 2 4 2 2" xfId="26022" xr:uid="{00000000-0005-0000-0000-0000CF3C0000}"/>
    <cellStyle name="40% - Accent4 2 3 2 4 3" xfId="21261" xr:uid="{00000000-0005-0000-0000-0000D03C0000}"/>
    <cellStyle name="40% - Accent4 2 3 2 5" xfId="3937" xr:uid="{00000000-0005-0000-0000-0000D13C0000}"/>
    <cellStyle name="40% - Accent4 2 3 2 5 2" xfId="12887" xr:uid="{00000000-0005-0000-0000-0000D23C0000}"/>
    <cellStyle name="40% - Accent4 2 3 2 5 2 2" xfId="26599" xr:uid="{00000000-0005-0000-0000-0000D33C0000}"/>
    <cellStyle name="40% - Accent4 2 3 2 5 3" xfId="21262" xr:uid="{00000000-0005-0000-0000-0000D43C0000}"/>
    <cellStyle name="40% - Accent4 2 3 2 6" xfId="3938" xr:uid="{00000000-0005-0000-0000-0000D53C0000}"/>
    <cellStyle name="40% - Accent4 2 3 2 6 2" xfId="13874" xr:uid="{00000000-0005-0000-0000-0000D63C0000}"/>
    <cellStyle name="40% - Accent4 2 3 2 6 2 2" xfId="27423" xr:uid="{00000000-0005-0000-0000-0000D73C0000}"/>
    <cellStyle name="40% - Accent4 2 3 2 6 3" xfId="21263" xr:uid="{00000000-0005-0000-0000-0000D83C0000}"/>
    <cellStyle name="40% - Accent4 2 3 2 7" xfId="3939" xr:uid="{00000000-0005-0000-0000-0000D93C0000}"/>
    <cellStyle name="40% - Accent4 2 3 2 7 2" xfId="14455" xr:uid="{00000000-0005-0000-0000-0000DA3C0000}"/>
    <cellStyle name="40% - Accent4 2 3 2 7 2 2" xfId="28004" xr:uid="{00000000-0005-0000-0000-0000DB3C0000}"/>
    <cellStyle name="40% - Accent4 2 3 2 7 3" xfId="21264" xr:uid="{00000000-0005-0000-0000-0000DC3C0000}"/>
    <cellStyle name="40% - Accent4 2 3 2 8" xfId="3940" xr:uid="{00000000-0005-0000-0000-0000DD3C0000}"/>
    <cellStyle name="40% - Accent4 2 3 2 8 2" xfId="15299" xr:uid="{00000000-0005-0000-0000-0000DE3C0000}"/>
    <cellStyle name="40% - Accent4 2 3 2 8 2 2" xfId="28848" xr:uid="{00000000-0005-0000-0000-0000DF3C0000}"/>
    <cellStyle name="40% - Accent4 2 3 2 8 3" xfId="21265" xr:uid="{00000000-0005-0000-0000-0000E03C0000}"/>
    <cellStyle name="40% - Accent4 2 3 2 9" xfId="3941" xr:uid="{00000000-0005-0000-0000-0000E13C0000}"/>
    <cellStyle name="40% - Accent4 2 3 2 9 2" xfId="16341" xr:uid="{00000000-0005-0000-0000-0000E23C0000}"/>
    <cellStyle name="40% - Accent4 2 3 2 9 2 2" xfId="29748" xr:uid="{00000000-0005-0000-0000-0000E33C0000}"/>
    <cellStyle name="40% - Accent4 2 3 2 9 3" xfId="21266" xr:uid="{00000000-0005-0000-0000-0000E43C0000}"/>
    <cellStyle name="40% - Accent4 2 3 3" xfId="3942" xr:uid="{00000000-0005-0000-0000-0000E53C0000}"/>
    <cellStyle name="40% - Accent4 2 3 3 2" xfId="3943" xr:uid="{00000000-0005-0000-0000-0000E63C0000}"/>
    <cellStyle name="40% - Accent4 2 3 3 2 2" xfId="11114" xr:uid="{00000000-0005-0000-0000-0000E73C0000}"/>
    <cellStyle name="40% - Accent4 2 3 3 2 2 2" xfId="25056" xr:uid="{00000000-0005-0000-0000-0000E83C0000}"/>
    <cellStyle name="40% - Accent4 2 3 3 2 3" xfId="21268" xr:uid="{00000000-0005-0000-0000-0000E93C0000}"/>
    <cellStyle name="40% - Accent4 2 3 3 3" xfId="3944" xr:uid="{00000000-0005-0000-0000-0000EA3C0000}"/>
    <cellStyle name="40% - Accent4 2 3 3 3 2" xfId="12889" xr:uid="{00000000-0005-0000-0000-0000EB3C0000}"/>
    <cellStyle name="40% - Accent4 2 3 3 3 2 2" xfId="26601" xr:uid="{00000000-0005-0000-0000-0000EC3C0000}"/>
    <cellStyle name="40% - Accent4 2 3 3 3 3" xfId="21269" xr:uid="{00000000-0005-0000-0000-0000ED3C0000}"/>
    <cellStyle name="40% - Accent4 2 3 3 4" xfId="3945" xr:uid="{00000000-0005-0000-0000-0000EE3C0000}"/>
    <cellStyle name="40% - Accent4 2 3 3 4 2" xfId="15302" xr:uid="{00000000-0005-0000-0000-0000EF3C0000}"/>
    <cellStyle name="40% - Accent4 2 3 3 4 2 2" xfId="28851" xr:uid="{00000000-0005-0000-0000-0000F03C0000}"/>
    <cellStyle name="40% - Accent4 2 3 3 4 3" xfId="21270" xr:uid="{00000000-0005-0000-0000-0000F13C0000}"/>
    <cellStyle name="40% - Accent4 2 3 3 5" xfId="3946" xr:uid="{00000000-0005-0000-0000-0000F23C0000}"/>
    <cellStyle name="40% - Accent4 2 3 3 5 2" xfId="16633" xr:uid="{00000000-0005-0000-0000-0000F33C0000}"/>
    <cellStyle name="40% - Accent4 2 3 3 5 2 2" xfId="30040" xr:uid="{00000000-0005-0000-0000-0000F43C0000}"/>
    <cellStyle name="40% - Accent4 2 3 3 5 3" xfId="21271" xr:uid="{00000000-0005-0000-0000-0000F53C0000}"/>
    <cellStyle name="40% - Accent4 2 3 3 6" xfId="9387" xr:uid="{00000000-0005-0000-0000-0000F63C0000}"/>
    <cellStyle name="40% - Accent4 2 3 3 6 2" xfId="23862" xr:uid="{00000000-0005-0000-0000-0000F73C0000}"/>
    <cellStyle name="40% - Accent4 2 3 3 7" xfId="21267" xr:uid="{00000000-0005-0000-0000-0000F83C0000}"/>
    <cellStyle name="40% - Accent4 2 3 4" xfId="3947" xr:uid="{00000000-0005-0000-0000-0000F93C0000}"/>
    <cellStyle name="40% - Accent4 2 3 4 2" xfId="3948" xr:uid="{00000000-0005-0000-0000-0000FA3C0000}"/>
    <cellStyle name="40% - Accent4 2 3 4 2 2" xfId="15303" xr:uid="{00000000-0005-0000-0000-0000FB3C0000}"/>
    <cellStyle name="40% - Accent4 2 3 4 2 2 2" xfId="28852" xr:uid="{00000000-0005-0000-0000-0000FC3C0000}"/>
    <cellStyle name="40% - Accent4 2 3 4 2 3" xfId="21273" xr:uid="{00000000-0005-0000-0000-0000FD3C0000}"/>
    <cellStyle name="40% - Accent4 2 3 4 3" xfId="11111" xr:uid="{00000000-0005-0000-0000-0000FE3C0000}"/>
    <cellStyle name="40% - Accent4 2 3 4 3 2" xfId="25053" xr:uid="{00000000-0005-0000-0000-0000FF3C0000}"/>
    <cellStyle name="40% - Accent4 2 3 4 4" xfId="21272" xr:uid="{00000000-0005-0000-0000-0000003D0000}"/>
    <cellStyle name="40% - Accent4 2 3 5" xfId="3949" xr:uid="{00000000-0005-0000-0000-0000013D0000}"/>
    <cellStyle name="40% - Accent4 2 3 5 2" xfId="12010" xr:uid="{00000000-0005-0000-0000-0000023D0000}"/>
    <cellStyle name="40% - Accent4 2 3 5 2 2" xfId="25725" xr:uid="{00000000-0005-0000-0000-0000033D0000}"/>
    <cellStyle name="40% - Accent4 2 3 5 3" xfId="21274" xr:uid="{00000000-0005-0000-0000-0000043D0000}"/>
    <cellStyle name="40% - Accent4 2 3 6" xfId="3950" xr:uid="{00000000-0005-0000-0000-0000053D0000}"/>
    <cellStyle name="40% - Accent4 2 3 6 2" xfId="12886" xr:uid="{00000000-0005-0000-0000-0000063D0000}"/>
    <cellStyle name="40% - Accent4 2 3 6 2 2" xfId="26598" xr:uid="{00000000-0005-0000-0000-0000073D0000}"/>
    <cellStyle name="40% - Accent4 2 3 6 3" xfId="21275" xr:uid="{00000000-0005-0000-0000-0000083D0000}"/>
    <cellStyle name="40% - Accent4 2 3 7" xfId="3951" xr:uid="{00000000-0005-0000-0000-0000093D0000}"/>
    <cellStyle name="40% - Accent4 2 3 7 2" xfId="13585" xr:uid="{00000000-0005-0000-0000-00000A3D0000}"/>
    <cellStyle name="40% - Accent4 2 3 7 2 2" xfId="27134" xr:uid="{00000000-0005-0000-0000-00000B3D0000}"/>
    <cellStyle name="40% - Accent4 2 3 7 3" xfId="21276" xr:uid="{00000000-0005-0000-0000-00000C3D0000}"/>
    <cellStyle name="40% - Accent4 2 3 8" xfId="3952" xr:uid="{00000000-0005-0000-0000-00000D3D0000}"/>
    <cellStyle name="40% - Accent4 2 3 8 2" xfId="14166" xr:uid="{00000000-0005-0000-0000-00000E3D0000}"/>
    <cellStyle name="40% - Accent4 2 3 8 2 2" xfId="27715" xr:uid="{00000000-0005-0000-0000-00000F3D0000}"/>
    <cellStyle name="40% - Accent4 2 3 8 3" xfId="21277" xr:uid="{00000000-0005-0000-0000-0000103D0000}"/>
    <cellStyle name="40% - Accent4 2 3 9" xfId="3953" xr:uid="{00000000-0005-0000-0000-0000113D0000}"/>
    <cellStyle name="40% - Accent4 2 3 9 2" xfId="15298" xr:uid="{00000000-0005-0000-0000-0000123D0000}"/>
    <cellStyle name="40% - Accent4 2 3 9 2 2" xfId="28847" xr:uid="{00000000-0005-0000-0000-0000133D0000}"/>
    <cellStyle name="40% - Accent4 2 3 9 3" xfId="21278" xr:uid="{00000000-0005-0000-0000-0000143D0000}"/>
    <cellStyle name="40% - Accent4 2 4" xfId="3954" xr:uid="{00000000-0005-0000-0000-0000153D0000}"/>
    <cellStyle name="40% - Accent4 2 4 10" xfId="9388" xr:uid="{00000000-0005-0000-0000-0000163D0000}"/>
    <cellStyle name="40% - Accent4 2 4 10 2" xfId="23863" xr:uid="{00000000-0005-0000-0000-0000173D0000}"/>
    <cellStyle name="40% - Accent4 2 4 11" xfId="21279" xr:uid="{00000000-0005-0000-0000-0000183D0000}"/>
    <cellStyle name="40% - Accent4 2 4 2" xfId="3955" xr:uid="{00000000-0005-0000-0000-0000193D0000}"/>
    <cellStyle name="40% - Accent4 2 4 2 2" xfId="3956" xr:uid="{00000000-0005-0000-0000-00001A3D0000}"/>
    <cellStyle name="40% - Accent4 2 4 2 2 2" xfId="11116" xr:uid="{00000000-0005-0000-0000-00001B3D0000}"/>
    <cellStyle name="40% - Accent4 2 4 2 2 2 2" xfId="25058" xr:uid="{00000000-0005-0000-0000-00001C3D0000}"/>
    <cellStyle name="40% - Accent4 2 4 2 2 3" xfId="21281" xr:uid="{00000000-0005-0000-0000-00001D3D0000}"/>
    <cellStyle name="40% - Accent4 2 4 2 3" xfId="3957" xr:uid="{00000000-0005-0000-0000-00001E3D0000}"/>
    <cellStyle name="40% - Accent4 2 4 2 3 2" xfId="12891" xr:uid="{00000000-0005-0000-0000-00001F3D0000}"/>
    <cellStyle name="40% - Accent4 2 4 2 3 2 2" xfId="26603" xr:uid="{00000000-0005-0000-0000-0000203D0000}"/>
    <cellStyle name="40% - Accent4 2 4 2 3 3" xfId="21282" xr:uid="{00000000-0005-0000-0000-0000213D0000}"/>
    <cellStyle name="40% - Accent4 2 4 2 4" xfId="3958" xr:uid="{00000000-0005-0000-0000-0000223D0000}"/>
    <cellStyle name="40% - Accent4 2 4 2 4 2" xfId="15305" xr:uid="{00000000-0005-0000-0000-0000233D0000}"/>
    <cellStyle name="40% - Accent4 2 4 2 4 2 2" xfId="28854" xr:uid="{00000000-0005-0000-0000-0000243D0000}"/>
    <cellStyle name="40% - Accent4 2 4 2 4 3" xfId="21283" xr:uid="{00000000-0005-0000-0000-0000253D0000}"/>
    <cellStyle name="40% - Accent4 2 4 2 5" xfId="3959" xr:uid="{00000000-0005-0000-0000-0000263D0000}"/>
    <cellStyle name="40% - Accent4 2 4 2 5 2" xfId="16779" xr:uid="{00000000-0005-0000-0000-0000273D0000}"/>
    <cellStyle name="40% - Accent4 2 4 2 5 2 2" xfId="30186" xr:uid="{00000000-0005-0000-0000-0000283D0000}"/>
    <cellStyle name="40% - Accent4 2 4 2 5 3" xfId="21284" xr:uid="{00000000-0005-0000-0000-0000293D0000}"/>
    <cellStyle name="40% - Accent4 2 4 2 6" xfId="9389" xr:uid="{00000000-0005-0000-0000-00002A3D0000}"/>
    <cellStyle name="40% - Accent4 2 4 2 6 2" xfId="23864" xr:uid="{00000000-0005-0000-0000-00002B3D0000}"/>
    <cellStyle name="40% - Accent4 2 4 2 7" xfId="21280" xr:uid="{00000000-0005-0000-0000-00002C3D0000}"/>
    <cellStyle name="40% - Accent4 2 4 3" xfId="3960" xr:uid="{00000000-0005-0000-0000-00002D3D0000}"/>
    <cellStyle name="40% - Accent4 2 4 3 2" xfId="3961" xr:uid="{00000000-0005-0000-0000-00002E3D0000}"/>
    <cellStyle name="40% - Accent4 2 4 3 2 2" xfId="15306" xr:uid="{00000000-0005-0000-0000-00002F3D0000}"/>
    <cellStyle name="40% - Accent4 2 4 3 2 2 2" xfId="28855" xr:uid="{00000000-0005-0000-0000-0000303D0000}"/>
    <cellStyle name="40% - Accent4 2 4 3 2 3" xfId="21286" xr:uid="{00000000-0005-0000-0000-0000313D0000}"/>
    <cellStyle name="40% - Accent4 2 4 3 3" xfId="11115" xr:uid="{00000000-0005-0000-0000-0000323D0000}"/>
    <cellStyle name="40% - Accent4 2 4 3 3 2" xfId="25057" xr:uid="{00000000-0005-0000-0000-0000333D0000}"/>
    <cellStyle name="40% - Accent4 2 4 3 4" xfId="21285" xr:uid="{00000000-0005-0000-0000-0000343D0000}"/>
    <cellStyle name="40% - Accent4 2 4 4" xfId="3962" xr:uid="{00000000-0005-0000-0000-0000353D0000}"/>
    <cellStyle name="40% - Accent4 2 4 4 2" xfId="12167" xr:uid="{00000000-0005-0000-0000-0000363D0000}"/>
    <cellStyle name="40% - Accent4 2 4 4 2 2" xfId="25879" xr:uid="{00000000-0005-0000-0000-0000373D0000}"/>
    <cellStyle name="40% - Accent4 2 4 4 3" xfId="21287" xr:uid="{00000000-0005-0000-0000-0000383D0000}"/>
    <cellStyle name="40% - Accent4 2 4 5" xfId="3963" xr:uid="{00000000-0005-0000-0000-0000393D0000}"/>
    <cellStyle name="40% - Accent4 2 4 5 2" xfId="12890" xr:uid="{00000000-0005-0000-0000-00003A3D0000}"/>
    <cellStyle name="40% - Accent4 2 4 5 2 2" xfId="26602" xr:uid="{00000000-0005-0000-0000-00003B3D0000}"/>
    <cellStyle name="40% - Accent4 2 4 5 3" xfId="21288" xr:uid="{00000000-0005-0000-0000-00003C3D0000}"/>
    <cellStyle name="40% - Accent4 2 4 6" xfId="3964" xr:uid="{00000000-0005-0000-0000-00003D3D0000}"/>
    <cellStyle name="40% - Accent4 2 4 6 2" xfId="13731" xr:uid="{00000000-0005-0000-0000-00003E3D0000}"/>
    <cellStyle name="40% - Accent4 2 4 6 2 2" xfId="27280" xr:uid="{00000000-0005-0000-0000-00003F3D0000}"/>
    <cellStyle name="40% - Accent4 2 4 6 3" xfId="21289" xr:uid="{00000000-0005-0000-0000-0000403D0000}"/>
    <cellStyle name="40% - Accent4 2 4 7" xfId="3965" xr:uid="{00000000-0005-0000-0000-0000413D0000}"/>
    <cellStyle name="40% - Accent4 2 4 7 2" xfId="14312" xr:uid="{00000000-0005-0000-0000-0000423D0000}"/>
    <cellStyle name="40% - Accent4 2 4 7 2 2" xfId="27861" xr:uid="{00000000-0005-0000-0000-0000433D0000}"/>
    <cellStyle name="40% - Accent4 2 4 7 3" xfId="21290" xr:uid="{00000000-0005-0000-0000-0000443D0000}"/>
    <cellStyle name="40% - Accent4 2 4 8" xfId="3966" xr:uid="{00000000-0005-0000-0000-0000453D0000}"/>
    <cellStyle name="40% - Accent4 2 4 8 2" xfId="15304" xr:uid="{00000000-0005-0000-0000-0000463D0000}"/>
    <cellStyle name="40% - Accent4 2 4 8 2 2" xfId="28853" xr:uid="{00000000-0005-0000-0000-0000473D0000}"/>
    <cellStyle name="40% - Accent4 2 4 8 3" xfId="21291" xr:uid="{00000000-0005-0000-0000-0000483D0000}"/>
    <cellStyle name="40% - Accent4 2 4 9" xfId="3967" xr:uid="{00000000-0005-0000-0000-0000493D0000}"/>
    <cellStyle name="40% - Accent4 2 4 9 2" xfId="16198" xr:uid="{00000000-0005-0000-0000-00004A3D0000}"/>
    <cellStyle name="40% - Accent4 2 4 9 2 2" xfId="29605" xr:uid="{00000000-0005-0000-0000-00004B3D0000}"/>
    <cellStyle name="40% - Accent4 2 4 9 3" xfId="21292" xr:uid="{00000000-0005-0000-0000-00004C3D0000}"/>
    <cellStyle name="40% - Accent4 2 5" xfId="3968" xr:uid="{00000000-0005-0000-0000-00004D3D0000}"/>
    <cellStyle name="40% - Accent4 2 5 2" xfId="3969" xr:uid="{00000000-0005-0000-0000-00004E3D0000}"/>
    <cellStyle name="40% - Accent4 2 5 2 2" xfId="3970" xr:uid="{00000000-0005-0000-0000-00004F3D0000}"/>
    <cellStyle name="40% - Accent4 2 5 2 2 2" xfId="11118" xr:uid="{00000000-0005-0000-0000-0000503D0000}"/>
    <cellStyle name="40% - Accent4 2 5 2 2 2 2" xfId="25060" xr:uid="{00000000-0005-0000-0000-0000513D0000}"/>
    <cellStyle name="40% - Accent4 2 5 2 2 3" xfId="21295" xr:uid="{00000000-0005-0000-0000-0000523D0000}"/>
    <cellStyle name="40% - Accent4 2 5 2 3" xfId="3971" xr:uid="{00000000-0005-0000-0000-0000533D0000}"/>
    <cellStyle name="40% - Accent4 2 5 2 3 2" xfId="12893" xr:uid="{00000000-0005-0000-0000-0000543D0000}"/>
    <cellStyle name="40% - Accent4 2 5 2 3 2 2" xfId="26605" xr:uid="{00000000-0005-0000-0000-0000553D0000}"/>
    <cellStyle name="40% - Accent4 2 5 2 3 3" xfId="21296" xr:uid="{00000000-0005-0000-0000-0000563D0000}"/>
    <cellStyle name="40% - Accent4 2 5 2 4" xfId="3972" xr:uid="{00000000-0005-0000-0000-0000573D0000}"/>
    <cellStyle name="40% - Accent4 2 5 2 4 2" xfId="15308" xr:uid="{00000000-0005-0000-0000-0000583D0000}"/>
    <cellStyle name="40% - Accent4 2 5 2 4 2 2" xfId="28857" xr:uid="{00000000-0005-0000-0000-0000593D0000}"/>
    <cellStyle name="40% - Accent4 2 5 2 4 3" xfId="21297" xr:uid="{00000000-0005-0000-0000-00005A3D0000}"/>
    <cellStyle name="40% - Accent4 2 5 2 5" xfId="9391" xr:uid="{00000000-0005-0000-0000-00005B3D0000}"/>
    <cellStyle name="40% - Accent4 2 5 2 5 2" xfId="23866" xr:uid="{00000000-0005-0000-0000-00005C3D0000}"/>
    <cellStyle name="40% - Accent4 2 5 2 6" xfId="21294" xr:uid="{00000000-0005-0000-0000-00005D3D0000}"/>
    <cellStyle name="40% - Accent4 2 5 3" xfId="3973" xr:uid="{00000000-0005-0000-0000-00005E3D0000}"/>
    <cellStyle name="40% - Accent4 2 5 3 2" xfId="11117" xr:uid="{00000000-0005-0000-0000-00005F3D0000}"/>
    <cellStyle name="40% - Accent4 2 5 3 2 2" xfId="25059" xr:uid="{00000000-0005-0000-0000-0000603D0000}"/>
    <cellStyle name="40% - Accent4 2 5 3 3" xfId="21298" xr:uid="{00000000-0005-0000-0000-0000613D0000}"/>
    <cellStyle name="40% - Accent4 2 5 4" xfId="3974" xr:uid="{00000000-0005-0000-0000-0000623D0000}"/>
    <cellStyle name="40% - Accent4 2 5 4 2" xfId="12892" xr:uid="{00000000-0005-0000-0000-0000633D0000}"/>
    <cellStyle name="40% - Accent4 2 5 4 2 2" xfId="26604" xr:uid="{00000000-0005-0000-0000-0000643D0000}"/>
    <cellStyle name="40% - Accent4 2 5 4 3" xfId="21299" xr:uid="{00000000-0005-0000-0000-0000653D0000}"/>
    <cellStyle name="40% - Accent4 2 5 5" xfId="3975" xr:uid="{00000000-0005-0000-0000-0000663D0000}"/>
    <cellStyle name="40% - Accent4 2 5 5 2" xfId="15307" xr:uid="{00000000-0005-0000-0000-0000673D0000}"/>
    <cellStyle name="40% - Accent4 2 5 5 2 2" xfId="28856" xr:uid="{00000000-0005-0000-0000-0000683D0000}"/>
    <cellStyle name="40% - Accent4 2 5 5 3" xfId="21300" xr:uid="{00000000-0005-0000-0000-0000693D0000}"/>
    <cellStyle name="40% - Accent4 2 5 6" xfId="3976" xr:uid="{00000000-0005-0000-0000-00006A3D0000}"/>
    <cellStyle name="40% - Accent4 2 5 6 2" xfId="17016" xr:uid="{00000000-0005-0000-0000-00006B3D0000}"/>
    <cellStyle name="40% - Accent4 2 5 6 2 2" xfId="30423" xr:uid="{00000000-0005-0000-0000-00006C3D0000}"/>
    <cellStyle name="40% - Accent4 2 5 6 3" xfId="21301" xr:uid="{00000000-0005-0000-0000-00006D3D0000}"/>
    <cellStyle name="40% - Accent4 2 5 7" xfId="9390" xr:uid="{00000000-0005-0000-0000-00006E3D0000}"/>
    <cellStyle name="40% - Accent4 2 5 7 2" xfId="23865" xr:uid="{00000000-0005-0000-0000-00006F3D0000}"/>
    <cellStyle name="40% - Accent4 2 5 8" xfId="21293" xr:uid="{00000000-0005-0000-0000-0000703D0000}"/>
    <cellStyle name="40% - Accent4 2 6" xfId="3977" xr:uid="{00000000-0005-0000-0000-0000713D0000}"/>
    <cellStyle name="40% - Accent4 2 6 2" xfId="3978" xr:uid="{00000000-0005-0000-0000-0000723D0000}"/>
    <cellStyle name="40% - Accent4 2 6 2 2" xfId="11119" xr:uid="{00000000-0005-0000-0000-0000733D0000}"/>
    <cellStyle name="40% - Accent4 2 6 2 2 2" xfId="25061" xr:uid="{00000000-0005-0000-0000-0000743D0000}"/>
    <cellStyle name="40% - Accent4 2 6 2 3" xfId="21303" xr:uid="{00000000-0005-0000-0000-0000753D0000}"/>
    <cellStyle name="40% - Accent4 2 6 3" xfId="3979" xr:uid="{00000000-0005-0000-0000-0000763D0000}"/>
    <cellStyle name="40% - Accent4 2 6 3 2" xfId="12894" xr:uid="{00000000-0005-0000-0000-0000773D0000}"/>
    <cellStyle name="40% - Accent4 2 6 3 2 2" xfId="26606" xr:uid="{00000000-0005-0000-0000-0000783D0000}"/>
    <cellStyle name="40% - Accent4 2 6 3 3" xfId="21304" xr:uid="{00000000-0005-0000-0000-0000793D0000}"/>
    <cellStyle name="40% - Accent4 2 6 4" xfId="3980" xr:uid="{00000000-0005-0000-0000-00007A3D0000}"/>
    <cellStyle name="40% - Accent4 2 6 4 2" xfId="15309" xr:uid="{00000000-0005-0000-0000-00007B3D0000}"/>
    <cellStyle name="40% - Accent4 2 6 4 2 2" xfId="28858" xr:uid="{00000000-0005-0000-0000-00007C3D0000}"/>
    <cellStyle name="40% - Accent4 2 6 4 3" xfId="21305" xr:uid="{00000000-0005-0000-0000-00007D3D0000}"/>
    <cellStyle name="40% - Accent4 2 6 5" xfId="3981" xr:uid="{00000000-0005-0000-0000-00007E3D0000}"/>
    <cellStyle name="40% - Accent4 2 6 5 2" xfId="17126" xr:uid="{00000000-0005-0000-0000-00007F3D0000}"/>
    <cellStyle name="40% - Accent4 2 6 5 2 2" xfId="30485" xr:uid="{00000000-0005-0000-0000-0000803D0000}"/>
    <cellStyle name="40% - Accent4 2 6 5 3" xfId="21306" xr:uid="{00000000-0005-0000-0000-0000813D0000}"/>
    <cellStyle name="40% - Accent4 2 6 6" xfId="9392" xr:uid="{00000000-0005-0000-0000-0000823D0000}"/>
    <cellStyle name="40% - Accent4 2 6 6 2" xfId="23867" xr:uid="{00000000-0005-0000-0000-0000833D0000}"/>
    <cellStyle name="40% - Accent4 2 6 7" xfId="21302" xr:uid="{00000000-0005-0000-0000-0000843D0000}"/>
    <cellStyle name="40% - Accent4 2 7" xfId="3982" xr:uid="{00000000-0005-0000-0000-0000853D0000}"/>
    <cellStyle name="40% - Accent4 2 7 2" xfId="3983" xr:uid="{00000000-0005-0000-0000-0000863D0000}"/>
    <cellStyle name="40% - Accent4 2 7 2 2" xfId="11120" xr:uid="{00000000-0005-0000-0000-0000873D0000}"/>
    <cellStyle name="40% - Accent4 2 7 2 2 2" xfId="25062" xr:uid="{00000000-0005-0000-0000-0000883D0000}"/>
    <cellStyle name="40% - Accent4 2 7 2 3" xfId="21308" xr:uid="{00000000-0005-0000-0000-0000893D0000}"/>
    <cellStyle name="40% - Accent4 2 7 3" xfId="3984" xr:uid="{00000000-0005-0000-0000-00008A3D0000}"/>
    <cellStyle name="40% - Accent4 2 7 3 2" xfId="12895" xr:uid="{00000000-0005-0000-0000-00008B3D0000}"/>
    <cellStyle name="40% - Accent4 2 7 3 2 2" xfId="26607" xr:uid="{00000000-0005-0000-0000-00008C3D0000}"/>
    <cellStyle name="40% - Accent4 2 7 3 3" xfId="21309" xr:uid="{00000000-0005-0000-0000-00008D3D0000}"/>
    <cellStyle name="40% - Accent4 2 7 4" xfId="3985" xr:uid="{00000000-0005-0000-0000-00008E3D0000}"/>
    <cellStyle name="40% - Accent4 2 7 4 2" xfId="15310" xr:uid="{00000000-0005-0000-0000-00008F3D0000}"/>
    <cellStyle name="40% - Accent4 2 7 4 2 2" xfId="28859" xr:uid="{00000000-0005-0000-0000-0000903D0000}"/>
    <cellStyle name="40% - Accent4 2 7 4 3" xfId="21310" xr:uid="{00000000-0005-0000-0000-0000913D0000}"/>
    <cellStyle name="40% - Accent4 2 7 5" xfId="3986" xr:uid="{00000000-0005-0000-0000-0000923D0000}"/>
    <cellStyle name="40% - Accent4 2 7 5 2" xfId="17215" xr:uid="{00000000-0005-0000-0000-0000933D0000}"/>
    <cellStyle name="40% - Accent4 2 7 5 2 2" xfId="30574" xr:uid="{00000000-0005-0000-0000-0000943D0000}"/>
    <cellStyle name="40% - Accent4 2 7 5 3" xfId="21311" xr:uid="{00000000-0005-0000-0000-0000953D0000}"/>
    <cellStyle name="40% - Accent4 2 7 6" xfId="9393" xr:uid="{00000000-0005-0000-0000-0000963D0000}"/>
    <cellStyle name="40% - Accent4 2 7 6 2" xfId="23868" xr:uid="{00000000-0005-0000-0000-0000973D0000}"/>
    <cellStyle name="40% - Accent4 2 7 7" xfId="21307" xr:uid="{00000000-0005-0000-0000-0000983D0000}"/>
    <cellStyle name="40% - Accent4 2 8" xfId="3987" xr:uid="{00000000-0005-0000-0000-0000993D0000}"/>
    <cellStyle name="40% - Accent4 2 8 2" xfId="3988" xr:uid="{00000000-0005-0000-0000-00009A3D0000}"/>
    <cellStyle name="40% - Accent4 2 8 2 2" xfId="12896" xr:uid="{00000000-0005-0000-0000-00009B3D0000}"/>
    <cellStyle name="40% - Accent4 2 8 2 2 2" xfId="26608" xr:uid="{00000000-0005-0000-0000-00009C3D0000}"/>
    <cellStyle name="40% - Accent4 2 8 2 3" xfId="21313" xr:uid="{00000000-0005-0000-0000-00009D3D0000}"/>
    <cellStyle name="40% - Accent4 2 8 3" xfId="3989" xr:uid="{00000000-0005-0000-0000-00009E3D0000}"/>
    <cellStyle name="40% - Accent4 2 8 3 2" xfId="15311" xr:uid="{00000000-0005-0000-0000-00009F3D0000}"/>
    <cellStyle name="40% - Accent4 2 8 3 2 2" xfId="28860" xr:uid="{00000000-0005-0000-0000-0000A03D0000}"/>
    <cellStyle name="40% - Accent4 2 8 3 3" xfId="21314" xr:uid="{00000000-0005-0000-0000-0000A13D0000}"/>
    <cellStyle name="40% - Accent4 2 8 4" xfId="3990" xr:uid="{00000000-0005-0000-0000-0000A23D0000}"/>
    <cellStyle name="40% - Accent4 2 8 4 2" xfId="16490" xr:uid="{00000000-0005-0000-0000-0000A33D0000}"/>
    <cellStyle name="40% - Accent4 2 8 4 2 2" xfId="29897" xr:uid="{00000000-0005-0000-0000-0000A43D0000}"/>
    <cellStyle name="40% - Accent4 2 8 4 3" xfId="21315" xr:uid="{00000000-0005-0000-0000-0000A53D0000}"/>
    <cellStyle name="40% - Accent4 2 8 5" xfId="10537" xr:uid="{00000000-0005-0000-0000-0000A63D0000}"/>
    <cellStyle name="40% - Accent4 2 8 5 2" xfId="24479" xr:uid="{00000000-0005-0000-0000-0000A73D0000}"/>
    <cellStyle name="40% - Accent4 2 8 6" xfId="21312" xr:uid="{00000000-0005-0000-0000-0000A83D0000}"/>
    <cellStyle name="40% - Accent4 2 9" xfId="3991" xr:uid="{00000000-0005-0000-0000-0000A93D0000}"/>
    <cellStyle name="40% - Accent4 2 9 2" xfId="3992" xr:uid="{00000000-0005-0000-0000-0000AA3D0000}"/>
    <cellStyle name="40% - Accent4 2 9 2 2" xfId="12897" xr:uid="{00000000-0005-0000-0000-0000AB3D0000}"/>
    <cellStyle name="40% - Accent4 2 9 2 2 2" xfId="26609" xr:uid="{00000000-0005-0000-0000-0000AC3D0000}"/>
    <cellStyle name="40% - Accent4 2 9 2 3" xfId="21317" xr:uid="{00000000-0005-0000-0000-0000AD3D0000}"/>
    <cellStyle name="40% - Accent4 2 9 3" xfId="3993" xr:uid="{00000000-0005-0000-0000-0000AE3D0000}"/>
    <cellStyle name="40% - Accent4 2 9 3 2" xfId="15312" xr:uid="{00000000-0005-0000-0000-0000AF3D0000}"/>
    <cellStyle name="40% - Accent4 2 9 3 2 2" xfId="28861" xr:uid="{00000000-0005-0000-0000-0000B03D0000}"/>
    <cellStyle name="40% - Accent4 2 9 3 3" xfId="21318" xr:uid="{00000000-0005-0000-0000-0000B13D0000}"/>
    <cellStyle name="40% - Accent4 2 9 4" xfId="11102" xr:uid="{00000000-0005-0000-0000-0000B23D0000}"/>
    <cellStyle name="40% - Accent4 2 9 4 2" xfId="25044" xr:uid="{00000000-0005-0000-0000-0000B33D0000}"/>
    <cellStyle name="40% - Accent4 2 9 5" xfId="21316" xr:uid="{00000000-0005-0000-0000-0000B43D0000}"/>
    <cellStyle name="40% - Accent4 20" xfId="3994" xr:uid="{00000000-0005-0000-0000-0000B53D0000}"/>
    <cellStyle name="40% - Accent4 20 2" xfId="3995" xr:uid="{00000000-0005-0000-0000-0000B63D0000}"/>
    <cellStyle name="40% - Accent4 20 2 2" xfId="12898" xr:uid="{00000000-0005-0000-0000-0000B73D0000}"/>
    <cellStyle name="40% - Accent4 20 2 2 2" xfId="26610" xr:uid="{00000000-0005-0000-0000-0000B83D0000}"/>
    <cellStyle name="40% - Accent4 20 2 3" xfId="21320" xr:uid="{00000000-0005-0000-0000-0000B93D0000}"/>
    <cellStyle name="40% - Accent4 20 3" xfId="3996" xr:uid="{00000000-0005-0000-0000-0000BA3D0000}"/>
    <cellStyle name="40% - Accent4 20 3 2" xfId="15313" xr:uid="{00000000-0005-0000-0000-0000BB3D0000}"/>
    <cellStyle name="40% - Accent4 20 3 2 2" xfId="28862" xr:uid="{00000000-0005-0000-0000-0000BC3D0000}"/>
    <cellStyle name="40% - Accent4 20 3 3" xfId="21321" xr:uid="{00000000-0005-0000-0000-0000BD3D0000}"/>
    <cellStyle name="40% - Accent4 20 4" xfId="10512" xr:uid="{00000000-0005-0000-0000-0000BE3D0000}"/>
    <cellStyle name="40% - Accent4 20 4 2" xfId="24460" xr:uid="{00000000-0005-0000-0000-0000BF3D0000}"/>
    <cellStyle name="40% - Accent4 20 5" xfId="21319" xr:uid="{00000000-0005-0000-0000-0000C03D0000}"/>
    <cellStyle name="40% - Accent4 21" xfId="3997" xr:uid="{00000000-0005-0000-0000-0000C13D0000}"/>
    <cellStyle name="40% - Accent4 21 2" xfId="3998" xr:uid="{00000000-0005-0000-0000-0000C23D0000}"/>
    <cellStyle name="40% - Accent4 21 2 2" xfId="12899" xr:uid="{00000000-0005-0000-0000-0000C33D0000}"/>
    <cellStyle name="40% - Accent4 21 2 2 2" xfId="26611" xr:uid="{00000000-0005-0000-0000-0000C43D0000}"/>
    <cellStyle name="40% - Accent4 21 2 3" xfId="21323" xr:uid="{00000000-0005-0000-0000-0000C53D0000}"/>
    <cellStyle name="40% - Accent4 21 3" xfId="3999" xr:uid="{00000000-0005-0000-0000-0000C63D0000}"/>
    <cellStyle name="40% - Accent4 21 3 2" xfId="15314" xr:uid="{00000000-0005-0000-0000-0000C73D0000}"/>
    <cellStyle name="40% - Accent4 21 3 2 2" xfId="28863" xr:uid="{00000000-0005-0000-0000-0000C83D0000}"/>
    <cellStyle name="40% - Accent4 21 3 3" xfId="21324" xr:uid="{00000000-0005-0000-0000-0000C93D0000}"/>
    <cellStyle name="40% - Accent4 21 4" xfId="11091" xr:uid="{00000000-0005-0000-0000-0000CA3D0000}"/>
    <cellStyle name="40% - Accent4 21 4 2" xfId="25033" xr:uid="{00000000-0005-0000-0000-0000CB3D0000}"/>
    <cellStyle name="40% - Accent4 21 5" xfId="21322" xr:uid="{00000000-0005-0000-0000-0000CC3D0000}"/>
    <cellStyle name="40% - Accent4 22" xfId="4000" xr:uid="{00000000-0005-0000-0000-0000CD3D0000}"/>
    <cellStyle name="40% - Accent4 22 2" xfId="11748" xr:uid="{00000000-0005-0000-0000-0000CE3D0000}"/>
    <cellStyle name="40% - Accent4 22 2 2" xfId="25463" xr:uid="{00000000-0005-0000-0000-0000CF3D0000}"/>
    <cellStyle name="40% - Accent4 22 3" xfId="21325" xr:uid="{00000000-0005-0000-0000-0000D03D0000}"/>
    <cellStyle name="40% - Accent4 23" xfId="4001" xr:uid="{00000000-0005-0000-0000-0000D13D0000}"/>
    <cellStyle name="40% - Accent4 23 2" xfId="12864" xr:uid="{00000000-0005-0000-0000-0000D23D0000}"/>
    <cellStyle name="40% - Accent4 23 2 2" xfId="26576" xr:uid="{00000000-0005-0000-0000-0000D33D0000}"/>
    <cellStyle name="40% - Accent4 23 3" xfId="21326" xr:uid="{00000000-0005-0000-0000-0000D43D0000}"/>
    <cellStyle name="40% - Accent4 24" xfId="4002" xr:uid="{00000000-0005-0000-0000-0000D53D0000}"/>
    <cellStyle name="40% - Accent4 24 2" xfId="13387" xr:uid="{00000000-0005-0000-0000-0000D63D0000}"/>
    <cellStyle name="40% - Accent4 24 2 2" xfId="26936" xr:uid="{00000000-0005-0000-0000-0000D73D0000}"/>
    <cellStyle name="40% - Accent4 24 3" xfId="21327" xr:uid="{00000000-0005-0000-0000-0000D83D0000}"/>
    <cellStyle name="40% - Accent4 25" xfId="4003" xr:uid="{00000000-0005-0000-0000-0000D93D0000}"/>
    <cellStyle name="40% - Accent4 25 2" xfId="13968" xr:uid="{00000000-0005-0000-0000-0000DA3D0000}"/>
    <cellStyle name="40% - Accent4 25 2 2" xfId="27517" xr:uid="{00000000-0005-0000-0000-0000DB3D0000}"/>
    <cellStyle name="40% - Accent4 25 3" xfId="21328" xr:uid="{00000000-0005-0000-0000-0000DC3D0000}"/>
    <cellStyle name="40% - Accent4 26" xfId="4004" xr:uid="{00000000-0005-0000-0000-0000DD3D0000}"/>
    <cellStyle name="40% - Accent4 26 2" xfId="15271" xr:uid="{00000000-0005-0000-0000-0000DE3D0000}"/>
    <cellStyle name="40% - Accent4 26 2 2" xfId="28820" xr:uid="{00000000-0005-0000-0000-0000DF3D0000}"/>
    <cellStyle name="40% - Accent4 26 3" xfId="21329" xr:uid="{00000000-0005-0000-0000-0000E03D0000}"/>
    <cellStyle name="40% - Accent4 27" xfId="4005" xr:uid="{00000000-0005-0000-0000-0000E13D0000}"/>
    <cellStyle name="40% - Accent4 27 2" xfId="15832" xr:uid="{00000000-0005-0000-0000-0000E23D0000}"/>
    <cellStyle name="40% - Accent4 27 2 2" xfId="29239" xr:uid="{00000000-0005-0000-0000-0000E33D0000}"/>
    <cellStyle name="40% - Accent4 27 3" xfId="21330" xr:uid="{00000000-0005-0000-0000-0000E43D0000}"/>
    <cellStyle name="40% - Accent4 28" xfId="4006" xr:uid="{00000000-0005-0000-0000-0000E53D0000}"/>
    <cellStyle name="40% - Accent4 28 2" xfId="15854" xr:uid="{00000000-0005-0000-0000-0000E63D0000}"/>
    <cellStyle name="40% - Accent4 28 2 2" xfId="29261" xr:uid="{00000000-0005-0000-0000-0000E73D0000}"/>
    <cellStyle name="40% - Accent4 28 3" xfId="21331" xr:uid="{00000000-0005-0000-0000-0000E83D0000}"/>
    <cellStyle name="40% - Accent4 29" xfId="4007" xr:uid="{00000000-0005-0000-0000-0000E93D0000}"/>
    <cellStyle name="40% - Accent4 29 2" xfId="9364" xr:uid="{00000000-0005-0000-0000-0000EA3D0000}"/>
    <cellStyle name="40% - Accent4 29 2 2" xfId="23839" xr:uid="{00000000-0005-0000-0000-0000EB3D0000}"/>
    <cellStyle name="40% - Accent4 29 3" xfId="21332" xr:uid="{00000000-0005-0000-0000-0000EC3D0000}"/>
    <cellStyle name="40% - Accent4 3" xfId="4008" xr:uid="{00000000-0005-0000-0000-0000ED3D0000}"/>
    <cellStyle name="40% - Accent4 3 10" xfId="4009" xr:uid="{00000000-0005-0000-0000-0000EE3D0000}"/>
    <cellStyle name="40% - Accent4 3 10 2" xfId="14046" xr:uid="{00000000-0005-0000-0000-0000EF3D0000}"/>
    <cellStyle name="40% - Accent4 3 10 2 2" xfId="27595" xr:uid="{00000000-0005-0000-0000-0000F03D0000}"/>
    <cellStyle name="40% - Accent4 3 10 3" xfId="21334" xr:uid="{00000000-0005-0000-0000-0000F13D0000}"/>
    <cellStyle name="40% - Accent4 3 11" xfId="4010" xr:uid="{00000000-0005-0000-0000-0000F23D0000}"/>
    <cellStyle name="40% - Accent4 3 11 2" xfId="15315" xr:uid="{00000000-0005-0000-0000-0000F33D0000}"/>
    <cellStyle name="40% - Accent4 3 11 2 2" xfId="28864" xr:uid="{00000000-0005-0000-0000-0000F43D0000}"/>
    <cellStyle name="40% - Accent4 3 11 3" xfId="21335" xr:uid="{00000000-0005-0000-0000-0000F53D0000}"/>
    <cellStyle name="40% - Accent4 3 12" xfId="4011" xr:uid="{00000000-0005-0000-0000-0000F63D0000}"/>
    <cellStyle name="40% - Accent4 3 12 2" xfId="15932" xr:uid="{00000000-0005-0000-0000-0000F73D0000}"/>
    <cellStyle name="40% - Accent4 3 12 2 2" xfId="29339" xr:uid="{00000000-0005-0000-0000-0000F83D0000}"/>
    <cellStyle name="40% - Accent4 3 12 3" xfId="21336" xr:uid="{00000000-0005-0000-0000-0000F93D0000}"/>
    <cellStyle name="40% - Accent4 3 13" xfId="9394" xr:uid="{00000000-0005-0000-0000-0000FA3D0000}"/>
    <cellStyle name="40% - Accent4 3 13 2" xfId="23869" xr:uid="{00000000-0005-0000-0000-0000FB3D0000}"/>
    <cellStyle name="40% - Accent4 3 14" xfId="21333" xr:uid="{00000000-0005-0000-0000-0000FC3D0000}"/>
    <cellStyle name="40% - Accent4 3 2" xfId="4012" xr:uid="{00000000-0005-0000-0000-0000FD3D0000}"/>
    <cellStyle name="40% - Accent4 3 2 10" xfId="4013" xr:uid="{00000000-0005-0000-0000-0000FE3D0000}"/>
    <cellStyle name="40% - Accent4 3 2 10 2" xfId="16075" xr:uid="{00000000-0005-0000-0000-0000FF3D0000}"/>
    <cellStyle name="40% - Accent4 3 2 10 2 2" xfId="29482" xr:uid="{00000000-0005-0000-0000-0000003E0000}"/>
    <cellStyle name="40% - Accent4 3 2 10 3" xfId="21338" xr:uid="{00000000-0005-0000-0000-0000013E0000}"/>
    <cellStyle name="40% - Accent4 3 2 11" xfId="9395" xr:uid="{00000000-0005-0000-0000-0000023E0000}"/>
    <cellStyle name="40% - Accent4 3 2 11 2" xfId="23870" xr:uid="{00000000-0005-0000-0000-0000033E0000}"/>
    <cellStyle name="40% - Accent4 3 2 12" xfId="21337" xr:uid="{00000000-0005-0000-0000-0000043E0000}"/>
    <cellStyle name="40% - Accent4 3 2 2" xfId="4014" xr:uid="{00000000-0005-0000-0000-0000053E0000}"/>
    <cellStyle name="40% - Accent4 3 2 2 10" xfId="9396" xr:uid="{00000000-0005-0000-0000-0000063E0000}"/>
    <cellStyle name="40% - Accent4 3 2 2 10 2" xfId="23871" xr:uid="{00000000-0005-0000-0000-0000073E0000}"/>
    <cellStyle name="40% - Accent4 3 2 2 11" xfId="21339" xr:uid="{00000000-0005-0000-0000-0000083E0000}"/>
    <cellStyle name="40% - Accent4 3 2 2 2" xfId="4015" xr:uid="{00000000-0005-0000-0000-0000093E0000}"/>
    <cellStyle name="40% - Accent4 3 2 2 2 2" xfId="4016" xr:uid="{00000000-0005-0000-0000-00000A3E0000}"/>
    <cellStyle name="40% - Accent4 3 2 2 2 2 2" xfId="11124" xr:uid="{00000000-0005-0000-0000-00000B3E0000}"/>
    <cellStyle name="40% - Accent4 3 2 2 2 2 2 2" xfId="25066" xr:uid="{00000000-0005-0000-0000-00000C3E0000}"/>
    <cellStyle name="40% - Accent4 3 2 2 2 2 3" xfId="21341" xr:uid="{00000000-0005-0000-0000-00000D3E0000}"/>
    <cellStyle name="40% - Accent4 3 2 2 2 3" xfId="4017" xr:uid="{00000000-0005-0000-0000-00000E3E0000}"/>
    <cellStyle name="40% - Accent4 3 2 2 2 3 2" xfId="12903" xr:uid="{00000000-0005-0000-0000-00000F3E0000}"/>
    <cellStyle name="40% - Accent4 3 2 2 2 3 2 2" xfId="26615" xr:uid="{00000000-0005-0000-0000-0000103E0000}"/>
    <cellStyle name="40% - Accent4 3 2 2 2 3 3" xfId="21342" xr:uid="{00000000-0005-0000-0000-0000113E0000}"/>
    <cellStyle name="40% - Accent4 3 2 2 2 4" xfId="4018" xr:uid="{00000000-0005-0000-0000-0000123E0000}"/>
    <cellStyle name="40% - Accent4 3 2 2 2 4 2" xfId="15318" xr:uid="{00000000-0005-0000-0000-0000133E0000}"/>
    <cellStyle name="40% - Accent4 3 2 2 2 4 2 2" xfId="28867" xr:uid="{00000000-0005-0000-0000-0000143E0000}"/>
    <cellStyle name="40% - Accent4 3 2 2 2 4 3" xfId="21343" xr:uid="{00000000-0005-0000-0000-0000153E0000}"/>
    <cellStyle name="40% - Accent4 3 2 2 2 5" xfId="4019" xr:uid="{00000000-0005-0000-0000-0000163E0000}"/>
    <cellStyle name="40% - Accent4 3 2 2 2 5 2" xfId="16945" xr:uid="{00000000-0005-0000-0000-0000173E0000}"/>
    <cellStyle name="40% - Accent4 3 2 2 2 5 2 2" xfId="30352" xr:uid="{00000000-0005-0000-0000-0000183E0000}"/>
    <cellStyle name="40% - Accent4 3 2 2 2 5 3" xfId="21344" xr:uid="{00000000-0005-0000-0000-0000193E0000}"/>
    <cellStyle name="40% - Accent4 3 2 2 2 6" xfId="9397" xr:uid="{00000000-0005-0000-0000-00001A3E0000}"/>
    <cellStyle name="40% - Accent4 3 2 2 2 6 2" xfId="23872" xr:uid="{00000000-0005-0000-0000-00001B3E0000}"/>
    <cellStyle name="40% - Accent4 3 2 2 2 7" xfId="21340" xr:uid="{00000000-0005-0000-0000-00001C3E0000}"/>
    <cellStyle name="40% - Accent4 3 2 2 3" xfId="4020" xr:uid="{00000000-0005-0000-0000-00001D3E0000}"/>
    <cellStyle name="40% - Accent4 3 2 2 3 2" xfId="4021" xr:uid="{00000000-0005-0000-0000-00001E3E0000}"/>
    <cellStyle name="40% - Accent4 3 2 2 3 2 2" xfId="15319" xr:uid="{00000000-0005-0000-0000-00001F3E0000}"/>
    <cellStyle name="40% - Accent4 3 2 2 3 2 2 2" xfId="28868" xr:uid="{00000000-0005-0000-0000-0000203E0000}"/>
    <cellStyle name="40% - Accent4 3 2 2 3 2 3" xfId="21346" xr:uid="{00000000-0005-0000-0000-0000213E0000}"/>
    <cellStyle name="40% - Accent4 3 2 2 3 3" xfId="11123" xr:uid="{00000000-0005-0000-0000-0000223E0000}"/>
    <cellStyle name="40% - Accent4 3 2 2 3 3 2" xfId="25065" xr:uid="{00000000-0005-0000-0000-0000233E0000}"/>
    <cellStyle name="40% - Accent4 3 2 2 3 4" xfId="21345" xr:uid="{00000000-0005-0000-0000-0000243E0000}"/>
    <cellStyle name="40% - Accent4 3 2 2 4" xfId="4022" xr:uid="{00000000-0005-0000-0000-0000253E0000}"/>
    <cellStyle name="40% - Accent4 3 2 2 4 2" xfId="12333" xr:uid="{00000000-0005-0000-0000-0000263E0000}"/>
    <cellStyle name="40% - Accent4 3 2 2 4 2 2" xfId="26045" xr:uid="{00000000-0005-0000-0000-0000273E0000}"/>
    <cellStyle name="40% - Accent4 3 2 2 4 3" xfId="21347" xr:uid="{00000000-0005-0000-0000-0000283E0000}"/>
    <cellStyle name="40% - Accent4 3 2 2 5" xfId="4023" xr:uid="{00000000-0005-0000-0000-0000293E0000}"/>
    <cellStyle name="40% - Accent4 3 2 2 5 2" xfId="12902" xr:uid="{00000000-0005-0000-0000-00002A3E0000}"/>
    <cellStyle name="40% - Accent4 3 2 2 5 2 2" xfId="26614" xr:uid="{00000000-0005-0000-0000-00002B3E0000}"/>
    <cellStyle name="40% - Accent4 3 2 2 5 3" xfId="21348" xr:uid="{00000000-0005-0000-0000-00002C3E0000}"/>
    <cellStyle name="40% - Accent4 3 2 2 6" xfId="4024" xr:uid="{00000000-0005-0000-0000-00002D3E0000}"/>
    <cellStyle name="40% - Accent4 3 2 2 6 2" xfId="13897" xr:uid="{00000000-0005-0000-0000-00002E3E0000}"/>
    <cellStyle name="40% - Accent4 3 2 2 6 2 2" xfId="27446" xr:uid="{00000000-0005-0000-0000-00002F3E0000}"/>
    <cellStyle name="40% - Accent4 3 2 2 6 3" xfId="21349" xr:uid="{00000000-0005-0000-0000-0000303E0000}"/>
    <cellStyle name="40% - Accent4 3 2 2 7" xfId="4025" xr:uid="{00000000-0005-0000-0000-0000313E0000}"/>
    <cellStyle name="40% - Accent4 3 2 2 7 2" xfId="14478" xr:uid="{00000000-0005-0000-0000-0000323E0000}"/>
    <cellStyle name="40% - Accent4 3 2 2 7 2 2" xfId="28027" xr:uid="{00000000-0005-0000-0000-0000333E0000}"/>
    <cellStyle name="40% - Accent4 3 2 2 7 3" xfId="21350" xr:uid="{00000000-0005-0000-0000-0000343E0000}"/>
    <cellStyle name="40% - Accent4 3 2 2 8" xfId="4026" xr:uid="{00000000-0005-0000-0000-0000353E0000}"/>
    <cellStyle name="40% - Accent4 3 2 2 8 2" xfId="15317" xr:uid="{00000000-0005-0000-0000-0000363E0000}"/>
    <cellStyle name="40% - Accent4 3 2 2 8 2 2" xfId="28866" xr:uid="{00000000-0005-0000-0000-0000373E0000}"/>
    <cellStyle name="40% - Accent4 3 2 2 8 3" xfId="21351" xr:uid="{00000000-0005-0000-0000-0000383E0000}"/>
    <cellStyle name="40% - Accent4 3 2 2 9" xfId="4027" xr:uid="{00000000-0005-0000-0000-0000393E0000}"/>
    <cellStyle name="40% - Accent4 3 2 2 9 2" xfId="16364" xr:uid="{00000000-0005-0000-0000-00003A3E0000}"/>
    <cellStyle name="40% - Accent4 3 2 2 9 2 2" xfId="29771" xr:uid="{00000000-0005-0000-0000-00003B3E0000}"/>
    <cellStyle name="40% - Accent4 3 2 2 9 3" xfId="21352" xr:uid="{00000000-0005-0000-0000-00003C3E0000}"/>
    <cellStyle name="40% - Accent4 3 2 3" xfId="4028" xr:uid="{00000000-0005-0000-0000-00003D3E0000}"/>
    <cellStyle name="40% - Accent4 3 2 3 2" xfId="4029" xr:uid="{00000000-0005-0000-0000-00003E3E0000}"/>
    <cellStyle name="40% - Accent4 3 2 3 2 2" xfId="11125" xr:uid="{00000000-0005-0000-0000-00003F3E0000}"/>
    <cellStyle name="40% - Accent4 3 2 3 2 2 2" xfId="25067" xr:uid="{00000000-0005-0000-0000-0000403E0000}"/>
    <cellStyle name="40% - Accent4 3 2 3 2 3" xfId="21354" xr:uid="{00000000-0005-0000-0000-0000413E0000}"/>
    <cellStyle name="40% - Accent4 3 2 3 3" xfId="4030" xr:uid="{00000000-0005-0000-0000-0000423E0000}"/>
    <cellStyle name="40% - Accent4 3 2 3 3 2" xfId="12904" xr:uid="{00000000-0005-0000-0000-0000433E0000}"/>
    <cellStyle name="40% - Accent4 3 2 3 3 2 2" xfId="26616" xr:uid="{00000000-0005-0000-0000-0000443E0000}"/>
    <cellStyle name="40% - Accent4 3 2 3 3 3" xfId="21355" xr:uid="{00000000-0005-0000-0000-0000453E0000}"/>
    <cellStyle name="40% - Accent4 3 2 3 4" xfId="4031" xr:uid="{00000000-0005-0000-0000-0000463E0000}"/>
    <cellStyle name="40% - Accent4 3 2 3 4 2" xfId="15320" xr:uid="{00000000-0005-0000-0000-0000473E0000}"/>
    <cellStyle name="40% - Accent4 3 2 3 4 2 2" xfId="28869" xr:uid="{00000000-0005-0000-0000-0000483E0000}"/>
    <cellStyle name="40% - Accent4 3 2 3 4 3" xfId="21356" xr:uid="{00000000-0005-0000-0000-0000493E0000}"/>
    <cellStyle name="40% - Accent4 3 2 3 5" xfId="4032" xr:uid="{00000000-0005-0000-0000-00004A3E0000}"/>
    <cellStyle name="40% - Accent4 3 2 3 5 2" xfId="16656" xr:uid="{00000000-0005-0000-0000-00004B3E0000}"/>
    <cellStyle name="40% - Accent4 3 2 3 5 2 2" xfId="30063" xr:uid="{00000000-0005-0000-0000-00004C3E0000}"/>
    <cellStyle name="40% - Accent4 3 2 3 5 3" xfId="21357" xr:uid="{00000000-0005-0000-0000-00004D3E0000}"/>
    <cellStyle name="40% - Accent4 3 2 3 6" xfId="9398" xr:uid="{00000000-0005-0000-0000-00004E3E0000}"/>
    <cellStyle name="40% - Accent4 3 2 3 6 2" xfId="23873" xr:uid="{00000000-0005-0000-0000-00004F3E0000}"/>
    <cellStyle name="40% - Accent4 3 2 3 7" xfId="21353" xr:uid="{00000000-0005-0000-0000-0000503E0000}"/>
    <cellStyle name="40% - Accent4 3 2 4" xfId="4033" xr:uid="{00000000-0005-0000-0000-0000513E0000}"/>
    <cellStyle name="40% - Accent4 3 2 4 2" xfId="4034" xr:uid="{00000000-0005-0000-0000-0000523E0000}"/>
    <cellStyle name="40% - Accent4 3 2 4 2 2" xfId="15321" xr:uid="{00000000-0005-0000-0000-0000533E0000}"/>
    <cellStyle name="40% - Accent4 3 2 4 2 2 2" xfId="28870" xr:uid="{00000000-0005-0000-0000-0000543E0000}"/>
    <cellStyle name="40% - Accent4 3 2 4 2 3" xfId="21359" xr:uid="{00000000-0005-0000-0000-0000553E0000}"/>
    <cellStyle name="40% - Accent4 3 2 4 3" xfId="11122" xr:uid="{00000000-0005-0000-0000-0000563E0000}"/>
    <cellStyle name="40% - Accent4 3 2 4 3 2" xfId="25064" xr:uid="{00000000-0005-0000-0000-0000573E0000}"/>
    <cellStyle name="40% - Accent4 3 2 4 4" xfId="21358" xr:uid="{00000000-0005-0000-0000-0000583E0000}"/>
    <cellStyle name="40% - Accent4 3 2 5" xfId="4035" xr:uid="{00000000-0005-0000-0000-0000593E0000}"/>
    <cellStyle name="40% - Accent4 3 2 5 2" xfId="12033" xr:uid="{00000000-0005-0000-0000-00005A3E0000}"/>
    <cellStyle name="40% - Accent4 3 2 5 2 2" xfId="25748" xr:uid="{00000000-0005-0000-0000-00005B3E0000}"/>
    <cellStyle name="40% - Accent4 3 2 5 3" xfId="21360" xr:uid="{00000000-0005-0000-0000-00005C3E0000}"/>
    <cellStyle name="40% - Accent4 3 2 6" xfId="4036" xr:uid="{00000000-0005-0000-0000-00005D3E0000}"/>
    <cellStyle name="40% - Accent4 3 2 6 2" xfId="12901" xr:uid="{00000000-0005-0000-0000-00005E3E0000}"/>
    <cellStyle name="40% - Accent4 3 2 6 2 2" xfId="26613" xr:uid="{00000000-0005-0000-0000-00005F3E0000}"/>
    <cellStyle name="40% - Accent4 3 2 6 3" xfId="21361" xr:uid="{00000000-0005-0000-0000-0000603E0000}"/>
    <cellStyle name="40% - Accent4 3 2 7" xfId="4037" xr:uid="{00000000-0005-0000-0000-0000613E0000}"/>
    <cellStyle name="40% - Accent4 3 2 7 2" xfId="13608" xr:uid="{00000000-0005-0000-0000-0000623E0000}"/>
    <cellStyle name="40% - Accent4 3 2 7 2 2" xfId="27157" xr:uid="{00000000-0005-0000-0000-0000633E0000}"/>
    <cellStyle name="40% - Accent4 3 2 7 3" xfId="21362" xr:uid="{00000000-0005-0000-0000-0000643E0000}"/>
    <cellStyle name="40% - Accent4 3 2 8" xfId="4038" xr:uid="{00000000-0005-0000-0000-0000653E0000}"/>
    <cellStyle name="40% - Accent4 3 2 8 2" xfId="14189" xr:uid="{00000000-0005-0000-0000-0000663E0000}"/>
    <cellStyle name="40% - Accent4 3 2 8 2 2" xfId="27738" xr:uid="{00000000-0005-0000-0000-0000673E0000}"/>
    <cellStyle name="40% - Accent4 3 2 8 3" xfId="21363" xr:uid="{00000000-0005-0000-0000-0000683E0000}"/>
    <cellStyle name="40% - Accent4 3 2 9" xfId="4039" xr:uid="{00000000-0005-0000-0000-0000693E0000}"/>
    <cellStyle name="40% - Accent4 3 2 9 2" xfId="15316" xr:uid="{00000000-0005-0000-0000-00006A3E0000}"/>
    <cellStyle name="40% - Accent4 3 2 9 2 2" xfId="28865" xr:uid="{00000000-0005-0000-0000-00006B3E0000}"/>
    <cellStyle name="40% - Accent4 3 2 9 3" xfId="21364" xr:uid="{00000000-0005-0000-0000-00006C3E0000}"/>
    <cellStyle name="40% - Accent4 3 3" xfId="4040" xr:uid="{00000000-0005-0000-0000-00006D3E0000}"/>
    <cellStyle name="40% - Accent4 3 3 10" xfId="9399" xr:uid="{00000000-0005-0000-0000-00006E3E0000}"/>
    <cellStyle name="40% - Accent4 3 3 10 2" xfId="23874" xr:uid="{00000000-0005-0000-0000-00006F3E0000}"/>
    <cellStyle name="40% - Accent4 3 3 11" xfId="21365" xr:uid="{00000000-0005-0000-0000-0000703E0000}"/>
    <cellStyle name="40% - Accent4 3 3 2" xfId="4041" xr:uid="{00000000-0005-0000-0000-0000713E0000}"/>
    <cellStyle name="40% - Accent4 3 3 2 2" xfId="4042" xr:uid="{00000000-0005-0000-0000-0000723E0000}"/>
    <cellStyle name="40% - Accent4 3 3 2 2 2" xfId="11127" xr:uid="{00000000-0005-0000-0000-0000733E0000}"/>
    <cellStyle name="40% - Accent4 3 3 2 2 2 2" xfId="25069" xr:uid="{00000000-0005-0000-0000-0000743E0000}"/>
    <cellStyle name="40% - Accent4 3 3 2 2 3" xfId="21367" xr:uid="{00000000-0005-0000-0000-0000753E0000}"/>
    <cellStyle name="40% - Accent4 3 3 2 3" xfId="4043" xr:uid="{00000000-0005-0000-0000-0000763E0000}"/>
    <cellStyle name="40% - Accent4 3 3 2 3 2" xfId="12906" xr:uid="{00000000-0005-0000-0000-0000773E0000}"/>
    <cellStyle name="40% - Accent4 3 3 2 3 2 2" xfId="26618" xr:uid="{00000000-0005-0000-0000-0000783E0000}"/>
    <cellStyle name="40% - Accent4 3 3 2 3 3" xfId="21368" xr:uid="{00000000-0005-0000-0000-0000793E0000}"/>
    <cellStyle name="40% - Accent4 3 3 2 4" xfId="4044" xr:uid="{00000000-0005-0000-0000-00007A3E0000}"/>
    <cellStyle name="40% - Accent4 3 3 2 4 2" xfId="15323" xr:uid="{00000000-0005-0000-0000-00007B3E0000}"/>
    <cellStyle name="40% - Accent4 3 3 2 4 2 2" xfId="28872" xr:uid="{00000000-0005-0000-0000-00007C3E0000}"/>
    <cellStyle name="40% - Accent4 3 3 2 4 3" xfId="21369" xr:uid="{00000000-0005-0000-0000-00007D3E0000}"/>
    <cellStyle name="40% - Accent4 3 3 2 5" xfId="4045" xr:uid="{00000000-0005-0000-0000-00007E3E0000}"/>
    <cellStyle name="40% - Accent4 3 3 2 5 2" xfId="16802" xr:uid="{00000000-0005-0000-0000-00007F3E0000}"/>
    <cellStyle name="40% - Accent4 3 3 2 5 2 2" xfId="30209" xr:uid="{00000000-0005-0000-0000-0000803E0000}"/>
    <cellStyle name="40% - Accent4 3 3 2 5 3" xfId="21370" xr:uid="{00000000-0005-0000-0000-0000813E0000}"/>
    <cellStyle name="40% - Accent4 3 3 2 6" xfId="9400" xr:uid="{00000000-0005-0000-0000-0000823E0000}"/>
    <cellStyle name="40% - Accent4 3 3 2 6 2" xfId="23875" xr:uid="{00000000-0005-0000-0000-0000833E0000}"/>
    <cellStyle name="40% - Accent4 3 3 2 7" xfId="21366" xr:uid="{00000000-0005-0000-0000-0000843E0000}"/>
    <cellStyle name="40% - Accent4 3 3 3" xfId="4046" xr:uid="{00000000-0005-0000-0000-0000853E0000}"/>
    <cellStyle name="40% - Accent4 3 3 3 2" xfId="4047" xr:uid="{00000000-0005-0000-0000-0000863E0000}"/>
    <cellStyle name="40% - Accent4 3 3 3 2 2" xfId="15324" xr:uid="{00000000-0005-0000-0000-0000873E0000}"/>
    <cellStyle name="40% - Accent4 3 3 3 2 2 2" xfId="28873" xr:uid="{00000000-0005-0000-0000-0000883E0000}"/>
    <cellStyle name="40% - Accent4 3 3 3 2 3" xfId="21372" xr:uid="{00000000-0005-0000-0000-0000893E0000}"/>
    <cellStyle name="40% - Accent4 3 3 3 3" xfId="11126" xr:uid="{00000000-0005-0000-0000-00008A3E0000}"/>
    <cellStyle name="40% - Accent4 3 3 3 3 2" xfId="25068" xr:uid="{00000000-0005-0000-0000-00008B3E0000}"/>
    <cellStyle name="40% - Accent4 3 3 3 4" xfId="21371" xr:uid="{00000000-0005-0000-0000-00008C3E0000}"/>
    <cellStyle name="40% - Accent4 3 3 4" xfId="4048" xr:uid="{00000000-0005-0000-0000-00008D3E0000}"/>
    <cellStyle name="40% - Accent4 3 3 4 2" xfId="12190" xr:uid="{00000000-0005-0000-0000-00008E3E0000}"/>
    <cellStyle name="40% - Accent4 3 3 4 2 2" xfId="25902" xr:uid="{00000000-0005-0000-0000-00008F3E0000}"/>
    <cellStyle name="40% - Accent4 3 3 4 3" xfId="21373" xr:uid="{00000000-0005-0000-0000-0000903E0000}"/>
    <cellStyle name="40% - Accent4 3 3 5" xfId="4049" xr:uid="{00000000-0005-0000-0000-0000913E0000}"/>
    <cellStyle name="40% - Accent4 3 3 5 2" xfId="12905" xr:uid="{00000000-0005-0000-0000-0000923E0000}"/>
    <cellStyle name="40% - Accent4 3 3 5 2 2" xfId="26617" xr:uid="{00000000-0005-0000-0000-0000933E0000}"/>
    <cellStyle name="40% - Accent4 3 3 5 3" xfId="21374" xr:uid="{00000000-0005-0000-0000-0000943E0000}"/>
    <cellStyle name="40% - Accent4 3 3 6" xfId="4050" xr:uid="{00000000-0005-0000-0000-0000953E0000}"/>
    <cellStyle name="40% - Accent4 3 3 6 2" xfId="13754" xr:uid="{00000000-0005-0000-0000-0000963E0000}"/>
    <cellStyle name="40% - Accent4 3 3 6 2 2" xfId="27303" xr:uid="{00000000-0005-0000-0000-0000973E0000}"/>
    <cellStyle name="40% - Accent4 3 3 6 3" xfId="21375" xr:uid="{00000000-0005-0000-0000-0000983E0000}"/>
    <cellStyle name="40% - Accent4 3 3 7" xfId="4051" xr:uid="{00000000-0005-0000-0000-0000993E0000}"/>
    <cellStyle name="40% - Accent4 3 3 7 2" xfId="14335" xr:uid="{00000000-0005-0000-0000-00009A3E0000}"/>
    <cellStyle name="40% - Accent4 3 3 7 2 2" xfId="27884" xr:uid="{00000000-0005-0000-0000-00009B3E0000}"/>
    <cellStyle name="40% - Accent4 3 3 7 3" xfId="21376" xr:uid="{00000000-0005-0000-0000-00009C3E0000}"/>
    <cellStyle name="40% - Accent4 3 3 8" xfId="4052" xr:uid="{00000000-0005-0000-0000-00009D3E0000}"/>
    <cellStyle name="40% - Accent4 3 3 8 2" xfId="15322" xr:uid="{00000000-0005-0000-0000-00009E3E0000}"/>
    <cellStyle name="40% - Accent4 3 3 8 2 2" xfId="28871" xr:uid="{00000000-0005-0000-0000-00009F3E0000}"/>
    <cellStyle name="40% - Accent4 3 3 8 3" xfId="21377" xr:uid="{00000000-0005-0000-0000-0000A03E0000}"/>
    <cellStyle name="40% - Accent4 3 3 9" xfId="4053" xr:uid="{00000000-0005-0000-0000-0000A13E0000}"/>
    <cellStyle name="40% - Accent4 3 3 9 2" xfId="16221" xr:uid="{00000000-0005-0000-0000-0000A23E0000}"/>
    <cellStyle name="40% - Accent4 3 3 9 2 2" xfId="29628" xr:uid="{00000000-0005-0000-0000-0000A33E0000}"/>
    <cellStyle name="40% - Accent4 3 3 9 3" xfId="21378" xr:uid="{00000000-0005-0000-0000-0000A43E0000}"/>
    <cellStyle name="40% - Accent4 3 4" xfId="4054" xr:uid="{00000000-0005-0000-0000-0000A53E0000}"/>
    <cellStyle name="40% - Accent4 3 4 2" xfId="4055" xr:uid="{00000000-0005-0000-0000-0000A63E0000}"/>
    <cellStyle name="40% - Accent4 3 4 2 2" xfId="11128" xr:uid="{00000000-0005-0000-0000-0000A73E0000}"/>
    <cellStyle name="40% - Accent4 3 4 2 2 2" xfId="25070" xr:uid="{00000000-0005-0000-0000-0000A83E0000}"/>
    <cellStyle name="40% - Accent4 3 4 2 3" xfId="21380" xr:uid="{00000000-0005-0000-0000-0000A93E0000}"/>
    <cellStyle name="40% - Accent4 3 4 3" xfId="4056" xr:uid="{00000000-0005-0000-0000-0000AA3E0000}"/>
    <cellStyle name="40% - Accent4 3 4 3 2" xfId="12907" xr:uid="{00000000-0005-0000-0000-0000AB3E0000}"/>
    <cellStyle name="40% - Accent4 3 4 3 2 2" xfId="26619" xr:uid="{00000000-0005-0000-0000-0000AC3E0000}"/>
    <cellStyle name="40% - Accent4 3 4 3 3" xfId="21381" xr:uid="{00000000-0005-0000-0000-0000AD3E0000}"/>
    <cellStyle name="40% - Accent4 3 4 4" xfId="4057" xr:uid="{00000000-0005-0000-0000-0000AE3E0000}"/>
    <cellStyle name="40% - Accent4 3 4 4 2" xfId="15325" xr:uid="{00000000-0005-0000-0000-0000AF3E0000}"/>
    <cellStyle name="40% - Accent4 3 4 4 2 2" xfId="28874" xr:uid="{00000000-0005-0000-0000-0000B03E0000}"/>
    <cellStyle name="40% - Accent4 3 4 4 3" xfId="21382" xr:uid="{00000000-0005-0000-0000-0000B13E0000}"/>
    <cellStyle name="40% - Accent4 3 4 5" xfId="4058" xr:uid="{00000000-0005-0000-0000-0000B23E0000}"/>
    <cellStyle name="40% - Accent4 3 4 5 2" xfId="17149" xr:uid="{00000000-0005-0000-0000-0000B33E0000}"/>
    <cellStyle name="40% - Accent4 3 4 5 2 2" xfId="30508" xr:uid="{00000000-0005-0000-0000-0000B43E0000}"/>
    <cellStyle name="40% - Accent4 3 4 5 3" xfId="21383" xr:uid="{00000000-0005-0000-0000-0000B53E0000}"/>
    <cellStyle name="40% - Accent4 3 4 6" xfId="9401" xr:uid="{00000000-0005-0000-0000-0000B63E0000}"/>
    <cellStyle name="40% - Accent4 3 4 6 2" xfId="23876" xr:uid="{00000000-0005-0000-0000-0000B73E0000}"/>
    <cellStyle name="40% - Accent4 3 4 7" xfId="21379" xr:uid="{00000000-0005-0000-0000-0000B83E0000}"/>
    <cellStyle name="40% - Accent4 3 5" xfId="4059" xr:uid="{00000000-0005-0000-0000-0000B93E0000}"/>
    <cellStyle name="40% - Accent4 3 5 2" xfId="4060" xr:uid="{00000000-0005-0000-0000-0000BA3E0000}"/>
    <cellStyle name="40% - Accent4 3 5 2 2" xfId="11129" xr:uid="{00000000-0005-0000-0000-0000BB3E0000}"/>
    <cellStyle name="40% - Accent4 3 5 2 2 2" xfId="25071" xr:uid="{00000000-0005-0000-0000-0000BC3E0000}"/>
    <cellStyle name="40% - Accent4 3 5 2 3" xfId="21385" xr:uid="{00000000-0005-0000-0000-0000BD3E0000}"/>
    <cellStyle name="40% - Accent4 3 5 3" xfId="4061" xr:uid="{00000000-0005-0000-0000-0000BE3E0000}"/>
    <cellStyle name="40% - Accent4 3 5 3 2" xfId="12908" xr:uid="{00000000-0005-0000-0000-0000BF3E0000}"/>
    <cellStyle name="40% - Accent4 3 5 3 2 2" xfId="26620" xr:uid="{00000000-0005-0000-0000-0000C03E0000}"/>
    <cellStyle name="40% - Accent4 3 5 3 3" xfId="21386" xr:uid="{00000000-0005-0000-0000-0000C13E0000}"/>
    <cellStyle name="40% - Accent4 3 5 4" xfId="4062" xr:uid="{00000000-0005-0000-0000-0000C23E0000}"/>
    <cellStyle name="40% - Accent4 3 5 4 2" xfId="15326" xr:uid="{00000000-0005-0000-0000-0000C33E0000}"/>
    <cellStyle name="40% - Accent4 3 5 4 2 2" xfId="28875" xr:uid="{00000000-0005-0000-0000-0000C43E0000}"/>
    <cellStyle name="40% - Accent4 3 5 4 3" xfId="21387" xr:uid="{00000000-0005-0000-0000-0000C53E0000}"/>
    <cellStyle name="40% - Accent4 3 5 5" xfId="4063" xr:uid="{00000000-0005-0000-0000-0000C63E0000}"/>
    <cellStyle name="40% - Accent4 3 5 5 2" xfId="17238" xr:uid="{00000000-0005-0000-0000-0000C73E0000}"/>
    <cellStyle name="40% - Accent4 3 5 5 2 2" xfId="30597" xr:uid="{00000000-0005-0000-0000-0000C83E0000}"/>
    <cellStyle name="40% - Accent4 3 5 5 3" xfId="21388" xr:uid="{00000000-0005-0000-0000-0000C93E0000}"/>
    <cellStyle name="40% - Accent4 3 5 6" xfId="9402" xr:uid="{00000000-0005-0000-0000-0000CA3E0000}"/>
    <cellStyle name="40% - Accent4 3 5 6 2" xfId="23877" xr:uid="{00000000-0005-0000-0000-0000CB3E0000}"/>
    <cellStyle name="40% - Accent4 3 5 7" xfId="21384" xr:uid="{00000000-0005-0000-0000-0000CC3E0000}"/>
    <cellStyle name="40% - Accent4 3 6" xfId="4064" xr:uid="{00000000-0005-0000-0000-0000CD3E0000}"/>
    <cellStyle name="40% - Accent4 3 6 2" xfId="4065" xr:uid="{00000000-0005-0000-0000-0000CE3E0000}"/>
    <cellStyle name="40% - Accent4 3 6 2 2" xfId="15327" xr:uid="{00000000-0005-0000-0000-0000CF3E0000}"/>
    <cellStyle name="40% - Accent4 3 6 2 2 2" xfId="28876" xr:uid="{00000000-0005-0000-0000-0000D03E0000}"/>
    <cellStyle name="40% - Accent4 3 6 2 3" xfId="21390" xr:uid="{00000000-0005-0000-0000-0000D13E0000}"/>
    <cellStyle name="40% - Accent4 3 6 3" xfId="4066" xr:uid="{00000000-0005-0000-0000-0000D23E0000}"/>
    <cellStyle name="40% - Accent4 3 6 3 2" xfId="16513" xr:uid="{00000000-0005-0000-0000-0000D33E0000}"/>
    <cellStyle name="40% - Accent4 3 6 3 2 2" xfId="29920" xr:uid="{00000000-0005-0000-0000-0000D43E0000}"/>
    <cellStyle name="40% - Accent4 3 6 3 3" xfId="21391" xr:uid="{00000000-0005-0000-0000-0000D53E0000}"/>
    <cellStyle name="40% - Accent4 3 6 4" xfId="11121" xr:uid="{00000000-0005-0000-0000-0000D63E0000}"/>
    <cellStyle name="40% - Accent4 3 6 4 2" xfId="25063" xr:uid="{00000000-0005-0000-0000-0000D73E0000}"/>
    <cellStyle name="40% - Accent4 3 6 5" xfId="21389" xr:uid="{00000000-0005-0000-0000-0000D83E0000}"/>
    <cellStyle name="40% - Accent4 3 7" xfId="4067" xr:uid="{00000000-0005-0000-0000-0000D93E0000}"/>
    <cellStyle name="40% - Accent4 3 7 2" xfId="11885" xr:uid="{00000000-0005-0000-0000-0000DA3E0000}"/>
    <cellStyle name="40% - Accent4 3 7 2 2" xfId="25600" xr:uid="{00000000-0005-0000-0000-0000DB3E0000}"/>
    <cellStyle name="40% - Accent4 3 7 3" xfId="21392" xr:uid="{00000000-0005-0000-0000-0000DC3E0000}"/>
    <cellStyle name="40% - Accent4 3 8" xfId="4068" xr:uid="{00000000-0005-0000-0000-0000DD3E0000}"/>
    <cellStyle name="40% - Accent4 3 8 2" xfId="12900" xr:uid="{00000000-0005-0000-0000-0000DE3E0000}"/>
    <cellStyle name="40% - Accent4 3 8 2 2" xfId="26612" xr:uid="{00000000-0005-0000-0000-0000DF3E0000}"/>
    <cellStyle name="40% - Accent4 3 8 3" xfId="21393" xr:uid="{00000000-0005-0000-0000-0000E03E0000}"/>
    <cellStyle name="40% - Accent4 3 9" xfId="4069" xr:uid="{00000000-0005-0000-0000-0000E13E0000}"/>
    <cellStyle name="40% - Accent4 3 9 2" xfId="13465" xr:uid="{00000000-0005-0000-0000-0000E23E0000}"/>
    <cellStyle name="40% - Accent4 3 9 2 2" xfId="27014" xr:uid="{00000000-0005-0000-0000-0000E33E0000}"/>
    <cellStyle name="40% - Accent4 3 9 3" xfId="21394" xr:uid="{00000000-0005-0000-0000-0000E43E0000}"/>
    <cellStyle name="40% - Accent4 30" xfId="23258" xr:uid="{00000000-0005-0000-0000-0000E53E0000}"/>
    <cellStyle name="40% - Accent4 4" xfId="4070" xr:uid="{00000000-0005-0000-0000-0000E63E0000}"/>
    <cellStyle name="40% - Accent4 4 10" xfId="4071" xr:uid="{00000000-0005-0000-0000-0000E73E0000}"/>
    <cellStyle name="40% - Accent4 4 10 2" xfId="15328" xr:uid="{00000000-0005-0000-0000-0000E83E0000}"/>
    <cellStyle name="40% - Accent4 4 10 2 2" xfId="28877" xr:uid="{00000000-0005-0000-0000-0000E93E0000}"/>
    <cellStyle name="40% - Accent4 4 10 3" xfId="21396" xr:uid="{00000000-0005-0000-0000-0000EA3E0000}"/>
    <cellStyle name="40% - Accent4 4 11" xfId="4072" xr:uid="{00000000-0005-0000-0000-0000EB3E0000}"/>
    <cellStyle name="40% - Accent4 4 11 2" xfId="15888" xr:uid="{00000000-0005-0000-0000-0000EC3E0000}"/>
    <cellStyle name="40% - Accent4 4 11 2 2" xfId="29295" xr:uid="{00000000-0005-0000-0000-0000ED3E0000}"/>
    <cellStyle name="40% - Accent4 4 11 3" xfId="21397" xr:uid="{00000000-0005-0000-0000-0000EE3E0000}"/>
    <cellStyle name="40% - Accent4 4 12" xfId="9403" xr:uid="{00000000-0005-0000-0000-0000EF3E0000}"/>
    <cellStyle name="40% - Accent4 4 12 2" xfId="23878" xr:uid="{00000000-0005-0000-0000-0000F03E0000}"/>
    <cellStyle name="40% - Accent4 4 13" xfId="21395" xr:uid="{00000000-0005-0000-0000-0000F13E0000}"/>
    <cellStyle name="40% - Accent4 4 2" xfId="4073" xr:uid="{00000000-0005-0000-0000-0000F23E0000}"/>
    <cellStyle name="40% - Accent4 4 2 10" xfId="4074" xr:uid="{00000000-0005-0000-0000-0000F33E0000}"/>
    <cellStyle name="40% - Accent4 4 2 10 2" xfId="16031" xr:uid="{00000000-0005-0000-0000-0000F43E0000}"/>
    <cellStyle name="40% - Accent4 4 2 10 2 2" xfId="29438" xr:uid="{00000000-0005-0000-0000-0000F53E0000}"/>
    <cellStyle name="40% - Accent4 4 2 10 3" xfId="21399" xr:uid="{00000000-0005-0000-0000-0000F63E0000}"/>
    <cellStyle name="40% - Accent4 4 2 11" xfId="9404" xr:uid="{00000000-0005-0000-0000-0000F73E0000}"/>
    <cellStyle name="40% - Accent4 4 2 11 2" xfId="23879" xr:uid="{00000000-0005-0000-0000-0000F83E0000}"/>
    <cellStyle name="40% - Accent4 4 2 12" xfId="21398" xr:uid="{00000000-0005-0000-0000-0000F93E0000}"/>
    <cellStyle name="40% - Accent4 4 2 2" xfId="4075" xr:uid="{00000000-0005-0000-0000-0000FA3E0000}"/>
    <cellStyle name="40% - Accent4 4 2 2 10" xfId="9405" xr:uid="{00000000-0005-0000-0000-0000FB3E0000}"/>
    <cellStyle name="40% - Accent4 4 2 2 10 2" xfId="23880" xr:uid="{00000000-0005-0000-0000-0000FC3E0000}"/>
    <cellStyle name="40% - Accent4 4 2 2 11" xfId="21400" xr:uid="{00000000-0005-0000-0000-0000FD3E0000}"/>
    <cellStyle name="40% - Accent4 4 2 2 2" xfId="4076" xr:uid="{00000000-0005-0000-0000-0000FE3E0000}"/>
    <cellStyle name="40% - Accent4 4 2 2 2 2" xfId="4077" xr:uid="{00000000-0005-0000-0000-0000FF3E0000}"/>
    <cellStyle name="40% - Accent4 4 2 2 2 2 2" xfId="11133" xr:uid="{00000000-0005-0000-0000-0000003F0000}"/>
    <cellStyle name="40% - Accent4 4 2 2 2 2 2 2" xfId="25075" xr:uid="{00000000-0005-0000-0000-0000013F0000}"/>
    <cellStyle name="40% - Accent4 4 2 2 2 2 3" xfId="23200" xr:uid="{00000000-0005-0000-0000-0000023F0000}"/>
    <cellStyle name="40% - Accent4 4 2 2 2 3" xfId="4078" xr:uid="{00000000-0005-0000-0000-0000033F0000}"/>
    <cellStyle name="40% - Accent4 4 2 2 2 3 2" xfId="12912" xr:uid="{00000000-0005-0000-0000-0000043F0000}"/>
    <cellStyle name="40% - Accent4 4 2 2 2 3 2 2" xfId="26624" xr:uid="{00000000-0005-0000-0000-0000053F0000}"/>
    <cellStyle name="40% - Accent4 4 2 2 2 3 3" xfId="24315" xr:uid="{00000000-0005-0000-0000-0000063F0000}"/>
    <cellStyle name="40% - Accent4 4 2 2 2 4" xfId="4079" xr:uid="{00000000-0005-0000-0000-0000073F0000}"/>
    <cellStyle name="40% - Accent4 4 2 2 2 4 2" xfId="15331" xr:uid="{00000000-0005-0000-0000-0000083F0000}"/>
    <cellStyle name="40% - Accent4 4 2 2 2 4 2 2" xfId="28880" xr:uid="{00000000-0005-0000-0000-0000093F0000}"/>
    <cellStyle name="40% - Accent4 4 2 2 2 4 3" xfId="23199" xr:uid="{00000000-0005-0000-0000-00000A3F0000}"/>
    <cellStyle name="40% - Accent4 4 2 2 2 5" xfId="4080" xr:uid="{00000000-0005-0000-0000-00000B3F0000}"/>
    <cellStyle name="40% - Accent4 4 2 2 2 5 2" xfId="16901" xr:uid="{00000000-0005-0000-0000-00000C3F0000}"/>
    <cellStyle name="40% - Accent4 4 2 2 2 5 2 2" xfId="30308" xr:uid="{00000000-0005-0000-0000-00000D3F0000}"/>
    <cellStyle name="40% - Accent4 4 2 2 2 5 3" xfId="23198" xr:uid="{00000000-0005-0000-0000-00000E3F0000}"/>
    <cellStyle name="40% - Accent4 4 2 2 2 6" xfId="9406" xr:uid="{00000000-0005-0000-0000-00000F3F0000}"/>
    <cellStyle name="40% - Accent4 4 2 2 2 6 2" xfId="23881" xr:uid="{00000000-0005-0000-0000-0000103F0000}"/>
    <cellStyle name="40% - Accent4 4 2 2 2 7" xfId="21401" xr:uid="{00000000-0005-0000-0000-0000113F0000}"/>
    <cellStyle name="40% - Accent4 4 2 2 3" xfId="4081" xr:uid="{00000000-0005-0000-0000-0000123F0000}"/>
    <cellStyle name="40% - Accent4 4 2 2 3 2" xfId="4082" xr:uid="{00000000-0005-0000-0000-0000133F0000}"/>
    <cellStyle name="40% - Accent4 4 2 2 3 2 2" xfId="15332" xr:uid="{00000000-0005-0000-0000-0000143F0000}"/>
    <cellStyle name="40% - Accent4 4 2 2 3 2 2 2" xfId="28881" xr:uid="{00000000-0005-0000-0000-0000153F0000}"/>
    <cellStyle name="40% - Accent4 4 2 2 3 2 3" xfId="23197" xr:uid="{00000000-0005-0000-0000-0000163F0000}"/>
    <cellStyle name="40% - Accent4 4 2 2 3 3" xfId="11132" xr:uid="{00000000-0005-0000-0000-0000173F0000}"/>
    <cellStyle name="40% - Accent4 4 2 2 3 3 2" xfId="25074" xr:uid="{00000000-0005-0000-0000-0000183F0000}"/>
    <cellStyle name="40% - Accent4 4 2 2 3 4" xfId="26876" xr:uid="{00000000-0005-0000-0000-0000193F0000}"/>
    <cellStyle name="40% - Accent4 4 2 2 4" xfId="4083" xr:uid="{00000000-0005-0000-0000-00001A3F0000}"/>
    <cellStyle name="40% - Accent4 4 2 2 4 2" xfId="12289" xr:uid="{00000000-0005-0000-0000-00001B3F0000}"/>
    <cellStyle name="40% - Accent4 4 2 2 4 2 2" xfId="26001" xr:uid="{00000000-0005-0000-0000-00001C3F0000}"/>
    <cellStyle name="40% - Accent4 4 2 2 4 3" xfId="23196" xr:uid="{00000000-0005-0000-0000-00001D3F0000}"/>
    <cellStyle name="40% - Accent4 4 2 2 5" xfId="4084" xr:uid="{00000000-0005-0000-0000-00001E3F0000}"/>
    <cellStyle name="40% - Accent4 4 2 2 5 2" xfId="12911" xr:uid="{00000000-0005-0000-0000-00001F3F0000}"/>
    <cellStyle name="40% - Accent4 4 2 2 5 2 2" xfId="26623" xr:uid="{00000000-0005-0000-0000-0000203F0000}"/>
    <cellStyle name="40% - Accent4 4 2 2 5 3" xfId="24314" xr:uid="{00000000-0005-0000-0000-0000213F0000}"/>
    <cellStyle name="40% - Accent4 4 2 2 6" xfId="4085" xr:uid="{00000000-0005-0000-0000-0000223F0000}"/>
    <cellStyle name="40% - Accent4 4 2 2 6 2" xfId="13853" xr:uid="{00000000-0005-0000-0000-0000233F0000}"/>
    <cellStyle name="40% - Accent4 4 2 2 6 2 2" xfId="27402" xr:uid="{00000000-0005-0000-0000-0000243F0000}"/>
    <cellStyle name="40% - Accent4 4 2 2 6 3" xfId="23195" xr:uid="{00000000-0005-0000-0000-0000253F0000}"/>
    <cellStyle name="40% - Accent4 4 2 2 7" xfId="4086" xr:uid="{00000000-0005-0000-0000-0000263F0000}"/>
    <cellStyle name="40% - Accent4 4 2 2 7 2" xfId="14434" xr:uid="{00000000-0005-0000-0000-0000273F0000}"/>
    <cellStyle name="40% - Accent4 4 2 2 7 2 2" xfId="27983" xr:uid="{00000000-0005-0000-0000-0000283F0000}"/>
    <cellStyle name="40% - Accent4 4 2 2 7 3" xfId="26874" xr:uid="{00000000-0005-0000-0000-0000293F0000}"/>
    <cellStyle name="40% - Accent4 4 2 2 8" xfId="4087" xr:uid="{00000000-0005-0000-0000-00002A3F0000}"/>
    <cellStyle name="40% - Accent4 4 2 2 8 2" xfId="15330" xr:uid="{00000000-0005-0000-0000-00002B3F0000}"/>
    <cellStyle name="40% - Accent4 4 2 2 8 2 2" xfId="28879" xr:uid="{00000000-0005-0000-0000-00002C3F0000}"/>
    <cellStyle name="40% - Accent4 4 2 2 8 3" xfId="23194" xr:uid="{00000000-0005-0000-0000-00002D3F0000}"/>
    <cellStyle name="40% - Accent4 4 2 2 9" xfId="4088" xr:uid="{00000000-0005-0000-0000-00002E3F0000}"/>
    <cellStyle name="40% - Accent4 4 2 2 9 2" xfId="16320" xr:uid="{00000000-0005-0000-0000-00002F3F0000}"/>
    <cellStyle name="40% - Accent4 4 2 2 9 2 2" xfId="29727" xr:uid="{00000000-0005-0000-0000-0000303F0000}"/>
    <cellStyle name="40% - Accent4 4 2 2 9 3" xfId="23193" xr:uid="{00000000-0005-0000-0000-0000313F0000}"/>
    <cellStyle name="40% - Accent4 4 2 3" xfId="4089" xr:uid="{00000000-0005-0000-0000-0000323F0000}"/>
    <cellStyle name="40% - Accent4 4 2 3 2" xfId="4090" xr:uid="{00000000-0005-0000-0000-0000333F0000}"/>
    <cellStyle name="40% - Accent4 4 2 3 2 2" xfId="11134" xr:uid="{00000000-0005-0000-0000-0000343F0000}"/>
    <cellStyle name="40% - Accent4 4 2 3 2 2 2" xfId="25076" xr:uid="{00000000-0005-0000-0000-0000353F0000}"/>
    <cellStyle name="40% - Accent4 4 2 3 2 3" xfId="23192" xr:uid="{00000000-0005-0000-0000-0000363F0000}"/>
    <cellStyle name="40% - Accent4 4 2 3 3" xfId="4091" xr:uid="{00000000-0005-0000-0000-0000373F0000}"/>
    <cellStyle name="40% - Accent4 4 2 3 3 2" xfId="12913" xr:uid="{00000000-0005-0000-0000-0000383F0000}"/>
    <cellStyle name="40% - Accent4 4 2 3 3 2 2" xfId="26625" xr:uid="{00000000-0005-0000-0000-0000393F0000}"/>
    <cellStyle name="40% - Accent4 4 2 3 3 3" xfId="23191" xr:uid="{00000000-0005-0000-0000-00003A3F0000}"/>
    <cellStyle name="40% - Accent4 4 2 3 4" xfId="4092" xr:uid="{00000000-0005-0000-0000-00003B3F0000}"/>
    <cellStyle name="40% - Accent4 4 2 3 4 2" xfId="15333" xr:uid="{00000000-0005-0000-0000-00003C3F0000}"/>
    <cellStyle name="40% - Accent4 4 2 3 4 2 2" xfId="28882" xr:uid="{00000000-0005-0000-0000-00003D3F0000}"/>
    <cellStyle name="40% - Accent4 4 2 3 4 3" xfId="30656" xr:uid="{00000000-0005-0000-0000-00003E3F0000}"/>
    <cellStyle name="40% - Accent4 4 2 3 5" xfId="4093" xr:uid="{00000000-0005-0000-0000-00003F3F0000}"/>
    <cellStyle name="40% - Accent4 4 2 3 5 2" xfId="16612" xr:uid="{00000000-0005-0000-0000-0000403F0000}"/>
    <cellStyle name="40% - Accent4 4 2 3 5 2 2" xfId="30019" xr:uid="{00000000-0005-0000-0000-0000413F0000}"/>
    <cellStyle name="40% - Accent4 4 2 3 5 3" xfId="24311" xr:uid="{00000000-0005-0000-0000-0000423F0000}"/>
    <cellStyle name="40% - Accent4 4 2 3 6" xfId="9407" xr:uid="{00000000-0005-0000-0000-0000433F0000}"/>
    <cellStyle name="40% - Accent4 4 2 3 6 2" xfId="23882" xr:uid="{00000000-0005-0000-0000-0000443F0000}"/>
    <cellStyle name="40% - Accent4 4 2 3 7" xfId="24313" xr:uid="{00000000-0005-0000-0000-0000453F0000}"/>
    <cellStyle name="40% - Accent4 4 2 4" xfId="4094" xr:uid="{00000000-0005-0000-0000-0000463F0000}"/>
    <cellStyle name="40% - Accent4 4 2 4 2" xfId="4095" xr:uid="{00000000-0005-0000-0000-0000473F0000}"/>
    <cellStyle name="40% - Accent4 4 2 4 2 2" xfId="15334" xr:uid="{00000000-0005-0000-0000-0000483F0000}"/>
    <cellStyle name="40% - Accent4 4 2 4 2 2 2" xfId="28883" xr:uid="{00000000-0005-0000-0000-0000493F0000}"/>
    <cellStyle name="40% - Accent4 4 2 4 2 3" xfId="24464" xr:uid="{00000000-0005-0000-0000-00004A3F0000}"/>
    <cellStyle name="40% - Accent4 4 2 4 3" xfId="11131" xr:uid="{00000000-0005-0000-0000-00004B3F0000}"/>
    <cellStyle name="40% - Accent4 4 2 4 3 2" xfId="25073" xr:uid="{00000000-0005-0000-0000-00004C3F0000}"/>
    <cellStyle name="40% - Accent4 4 2 4 4" xfId="23202" xr:uid="{00000000-0005-0000-0000-00004D3F0000}"/>
    <cellStyle name="40% - Accent4 4 2 5" xfId="4096" xr:uid="{00000000-0005-0000-0000-00004E3F0000}"/>
    <cellStyle name="40% - Accent4 4 2 5 2" xfId="11989" xr:uid="{00000000-0005-0000-0000-00004F3F0000}"/>
    <cellStyle name="40% - Accent4 4 2 5 2 2" xfId="25704" xr:uid="{00000000-0005-0000-0000-0000503F0000}"/>
    <cellStyle name="40% - Accent4 4 2 5 3" xfId="23240" xr:uid="{00000000-0005-0000-0000-0000513F0000}"/>
    <cellStyle name="40% - Accent4 4 2 6" xfId="4097" xr:uid="{00000000-0005-0000-0000-0000523F0000}"/>
    <cellStyle name="40% - Accent4 4 2 6 2" xfId="12910" xr:uid="{00000000-0005-0000-0000-0000533F0000}"/>
    <cellStyle name="40% - Accent4 4 2 6 2 2" xfId="26622" xr:uid="{00000000-0005-0000-0000-0000543F0000}"/>
    <cellStyle name="40% - Accent4 4 2 6 3" xfId="30685" xr:uid="{00000000-0005-0000-0000-0000553F0000}"/>
    <cellStyle name="40% - Accent4 4 2 7" xfId="4098" xr:uid="{00000000-0005-0000-0000-0000563F0000}"/>
    <cellStyle name="40% - Accent4 4 2 7 2" xfId="13564" xr:uid="{00000000-0005-0000-0000-0000573F0000}"/>
    <cellStyle name="40% - Accent4 4 2 7 2 2" xfId="27113" xr:uid="{00000000-0005-0000-0000-0000583F0000}"/>
    <cellStyle name="40% - Accent4 4 2 7 3" xfId="23190" xr:uid="{00000000-0005-0000-0000-0000593F0000}"/>
    <cellStyle name="40% - Accent4 4 2 8" xfId="4099" xr:uid="{00000000-0005-0000-0000-00005A3F0000}"/>
    <cellStyle name="40% - Accent4 4 2 8 2" xfId="14145" xr:uid="{00000000-0005-0000-0000-00005B3F0000}"/>
    <cellStyle name="40% - Accent4 4 2 8 2 2" xfId="27694" xr:uid="{00000000-0005-0000-0000-00005C3F0000}"/>
    <cellStyle name="40% - Accent4 4 2 8 3" xfId="23189" xr:uid="{00000000-0005-0000-0000-00005D3F0000}"/>
    <cellStyle name="40% - Accent4 4 2 9" xfId="4100" xr:uid="{00000000-0005-0000-0000-00005E3F0000}"/>
    <cellStyle name="40% - Accent4 4 2 9 2" xfId="15329" xr:uid="{00000000-0005-0000-0000-00005F3F0000}"/>
    <cellStyle name="40% - Accent4 4 2 9 2 2" xfId="28878" xr:uid="{00000000-0005-0000-0000-0000603F0000}"/>
    <cellStyle name="40% - Accent4 4 2 9 3" xfId="26873" xr:uid="{00000000-0005-0000-0000-0000613F0000}"/>
    <cellStyle name="40% - Accent4 4 3" xfId="4101" xr:uid="{00000000-0005-0000-0000-0000623F0000}"/>
    <cellStyle name="40% - Accent4 4 3 10" xfId="9408" xr:uid="{00000000-0005-0000-0000-0000633F0000}"/>
    <cellStyle name="40% - Accent4 4 3 10 2" xfId="23883" xr:uid="{00000000-0005-0000-0000-0000643F0000}"/>
    <cellStyle name="40% - Accent4 4 3 11" xfId="23188" xr:uid="{00000000-0005-0000-0000-0000653F0000}"/>
    <cellStyle name="40% - Accent4 4 3 2" xfId="4102" xr:uid="{00000000-0005-0000-0000-0000663F0000}"/>
    <cellStyle name="40% - Accent4 4 3 2 2" xfId="4103" xr:uid="{00000000-0005-0000-0000-0000673F0000}"/>
    <cellStyle name="40% - Accent4 4 3 2 2 2" xfId="11136" xr:uid="{00000000-0005-0000-0000-0000683F0000}"/>
    <cellStyle name="40% - Accent4 4 3 2 2 2 2" xfId="25078" xr:uid="{00000000-0005-0000-0000-0000693F0000}"/>
    <cellStyle name="40% - Accent4 4 3 2 2 3" xfId="23209" xr:uid="{00000000-0005-0000-0000-00006A3F0000}"/>
    <cellStyle name="40% - Accent4 4 3 2 3" xfId="4104" xr:uid="{00000000-0005-0000-0000-00006B3F0000}"/>
    <cellStyle name="40% - Accent4 4 3 2 3 2" xfId="12915" xr:uid="{00000000-0005-0000-0000-00006C3F0000}"/>
    <cellStyle name="40% - Accent4 4 3 2 3 2 2" xfId="26627" xr:uid="{00000000-0005-0000-0000-00006D3F0000}"/>
    <cellStyle name="40% - Accent4 4 3 2 3 3" xfId="23186" xr:uid="{00000000-0005-0000-0000-00006E3F0000}"/>
    <cellStyle name="40% - Accent4 4 3 2 4" xfId="4105" xr:uid="{00000000-0005-0000-0000-00006F3F0000}"/>
    <cellStyle name="40% - Accent4 4 3 2 4 2" xfId="15336" xr:uid="{00000000-0005-0000-0000-0000703F0000}"/>
    <cellStyle name="40% - Accent4 4 3 2 4 2 2" xfId="28885" xr:uid="{00000000-0005-0000-0000-0000713F0000}"/>
    <cellStyle name="40% - Accent4 4 3 2 4 3" xfId="26872" xr:uid="{00000000-0005-0000-0000-0000723F0000}"/>
    <cellStyle name="40% - Accent4 4 3 2 5" xfId="4106" xr:uid="{00000000-0005-0000-0000-0000733F0000}"/>
    <cellStyle name="40% - Accent4 4 3 2 5 2" xfId="16761" xr:uid="{00000000-0005-0000-0000-0000743F0000}"/>
    <cellStyle name="40% - Accent4 4 3 2 5 2 2" xfId="30168" xr:uid="{00000000-0005-0000-0000-0000753F0000}"/>
    <cellStyle name="40% - Accent4 4 3 2 5 3" xfId="23185" xr:uid="{00000000-0005-0000-0000-0000763F0000}"/>
    <cellStyle name="40% - Accent4 4 3 2 6" xfId="9409" xr:uid="{00000000-0005-0000-0000-0000773F0000}"/>
    <cellStyle name="40% - Accent4 4 3 2 6 2" xfId="23884" xr:uid="{00000000-0005-0000-0000-0000783F0000}"/>
    <cellStyle name="40% - Accent4 4 3 2 7" xfId="23187" xr:uid="{00000000-0005-0000-0000-0000793F0000}"/>
    <cellStyle name="40% - Accent4 4 3 3" xfId="4107" xr:uid="{00000000-0005-0000-0000-00007A3F0000}"/>
    <cellStyle name="40% - Accent4 4 3 3 2" xfId="4108" xr:uid="{00000000-0005-0000-0000-00007B3F0000}"/>
    <cellStyle name="40% - Accent4 4 3 3 2 2" xfId="15337" xr:uid="{00000000-0005-0000-0000-00007C3F0000}"/>
    <cellStyle name="40% - Accent4 4 3 3 2 2 2" xfId="28886" xr:uid="{00000000-0005-0000-0000-00007D3F0000}"/>
    <cellStyle name="40% - Accent4 4 3 3 2 3" xfId="23184" xr:uid="{00000000-0005-0000-0000-00007E3F0000}"/>
    <cellStyle name="40% - Accent4 4 3 3 3" xfId="11135" xr:uid="{00000000-0005-0000-0000-00007F3F0000}"/>
    <cellStyle name="40% - Accent4 4 3 3 3 2" xfId="25077" xr:uid="{00000000-0005-0000-0000-0000803F0000}"/>
    <cellStyle name="40% - Accent4 4 3 3 4" xfId="24312" xr:uid="{00000000-0005-0000-0000-0000813F0000}"/>
    <cellStyle name="40% - Accent4 4 3 4" xfId="4109" xr:uid="{00000000-0005-0000-0000-0000823F0000}"/>
    <cellStyle name="40% - Accent4 4 3 4 2" xfId="12149" xr:uid="{00000000-0005-0000-0000-0000833F0000}"/>
    <cellStyle name="40% - Accent4 4 3 4 2 2" xfId="25861" xr:uid="{00000000-0005-0000-0000-0000843F0000}"/>
    <cellStyle name="40% - Accent4 4 3 4 3" xfId="23183" xr:uid="{00000000-0005-0000-0000-0000853F0000}"/>
    <cellStyle name="40% - Accent4 4 3 5" xfId="4110" xr:uid="{00000000-0005-0000-0000-0000863F0000}"/>
    <cellStyle name="40% - Accent4 4 3 5 2" xfId="12914" xr:uid="{00000000-0005-0000-0000-0000873F0000}"/>
    <cellStyle name="40% - Accent4 4 3 5 2 2" xfId="26626" xr:uid="{00000000-0005-0000-0000-0000883F0000}"/>
    <cellStyle name="40% - Accent4 4 3 5 3" xfId="23182" xr:uid="{00000000-0005-0000-0000-0000893F0000}"/>
    <cellStyle name="40% - Accent4 4 3 6" xfId="4111" xr:uid="{00000000-0005-0000-0000-00008A3F0000}"/>
    <cellStyle name="40% - Accent4 4 3 6 2" xfId="13713" xr:uid="{00000000-0005-0000-0000-00008B3F0000}"/>
    <cellStyle name="40% - Accent4 4 3 6 2 2" xfId="27262" xr:uid="{00000000-0005-0000-0000-00008C3F0000}"/>
    <cellStyle name="40% - Accent4 4 3 6 3" xfId="26871" xr:uid="{00000000-0005-0000-0000-00008D3F0000}"/>
    <cellStyle name="40% - Accent4 4 3 7" xfId="4112" xr:uid="{00000000-0005-0000-0000-00008E3F0000}"/>
    <cellStyle name="40% - Accent4 4 3 7 2" xfId="14294" xr:uid="{00000000-0005-0000-0000-00008F3F0000}"/>
    <cellStyle name="40% - Accent4 4 3 7 2 2" xfId="27843" xr:uid="{00000000-0005-0000-0000-0000903F0000}"/>
    <cellStyle name="40% - Accent4 4 3 7 3" xfId="23181" xr:uid="{00000000-0005-0000-0000-0000913F0000}"/>
    <cellStyle name="40% - Accent4 4 3 8" xfId="4113" xr:uid="{00000000-0005-0000-0000-0000923F0000}"/>
    <cellStyle name="40% - Accent4 4 3 8 2" xfId="15335" xr:uid="{00000000-0005-0000-0000-0000933F0000}"/>
    <cellStyle name="40% - Accent4 4 3 8 2 2" xfId="28884" xr:uid="{00000000-0005-0000-0000-0000943F0000}"/>
    <cellStyle name="40% - Accent4 4 3 8 3" xfId="24309" xr:uid="{00000000-0005-0000-0000-0000953F0000}"/>
    <cellStyle name="40% - Accent4 4 3 9" xfId="4114" xr:uid="{00000000-0005-0000-0000-0000963F0000}"/>
    <cellStyle name="40% - Accent4 4 3 9 2" xfId="16180" xr:uid="{00000000-0005-0000-0000-0000973F0000}"/>
    <cellStyle name="40% - Accent4 4 3 9 2 2" xfId="29587" xr:uid="{00000000-0005-0000-0000-0000983F0000}"/>
    <cellStyle name="40% - Accent4 4 3 9 3" xfId="26870" xr:uid="{00000000-0005-0000-0000-0000993F0000}"/>
    <cellStyle name="40% - Accent4 4 4" xfId="4115" xr:uid="{00000000-0005-0000-0000-00009A3F0000}"/>
    <cellStyle name="40% - Accent4 4 4 2" xfId="4116" xr:uid="{00000000-0005-0000-0000-00009B3F0000}"/>
    <cellStyle name="40% - Accent4 4 4 2 2" xfId="11137" xr:uid="{00000000-0005-0000-0000-00009C3F0000}"/>
    <cellStyle name="40% - Accent4 4 4 2 2 2" xfId="25079" xr:uid="{00000000-0005-0000-0000-00009D3F0000}"/>
    <cellStyle name="40% - Accent4 4 4 2 3" xfId="24310" xr:uid="{00000000-0005-0000-0000-00009E3F0000}"/>
    <cellStyle name="40% - Accent4 4 4 3" xfId="4117" xr:uid="{00000000-0005-0000-0000-00009F3F0000}"/>
    <cellStyle name="40% - Accent4 4 4 3 2" xfId="12916" xr:uid="{00000000-0005-0000-0000-0000A03F0000}"/>
    <cellStyle name="40% - Accent4 4 4 3 2 2" xfId="26628" xr:uid="{00000000-0005-0000-0000-0000A13F0000}"/>
    <cellStyle name="40% - Accent4 4 4 3 3" xfId="23179" xr:uid="{00000000-0005-0000-0000-0000A23F0000}"/>
    <cellStyle name="40% - Accent4 4 4 4" xfId="4118" xr:uid="{00000000-0005-0000-0000-0000A33F0000}"/>
    <cellStyle name="40% - Accent4 4 4 4 2" xfId="15338" xr:uid="{00000000-0005-0000-0000-0000A43F0000}"/>
    <cellStyle name="40% - Accent4 4 4 4 2 2" xfId="28887" xr:uid="{00000000-0005-0000-0000-0000A53F0000}"/>
    <cellStyle name="40% - Accent4 4 4 4 3" xfId="23178" xr:uid="{00000000-0005-0000-0000-0000A63F0000}"/>
    <cellStyle name="40% - Accent4 4 4 5" xfId="4119" xr:uid="{00000000-0005-0000-0000-0000A73F0000}"/>
    <cellStyle name="40% - Accent4 4 4 5 2" xfId="16469" xr:uid="{00000000-0005-0000-0000-0000A83F0000}"/>
    <cellStyle name="40% - Accent4 4 4 5 2 2" xfId="29876" xr:uid="{00000000-0005-0000-0000-0000A93F0000}"/>
    <cellStyle name="40% - Accent4 4 4 5 3" xfId="24308" xr:uid="{00000000-0005-0000-0000-0000AA3F0000}"/>
    <cellStyle name="40% - Accent4 4 4 6" xfId="9410" xr:uid="{00000000-0005-0000-0000-0000AB3F0000}"/>
    <cellStyle name="40% - Accent4 4 4 6 2" xfId="23885" xr:uid="{00000000-0005-0000-0000-0000AC3F0000}"/>
    <cellStyle name="40% - Accent4 4 4 7" xfId="23180" xr:uid="{00000000-0005-0000-0000-0000AD3F0000}"/>
    <cellStyle name="40% - Accent4 4 5" xfId="4120" xr:uid="{00000000-0005-0000-0000-0000AE3F0000}"/>
    <cellStyle name="40% - Accent4 4 5 2" xfId="4121" xr:uid="{00000000-0005-0000-0000-0000AF3F0000}"/>
    <cellStyle name="40% - Accent4 4 5 2 2" xfId="15339" xr:uid="{00000000-0005-0000-0000-0000B03F0000}"/>
    <cellStyle name="40% - Accent4 4 5 2 2 2" xfId="28888" xr:uid="{00000000-0005-0000-0000-0000B13F0000}"/>
    <cellStyle name="40% - Accent4 4 5 2 3" xfId="23205" xr:uid="{00000000-0005-0000-0000-0000B23F0000}"/>
    <cellStyle name="40% - Accent4 4 5 3" xfId="11130" xr:uid="{00000000-0005-0000-0000-0000B33F0000}"/>
    <cellStyle name="40% - Accent4 4 5 3 2" xfId="25072" xr:uid="{00000000-0005-0000-0000-0000B43F0000}"/>
    <cellStyle name="40% - Accent4 4 5 4" xfId="23177" xr:uid="{00000000-0005-0000-0000-0000B53F0000}"/>
    <cellStyle name="40% - Accent4 4 6" xfId="4122" xr:uid="{00000000-0005-0000-0000-0000B63F0000}"/>
    <cellStyle name="40% - Accent4 4 6 2" xfId="11820" xr:uid="{00000000-0005-0000-0000-0000B73F0000}"/>
    <cellStyle name="40% - Accent4 4 6 2 2" xfId="25535" xr:uid="{00000000-0005-0000-0000-0000B83F0000}"/>
    <cellStyle name="40% - Accent4 4 6 3" xfId="24307" xr:uid="{00000000-0005-0000-0000-0000B93F0000}"/>
    <cellStyle name="40% - Accent4 4 7" xfId="4123" xr:uid="{00000000-0005-0000-0000-0000BA3F0000}"/>
    <cellStyle name="40% - Accent4 4 7 2" xfId="12909" xr:uid="{00000000-0005-0000-0000-0000BB3F0000}"/>
    <cellStyle name="40% - Accent4 4 7 2 2" xfId="26621" xr:uid="{00000000-0005-0000-0000-0000BC3F0000}"/>
    <cellStyle name="40% - Accent4 4 7 3" xfId="30654" xr:uid="{00000000-0005-0000-0000-0000BD3F0000}"/>
    <cellStyle name="40% - Accent4 4 8" xfId="4124" xr:uid="{00000000-0005-0000-0000-0000BE3F0000}"/>
    <cellStyle name="40% - Accent4 4 8 2" xfId="13421" xr:uid="{00000000-0005-0000-0000-0000BF3F0000}"/>
    <cellStyle name="40% - Accent4 4 8 2 2" xfId="26970" xr:uid="{00000000-0005-0000-0000-0000C03F0000}"/>
    <cellStyle name="40% - Accent4 4 8 3" xfId="30684" xr:uid="{00000000-0005-0000-0000-0000C13F0000}"/>
    <cellStyle name="40% - Accent4 4 9" xfId="4125" xr:uid="{00000000-0005-0000-0000-0000C23F0000}"/>
    <cellStyle name="40% - Accent4 4 9 2" xfId="14002" xr:uid="{00000000-0005-0000-0000-0000C33F0000}"/>
    <cellStyle name="40% - Accent4 4 9 2 2" xfId="27551" xr:uid="{00000000-0005-0000-0000-0000C43F0000}"/>
    <cellStyle name="40% - Accent4 4 9 3" xfId="23239" xr:uid="{00000000-0005-0000-0000-0000C53F0000}"/>
    <cellStyle name="40% - Accent4 5" xfId="4126" xr:uid="{00000000-0005-0000-0000-0000C63F0000}"/>
    <cellStyle name="40% - Accent4 5 10" xfId="4127" xr:uid="{00000000-0005-0000-0000-0000C73F0000}"/>
    <cellStyle name="40% - Accent4 5 10 2" xfId="15340" xr:uid="{00000000-0005-0000-0000-0000C83F0000}"/>
    <cellStyle name="40% - Accent4 5 10 2 2" xfId="28889" xr:uid="{00000000-0005-0000-0000-0000C93F0000}"/>
    <cellStyle name="40% - Accent4 5 10 3" xfId="23207" xr:uid="{00000000-0005-0000-0000-0000CA3F0000}"/>
    <cellStyle name="40% - Accent4 5 11" xfId="4128" xr:uid="{00000000-0005-0000-0000-0000CB3F0000}"/>
    <cellStyle name="40% - Accent4 5 11 2" xfId="15871" xr:uid="{00000000-0005-0000-0000-0000CC3F0000}"/>
    <cellStyle name="40% - Accent4 5 11 2 2" xfId="29278" xr:uid="{00000000-0005-0000-0000-0000CD3F0000}"/>
    <cellStyle name="40% - Accent4 5 11 3" xfId="30431" xr:uid="{00000000-0005-0000-0000-0000CE3F0000}"/>
    <cellStyle name="40% - Accent4 5 12" xfId="9411" xr:uid="{00000000-0005-0000-0000-0000CF3F0000}"/>
    <cellStyle name="40% - Accent4 5 12 2" xfId="23886" xr:uid="{00000000-0005-0000-0000-0000D03F0000}"/>
    <cellStyle name="40% - Accent4 5 13" xfId="23176" xr:uid="{00000000-0005-0000-0000-0000D13F0000}"/>
    <cellStyle name="40% - Accent4 5 2" xfId="4129" xr:uid="{00000000-0005-0000-0000-0000D23F0000}"/>
    <cellStyle name="40% - Accent4 5 2 10" xfId="4130" xr:uid="{00000000-0005-0000-0000-0000D33F0000}"/>
    <cellStyle name="40% - Accent4 5 2 10 2" xfId="16014" xr:uid="{00000000-0005-0000-0000-0000D43F0000}"/>
    <cellStyle name="40% - Accent4 5 2 10 2 2" xfId="29421" xr:uid="{00000000-0005-0000-0000-0000D53F0000}"/>
    <cellStyle name="40% - Accent4 5 2 10 3" xfId="23174" xr:uid="{00000000-0005-0000-0000-0000D63F0000}"/>
    <cellStyle name="40% - Accent4 5 2 11" xfId="9412" xr:uid="{00000000-0005-0000-0000-0000D73F0000}"/>
    <cellStyle name="40% - Accent4 5 2 11 2" xfId="23887" xr:uid="{00000000-0005-0000-0000-0000D83F0000}"/>
    <cellStyle name="40% - Accent4 5 2 12" xfId="23175" xr:uid="{00000000-0005-0000-0000-0000D93F0000}"/>
    <cellStyle name="40% - Accent4 5 2 2" xfId="4131" xr:uid="{00000000-0005-0000-0000-0000DA3F0000}"/>
    <cellStyle name="40% - Accent4 5 2 2 10" xfId="9413" xr:uid="{00000000-0005-0000-0000-0000DB3F0000}"/>
    <cellStyle name="40% - Accent4 5 2 2 10 2" xfId="23888" xr:uid="{00000000-0005-0000-0000-0000DC3F0000}"/>
    <cellStyle name="40% - Accent4 5 2 2 11" xfId="23173" xr:uid="{00000000-0005-0000-0000-0000DD3F0000}"/>
    <cellStyle name="40% - Accent4 5 2 2 2" xfId="4132" xr:uid="{00000000-0005-0000-0000-0000DE3F0000}"/>
    <cellStyle name="40% - Accent4 5 2 2 2 2" xfId="4133" xr:uid="{00000000-0005-0000-0000-0000DF3F0000}"/>
    <cellStyle name="40% - Accent4 5 2 2 2 2 2" xfId="11141" xr:uid="{00000000-0005-0000-0000-0000E03F0000}"/>
    <cellStyle name="40% - Accent4 5 2 2 2 2 2 2" xfId="25083" xr:uid="{00000000-0005-0000-0000-0000E13F0000}"/>
    <cellStyle name="40% - Accent4 5 2 2 2 2 3" xfId="26869" xr:uid="{00000000-0005-0000-0000-0000E23F0000}"/>
    <cellStyle name="40% - Accent4 5 2 2 2 3" xfId="4134" xr:uid="{00000000-0005-0000-0000-0000E33F0000}"/>
    <cellStyle name="40% - Accent4 5 2 2 2 3 2" xfId="12920" xr:uid="{00000000-0005-0000-0000-0000E43F0000}"/>
    <cellStyle name="40% - Accent4 5 2 2 2 3 2 2" xfId="26632" xr:uid="{00000000-0005-0000-0000-0000E53F0000}"/>
    <cellStyle name="40% - Accent4 5 2 2 2 3 3" xfId="23172" xr:uid="{00000000-0005-0000-0000-0000E63F0000}"/>
    <cellStyle name="40% - Accent4 5 2 2 2 4" xfId="4135" xr:uid="{00000000-0005-0000-0000-0000E73F0000}"/>
    <cellStyle name="40% - Accent4 5 2 2 2 4 2" xfId="15343" xr:uid="{00000000-0005-0000-0000-0000E83F0000}"/>
    <cellStyle name="40% - Accent4 5 2 2 2 4 2 2" xfId="28892" xr:uid="{00000000-0005-0000-0000-0000E93F0000}"/>
    <cellStyle name="40% - Accent4 5 2 2 2 4 3" xfId="25297" xr:uid="{00000000-0005-0000-0000-0000EA3F0000}"/>
    <cellStyle name="40% - Accent4 5 2 2 2 5" xfId="4136" xr:uid="{00000000-0005-0000-0000-0000EB3F0000}"/>
    <cellStyle name="40% - Accent4 5 2 2 2 5 2" xfId="16884" xr:uid="{00000000-0005-0000-0000-0000EC3F0000}"/>
    <cellStyle name="40% - Accent4 5 2 2 2 5 2 2" xfId="30291" xr:uid="{00000000-0005-0000-0000-0000ED3F0000}"/>
    <cellStyle name="40% - Accent4 5 2 2 2 5 3" xfId="23171" xr:uid="{00000000-0005-0000-0000-0000EE3F0000}"/>
    <cellStyle name="40% - Accent4 5 2 2 2 6" xfId="9414" xr:uid="{00000000-0005-0000-0000-0000EF3F0000}"/>
    <cellStyle name="40% - Accent4 5 2 2 2 6 2" xfId="23889" xr:uid="{00000000-0005-0000-0000-0000F03F0000}"/>
    <cellStyle name="40% - Accent4 5 2 2 2 7" xfId="24305" xr:uid="{00000000-0005-0000-0000-0000F13F0000}"/>
    <cellStyle name="40% - Accent4 5 2 2 3" xfId="4137" xr:uid="{00000000-0005-0000-0000-0000F23F0000}"/>
    <cellStyle name="40% - Accent4 5 2 2 3 2" xfId="4138" xr:uid="{00000000-0005-0000-0000-0000F33F0000}"/>
    <cellStyle name="40% - Accent4 5 2 2 3 2 2" xfId="15344" xr:uid="{00000000-0005-0000-0000-0000F43F0000}"/>
    <cellStyle name="40% - Accent4 5 2 2 3 2 2 2" xfId="28893" xr:uid="{00000000-0005-0000-0000-0000F53F0000}"/>
    <cellStyle name="40% - Accent4 5 2 2 3 2 3" xfId="25298" xr:uid="{00000000-0005-0000-0000-0000F63F0000}"/>
    <cellStyle name="40% - Accent4 5 2 2 3 3" xfId="11140" xr:uid="{00000000-0005-0000-0000-0000F73F0000}"/>
    <cellStyle name="40% - Accent4 5 2 2 3 3 2" xfId="25082" xr:uid="{00000000-0005-0000-0000-0000F83F0000}"/>
    <cellStyle name="40% - Accent4 5 2 2 3 4" xfId="24306" xr:uid="{00000000-0005-0000-0000-0000F93F0000}"/>
    <cellStyle name="40% - Accent4 5 2 2 4" xfId="4139" xr:uid="{00000000-0005-0000-0000-0000FA3F0000}"/>
    <cellStyle name="40% - Accent4 5 2 2 4 2" xfId="12272" xr:uid="{00000000-0005-0000-0000-0000FB3F0000}"/>
    <cellStyle name="40% - Accent4 5 2 2 4 2 2" xfId="25984" xr:uid="{00000000-0005-0000-0000-0000FC3F0000}"/>
    <cellStyle name="40% - Accent4 5 2 2 4 3" xfId="23170" xr:uid="{00000000-0005-0000-0000-0000FD3F0000}"/>
    <cellStyle name="40% - Accent4 5 2 2 5" xfId="4140" xr:uid="{00000000-0005-0000-0000-0000FE3F0000}"/>
    <cellStyle name="40% - Accent4 5 2 2 5 2" xfId="12919" xr:uid="{00000000-0005-0000-0000-0000FF3F0000}"/>
    <cellStyle name="40% - Accent4 5 2 2 5 2 2" xfId="26631" xr:uid="{00000000-0005-0000-0000-000000400000}"/>
    <cellStyle name="40% - Accent4 5 2 2 5 3" xfId="23169" xr:uid="{00000000-0005-0000-0000-000001400000}"/>
    <cellStyle name="40% - Accent4 5 2 2 6" xfId="4141" xr:uid="{00000000-0005-0000-0000-000002400000}"/>
    <cellStyle name="40% - Accent4 5 2 2 6 2" xfId="13836" xr:uid="{00000000-0005-0000-0000-000003400000}"/>
    <cellStyle name="40% - Accent4 5 2 2 6 2 2" xfId="27385" xr:uid="{00000000-0005-0000-0000-000004400000}"/>
    <cellStyle name="40% - Accent4 5 2 2 6 3" xfId="23168" xr:uid="{00000000-0005-0000-0000-000005400000}"/>
    <cellStyle name="40% - Accent4 5 2 2 7" xfId="4142" xr:uid="{00000000-0005-0000-0000-000006400000}"/>
    <cellStyle name="40% - Accent4 5 2 2 7 2" xfId="14417" xr:uid="{00000000-0005-0000-0000-000007400000}"/>
    <cellStyle name="40% - Accent4 5 2 2 7 2 2" xfId="27966" xr:uid="{00000000-0005-0000-0000-000008400000}"/>
    <cellStyle name="40% - Accent4 5 2 2 7 3" xfId="24303" xr:uid="{00000000-0005-0000-0000-000009400000}"/>
    <cellStyle name="40% - Accent4 5 2 2 8" xfId="4143" xr:uid="{00000000-0005-0000-0000-00000A400000}"/>
    <cellStyle name="40% - Accent4 5 2 2 8 2" xfId="15342" xr:uid="{00000000-0005-0000-0000-00000B400000}"/>
    <cellStyle name="40% - Accent4 5 2 2 8 2 2" xfId="28891" xr:uid="{00000000-0005-0000-0000-00000C400000}"/>
    <cellStyle name="40% - Accent4 5 2 2 8 3" xfId="26868" xr:uid="{00000000-0005-0000-0000-00000D400000}"/>
    <cellStyle name="40% - Accent4 5 2 2 9" xfId="4144" xr:uid="{00000000-0005-0000-0000-00000E400000}"/>
    <cellStyle name="40% - Accent4 5 2 2 9 2" xfId="16303" xr:uid="{00000000-0005-0000-0000-00000F400000}"/>
    <cellStyle name="40% - Accent4 5 2 2 9 2 2" xfId="29710" xr:uid="{00000000-0005-0000-0000-000010400000}"/>
    <cellStyle name="40% - Accent4 5 2 2 9 3" xfId="23167" xr:uid="{00000000-0005-0000-0000-000011400000}"/>
    <cellStyle name="40% - Accent4 5 2 3" xfId="4145" xr:uid="{00000000-0005-0000-0000-000012400000}"/>
    <cellStyle name="40% - Accent4 5 2 3 2" xfId="4146" xr:uid="{00000000-0005-0000-0000-000013400000}"/>
    <cellStyle name="40% - Accent4 5 2 3 2 2" xfId="11142" xr:uid="{00000000-0005-0000-0000-000014400000}"/>
    <cellStyle name="40% - Accent4 5 2 3 2 2 2" xfId="25084" xr:uid="{00000000-0005-0000-0000-000015400000}"/>
    <cellStyle name="40% - Accent4 5 2 3 2 3" xfId="23166" xr:uid="{00000000-0005-0000-0000-000016400000}"/>
    <cellStyle name="40% - Accent4 5 2 3 3" xfId="4147" xr:uid="{00000000-0005-0000-0000-000017400000}"/>
    <cellStyle name="40% - Accent4 5 2 3 3 2" xfId="12921" xr:uid="{00000000-0005-0000-0000-000018400000}"/>
    <cellStyle name="40% - Accent4 5 2 3 3 2 2" xfId="26633" xr:uid="{00000000-0005-0000-0000-000019400000}"/>
    <cellStyle name="40% - Accent4 5 2 3 3 3" xfId="23165" xr:uid="{00000000-0005-0000-0000-00001A400000}"/>
    <cellStyle name="40% - Accent4 5 2 3 4" xfId="4148" xr:uid="{00000000-0005-0000-0000-00001B400000}"/>
    <cellStyle name="40% - Accent4 5 2 3 4 2" xfId="15345" xr:uid="{00000000-0005-0000-0000-00001C400000}"/>
    <cellStyle name="40% - Accent4 5 2 3 4 2 2" xfId="28894" xr:uid="{00000000-0005-0000-0000-00001D400000}"/>
    <cellStyle name="40% - Accent4 5 2 3 4 3" xfId="24302" xr:uid="{00000000-0005-0000-0000-00001E400000}"/>
    <cellStyle name="40% - Accent4 5 2 3 5" xfId="4149" xr:uid="{00000000-0005-0000-0000-00001F400000}"/>
    <cellStyle name="40% - Accent4 5 2 3 5 2" xfId="16595" xr:uid="{00000000-0005-0000-0000-000020400000}"/>
    <cellStyle name="40% - Accent4 5 2 3 5 2 2" xfId="30002" xr:uid="{00000000-0005-0000-0000-000021400000}"/>
    <cellStyle name="40% - Accent4 5 2 3 5 3" xfId="23164" xr:uid="{00000000-0005-0000-0000-000022400000}"/>
    <cellStyle name="40% - Accent4 5 2 3 6" xfId="9415" xr:uid="{00000000-0005-0000-0000-000023400000}"/>
    <cellStyle name="40% - Accent4 5 2 3 6 2" xfId="23890" xr:uid="{00000000-0005-0000-0000-000024400000}"/>
    <cellStyle name="40% - Accent4 5 2 3 7" xfId="24304" xr:uid="{00000000-0005-0000-0000-000025400000}"/>
    <cellStyle name="40% - Accent4 5 2 4" xfId="4150" xr:uid="{00000000-0005-0000-0000-000026400000}"/>
    <cellStyle name="40% - Accent4 5 2 4 2" xfId="4151" xr:uid="{00000000-0005-0000-0000-000027400000}"/>
    <cellStyle name="40% - Accent4 5 2 4 2 2" xfId="15346" xr:uid="{00000000-0005-0000-0000-000028400000}"/>
    <cellStyle name="40% - Accent4 5 2 4 2 2 2" xfId="28895" xr:uid="{00000000-0005-0000-0000-000029400000}"/>
    <cellStyle name="40% - Accent4 5 2 4 2 3" xfId="24301" xr:uid="{00000000-0005-0000-0000-00002A400000}"/>
    <cellStyle name="40% - Accent4 5 2 4 3" xfId="11139" xr:uid="{00000000-0005-0000-0000-00002B400000}"/>
    <cellStyle name="40% - Accent4 5 2 4 3 2" xfId="25081" xr:uid="{00000000-0005-0000-0000-00002C400000}"/>
    <cellStyle name="40% - Accent4 5 2 4 4" xfId="23163" xr:uid="{00000000-0005-0000-0000-00002D400000}"/>
    <cellStyle name="40% - Accent4 5 2 5" xfId="4152" xr:uid="{00000000-0005-0000-0000-00002E400000}"/>
    <cellStyle name="40% - Accent4 5 2 5 2" xfId="11972" xr:uid="{00000000-0005-0000-0000-00002F400000}"/>
    <cellStyle name="40% - Accent4 5 2 5 2 2" xfId="25687" xr:uid="{00000000-0005-0000-0000-000030400000}"/>
    <cellStyle name="40% - Accent4 5 2 5 3" xfId="23162" xr:uid="{00000000-0005-0000-0000-000031400000}"/>
    <cellStyle name="40% - Accent4 5 2 6" xfId="4153" xr:uid="{00000000-0005-0000-0000-000032400000}"/>
    <cellStyle name="40% - Accent4 5 2 6 2" xfId="12918" xr:uid="{00000000-0005-0000-0000-000033400000}"/>
    <cellStyle name="40% - Accent4 5 2 6 2 2" xfId="26630" xr:uid="{00000000-0005-0000-0000-000034400000}"/>
    <cellStyle name="40% - Accent4 5 2 6 3" xfId="23161" xr:uid="{00000000-0005-0000-0000-000035400000}"/>
    <cellStyle name="40% - Accent4 5 2 7" xfId="4154" xr:uid="{00000000-0005-0000-0000-000036400000}"/>
    <cellStyle name="40% - Accent4 5 2 7 2" xfId="13547" xr:uid="{00000000-0005-0000-0000-000037400000}"/>
    <cellStyle name="40% - Accent4 5 2 7 2 2" xfId="27096" xr:uid="{00000000-0005-0000-0000-000038400000}"/>
    <cellStyle name="40% - Accent4 5 2 7 3" xfId="23238" xr:uid="{00000000-0005-0000-0000-000039400000}"/>
    <cellStyle name="40% - Accent4 5 2 8" xfId="4155" xr:uid="{00000000-0005-0000-0000-00003A400000}"/>
    <cellStyle name="40% - Accent4 5 2 8 2" xfId="14128" xr:uid="{00000000-0005-0000-0000-00003B400000}"/>
    <cellStyle name="40% - Accent4 5 2 8 2 2" xfId="27677" xr:uid="{00000000-0005-0000-0000-00003C400000}"/>
    <cellStyle name="40% - Accent4 5 2 8 3" xfId="30683" xr:uid="{00000000-0005-0000-0000-00003D400000}"/>
    <cellStyle name="40% - Accent4 5 2 9" xfId="4156" xr:uid="{00000000-0005-0000-0000-00003E400000}"/>
    <cellStyle name="40% - Accent4 5 2 9 2" xfId="15341" xr:uid="{00000000-0005-0000-0000-00003F400000}"/>
    <cellStyle name="40% - Accent4 5 2 9 2 2" xfId="28890" xr:uid="{00000000-0005-0000-0000-000040400000}"/>
    <cellStyle name="40% - Accent4 5 2 9 3" xfId="23160" xr:uid="{00000000-0005-0000-0000-000041400000}"/>
    <cellStyle name="40% - Accent4 5 3" xfId="4157" xr:uid="{00000000-0005-0000-0000-000042400000}"/>
    <cellStyle name="40% - Accent4 5 3 10" xfId="9416" xr:uid="{00000000-0005-0000-0000-000043400000}"/>
    <cellStyle name="40% - Accent4 5 3 10 2" xfId="23891" xr:uid="{00000000-0005-0000-0000-000044400000}"/>
    <cellStyle name="40% - Accent4 5 3 11" xfId="23159" xr:uid="{00000000-0005-0000-0000-000045400000}"/>
    <cellStyle name="40% - Accent4 5 3 2" xfId="4158" xr:uid="{00000000-0005-0000-0000-000046400000}"/>
    <cellStyle name="40% - Accent4 5 3 2 2" xfId="4159" xr:uid="{00000000-0005-0000-0000-000047400000}"/>
    <cellStyle name="40% - Accent4 5 3 2 2 2" xfId="11144" xr:uid="{00000000-0005-0000-0000-000048400000}"/>
    <cellStyle name="40% - Accent4 5 3 2 2 2 2" xfId="25086" xr:uid="{00000000-0005-0000-0000-000049400000}"/>
    <cellStyle name="40% - Accent4 5 3 2 2 3" xfId="23206" xr:uid="{00000000-0005-0000-0000-00004A400000}"/>
    <cellStyle name="40% - Accent4 5 3 2 3" xfId="4160" xr:uid="{00000000-0005-0000-0000-00004B400000}"/>
    <cellStyle name="40% - Accent4 5 3 2 3 2" xfId="12923" xr:uid="{00000000-0005-0000-0000-00004C400000}"/>
    <cellStyle name="40% - Accent4 5 3 2 3 2 2" xfId="26635" xr:uid="{00000000-0005-0000-0000-00004D400000}"/>
    <cellStyle name="40% - Accent4 5 3 2 3 3" xfId="24299" xr:uid="{00000000-0005-0000-0000-00004E400000}"/>
    <cellStyle name="40% - Accent4 5 3 2 4" xfId="4161" xr:uid="{00000000-0005-0000-0000-00004F400000}"/>
    <cellStyle name="40% - Accent4 5 3 2 4 2" xfId="15348" xr:uid="{00000000-0005-0000-0000-000050400000}"/>
    <cellStyle name="40% - Accent4 5 3 2 4 2 2" xfId="28897" xr:uid="{00000000-0005-0000-0000-000051400000}"/>
    <cellStyle name="40% - Accent4 5 3 2 4 3" xfId="23157" xr:uid="{00000000-0005-0000-0000-000052400000}"/>
    <cellStyle name="40% - Accent4 5 3 2 5" xfId="4162" xr:uid="{00000000-0005-0000-0000-000053400000}"/>
    <cellStyle name="40% - Accent4 5 3 2 5 2" xfId="16744" xr:uid="{00000000-0005-0000-0000-000054400000}"/>
    <cellStyle name="40% - Accent4 5 3 2 5 2 2" xfId="30151" xr:uid="{00000000-0005-0000-0000-000055400000}"/>
    <cellStyle name="40% - Accent4 5 3 2 5 3" xfId="26867" xr:uid="{00000000-0005-0000-0000-000056400000}"/>
    <cellStyle name="40% - Accent4 5 3 2 6" xfId="9417" xr:uid="{00000000-0005-0000-0000-000057400000}"/>
    <cellStyle name="40% - Accent4 5 3 2 6 2" xfId="23892" xr:uid="{00000000-0005-0000-0000-000058400000}"/>
    <cellStyle name="40% - Accent4 5 3 2 7" xfId="23158" xr:uid="{00000000-0005-0000-0000-000059400000}"/>
    <cellStyle name="40% - Accent4 5 3 3" xfId="4163" xr:uid="{00000000-0005-0000-0000-00005A400000}"/>
    <cellStyle name="40% - Accent4 5 3 3 2" xfId="4164" xr:uid="{00000000-0005-0000-0000-00005B400000}"/>
    <cellStyle name="40% - Accent4 5 3 3 2 2" xfId="15349" xr:uid="{00000000-0005-0000-0000-00005C400000}"/>
    <cellStyle name="40% - Accent4 5 3 3 2 2 2" xfId="28898" xr:uid="{00000000-0005-0000-0000-00005D400000}"/>
    <cellStyle name="40% - Accent4 5 3 3 2 3" xfId="24300" xr:uid="{00000000-0005-0000-0000-00005E400000}"/>
    <cellStyle name="40% - Accent4 5 3 3 3" xfId="11143" xr:uid="{00000000-0005-0000-0000-00005F400000}"/>
    <cellStyle name="40% - Accent4 5 3 3 3 2" xfId="25085" xr:uid="{00000000-0005-0000-0000-000060400000}"/>
    <cellStyle name="40% - Accent4 5 3 3 4" xfId="23156" xr:uid="{00000000-0005-0000-0000-000061400000}"/>
    <cellStyle name="40% - Accent4 5 3 4" xfId="4165" xr:uid="{00000000-0005-0000-0000-000062400000}"/>
    <cellStyle name="40% - Accent4 5 3 4 2" xfId="12132" xr:uid="{00000000-0005-0000-0000-000063400000}"/>
    <cellStyle name="40% - Accent4 5 3 4 2 2" xfId="25844" xr:uid="{00000000-0005-0000-0000-000064400000}"/>
    <cellStyle name="40% - Accent4 5 3 4 3" xfId="23155" xr:uid="{00000000-0005-0000-0000-000065400000}"/>
    <cellStyle name="40% - Accent4 5 3 5" xfId="4166" xr:uid="{00000000-0005-0000-0000-000066400000}"/>
    <cellStyle name="40% - Accent4 5 3 5 2" xfId="12922" xr:uid="{00000000-0005-0000-0000-000067400000}"/>
    <cellStyle name="40% - Accent4 5 3 5 2 2" xfId="26634" xr:uid="{00000000-0005-0000-0000-000068400000}"/>
    <cellStyle name="40% - Accent4 5 3 5 3" xfId="23154" xr:uid="{00000000-0005-0000-0000-000069400000}"/>
    <cellStyle name="40% - Accent4 5 3 6" xfId="4167" xr:uid="{00000000-0005-0000-0000-00006A400000}"/>
    <cellStyle name="40% - Accent4 5 3 6 2" xfId="13696" xr:uid="{00000000-0005-0000-0000-00006B400000}"/>
    <cellStyle name="40% - Accent4 5 3 6 2 2" xfId="27245" xr:uid="{00000000-0005-0000-0000-00006C400000}"/>
    <cellStyle name="40% - Accent4 5 3 6 3" xfId="24297" xr:uid="{00000000-0005-0000-0000-00006D400000}"/>
    <cellStyle name="40% - Accent4 5 3 7" xfId="4168" xr:uid="{00000000-0005-0000-0000-00006E400000}"/>
    <cellStyle name="40% - Accent4 5 3 7 2" xfId="14277" xr:uid="{00000000-0005-0000-0000-00006F400000}"/>
    <cellStyle name="40% - Accent4 5 3 7 2 2" xfId="27826" xr:uid="{00000000-0005-0000-0000-000070400000}"/>
    <cellStyle name="40% - Accent4 5 3 7 3" xfId="23153" xr:uid="{00000000-0005-0000-0000-000071400000}"/>
    <cellStyle name="40% - Accent4 5 3 8" xfId="4169" xr:uid="{00000000-0005-0000-0000-000072400000}"/>
    <cellStyle name="40% - Accent4 5 3 8 2" xfId="15347" xr:uid="{00000000-0005-0000-0000-000073400000}"/>
    <cellStyle name="40% - Accent4 5 3 8 2 2" xfId="28896" xr:uid="{00000000-0005-0000-0000-000074400000}"/>
    <cellStyle name="40% - Accent4 5 3 8 3" xfId="23152" xr:uid="{00000000-0005-0000-0000-000075400000}"/>
    <cellStyle name="40% - Accent4 5 3 9" xfId="4170" xr:uid="{00000000-0005-0000-0000-000076400000}"/>
    <cellStyle name="40% - Accent4 5 3 9 2" xfId="16163" xr:uid="{00000000-0005-0000-0000-000077400000}"/>
    <cellStyle name="40% - Accent4 5 3 9 2 2" xfId="29570" xr:uid="{00000000-0005-0000-0000-000078400000}"/>
    <cellStyle name="40% - Accent4 5 3 9 3" xfId="29172" xr:uid="{00000000-0005-0000-0000-000079400000}"/>
    <cellStyle name="40% - Accent4 5 4" xfId="4171" xr:uid="{00000000-0005-0000-0000-00007A400000}"/>
    <cellStyle name="40% - Accent4 5 4 2" xfId="4172" xr:uid="{00000000-0005-0000-0000-00007B400000}"/>
    <cellStyle name="40% - Accent4 5 4 2 2" xfId="11145" xr:uid="{00000000-0005-0000-0000-00007C400000}"/>
    <cellStyle name="40% - Accent4 5 4 2 2 2" xfId="25087" xr:uid="{00000000-0005-0000-0000-00007D400000}"/>
    <cellStyle name="40% - Accent4 5 4 2 3" xfId="23150" xr:uid="{00000000-0005-0000-0000-00007E400000}"/>
    <cellStyle name="40% - Accent4 5 4 3" xfId="4173" xr:uid="{00000000-0005-0000-0000-00007F400000}"/>
    <cellStyle name="40% - Accent4 5 4 3 2" xfId="12924" xr:uid="{00000000-0005-0000-0000-000080400000}"/>
    <cellStyle name="40% - Accent4 5 4 3 2 2" xfId="26636" xr:uid="{00000000-0005-0000-0000-000081400000}"/>
    <cellStyle name="40% - Accent4 5 4 3 3" xfId="26866" xr:uid="{00000000-0005-0000-0000-000082400000}"/>
    <cellStyle name="40% - Accent4 5 4 4" xfId="4174" xr:uid="{00000000-0005-0000-0000-000083400000}"/>
    <cellStyle name="40% - Accent4 5 4 4 2" xfId="15350" xr:uid="{00000000-0005-0000-0000-000084400000}"/>
    <cellStyle name="40% - Accent4 5 4 4 2 2" xfId="28899" xr:uid="{00000000-0005-0000-0000-000085400000}"/>
    <cellStyle name="40% - Accent4 5 4 4 3" xfId="23149" xr:uid="{00000000-0005-0000-0000-000086400000}"/>
    <cellStyle name="40% - Accent4 5 4 5" xfId="4175" xr:uid="{00000000-0005-0000-0000-000087400000}"/>
    <cellStyle name="40% - Accent4 5 4 5 2" xfId="16452" xr:uid="{00000000-0005-0000-0000-000088400000}"/>
    <cellStyle name="40% - Accent4 5 4 5 2 2" xfId="29859" xr:uid="{00000000-0005-0000-0000-000089400000}"/>
    <cellStyle name="40% - Accent4 5 4 5 3" xfId="23148" xr:uid="{00000000-0005-0000-0000-00008A400000}"/>
    <cellStyle name="40% - Accent4 5 4 6" xfId="9418" xr:uid="{00000000-0005-0000-0000-00008B400000}"/>
    <cellStyle name="40% - Accent4 5 4 6 2" xfId="23893" xr:uid="{00000000-0005-0000-0000-00008C400000}"/>
    <cellStyle name="40% - Accent4 5 4 7" xfId="23151" xr:uid="{00000000-0005-0000-0000-00008D400000}"/>
    <cellStyle name="40% - Accent4 5 5" xfId="4176" xr:uid="{00000000-0005-0000-0000-00008E400000}"/>
    <cellStyle name="40% - Accent4 5 5 2" xfId="4177" xr:uid="{00000000-0005-0000-0000-00008F400000}"/>
    <cellStyle name="40% - Accent4 5 5 2 2" xfId="15351" xr:uid="{00000000-0005-0000-0000-000090400000}"/>
    <cellStyle name="40% - Accent4 5 5 2 2 2" xfId="28900" xr:uid="{00000000-0005-0000-0000-000091400000}"/>
    <cellStyle name="40% - Accent4 5 5 2 3" xfId="23147" xr:uid="{00000000-0005-0000-0000-000092400000}"/>
    <cellStyle name="40% - Accent4 5 5 3" xfId="11138" xr:uid="{00000000-0005-0000-0000-000093400000}"/>
    <cellStyle name="40% - Accent4 5 5 3 2" xfId="25080" xr:uid="{00000000-0005-0000-0000-000094400000}"/>
    <cellStyle name="40% - Accent4 5 5 4" xfId="24298" xr:uid="{00000000-0005-0000-0000-000095400000}"/>
    <cellStyle name="40% - Accent4 5 6" xfId="4178" xr:uid="{00000000-0005-0000-0000-000096400000}"/>
    <cellStyle name="40% - Accent4 5 6 2" xfId="11803" xr:uid="{00000000-0005-0000-0000-000097400000}"/>
    <cellStyle name="40% - Accent4 5 6 2 2" xfId="25518" xr:uid="{00000000-0005-0000-0000-000098400000}"/>
    <cellStyle name="40% - Accent4 5 6 3" xfId="25296" xr:uid="{00000000-0005-0000-0000-000099400000}"/>
    <cellStyle name="40% - Accent4 5 7" xfId="4179" xr:uid="{00000000-0005-0000-0000-00009A400000}"/>
    <cellStyle name="40% - Accent4 5 7 2" xfId="12917" xr:uid="{00000000-0005-0000-0000-00009B400000}"/>
    <cellStyle name="40% - Accent4 5 7 2 2" xfId="26629" xr:uid="{00000000-0005-0000-0000-00009C400000}"/>
    <cellStyle name="40% - Accent4 5 7 3" xfId="23146" xr:uid="{00000000-0005-0000-0000-00009D400000}"/>
    <cellStyle name="40% - Accent4 5 8" xfId="4180" xr:uid="{00000000-0005-0000-0000-00009E400000}"/>
    <cellStyle name="40% - Accent4 5 8 2" xfId="13404" xr:uid="{00000000-0005-0000-0000-00009F400000}"/>
    <cellStyle name="40% - Accent4 5 8 2 2" xfId="26953" xr:uid="{00000000-0005-0000-0000-0000A0400000}"/>
    <cellStyle name="40% - Accent4 5 8 3" xfId="23145" xr:uid="{00000000-0005-0000-0000-0000A1400000}"/>
    <cellStyle name="40% - Accent4 5 9" xfId="4181" xr:uid="{00000000-0005-0000-0000-0000A2400000}"/>
    <cellStyle name="40% - Accent4 5 9 2" xfId="13985" xr:uid="{00000000-0005-0000-0000-0000A3400000}"/>
    <cellStyle name="40% - Accent4 5 9 2 2" xfId="27534" xr:uid="{00000000-0005-0000-0000-0000A4400000}"/>
    <cellStyle name="40% - Accent4 5 9 3" xfId="23144" xr:uid="{00000000-0005-0000-0000-0000A5400000}"/>
    <cellStyle name="40% - Accent4 6" xfId="4182" xr:uid="{00000000-0005-0000-0000-0000A6400000}"/>
    <cellStyle name="40% - Accent4 6 10" xfId="4183" xr:uid="{00000000-0005-0000-0000-0000A7400000}"/>
    <cellStyle name="40% - Accent4 6 10 2" xfId="15352" xr:uid="{00000000-0005-0000-0000-0000A8400000}"/>
    <cellStyle name="40% - Accent4 6 10 2 2" xfId="28901" xr:uid="{00000000-0005-0000-0000-0000A9400000}"/>
    <cellStyle name="40% - Accent4 6 10 3" xfId="23143" xr:uid="{00000000-0005-0000-0000-0000AA400000}"/>
    <cellStyle name="40% - Accent4 6 11" xfId="4184" xr:uid="{00000000-0005-0000-0000-0000AB400000}"/>
    <cellStyle name="40% - Accent4 6 11 2" xfId="15977" xr:uid="{00000000-0005-0000-0000-0000AC400000}"/>
    <cellStyle name="40% - Accent4 6 11 2 2" xfId="29384" xr:uid="{00000000-0005-0000-0000-0000AD400000}"/>
    <cellStyle name="40% - Accent4 6 11 3" xfId="23142" xr:uid="{00000000-0005-0000-0000-0000AE400000}"/>
    <cellStyle name="40% - Accent4 6 12" xfId="9419" xr:uid="{00000000-0005-0000-0000-0000AF400000}"/>
    <cellStyle name="40% - Accent4 6 12 2" xfId="23894" xr:uid="{00000000-0005-0000-0000-0000B0400000}"/>
    <cellStyle name="40% - Accent4 6 13" xfId="24295" xr:uid="{00000000-0005-0000-0000-0000B1400000}"/>
    <cellStyle name="40% - Accent4 6 2" xfId="4185" xr:uid="{00000000-0005-0000-0000-0000B2400000}"/>
    <cellStyle name="40% - Accent4 6 2 10" xfId="4186" xr:uid="{00000000-0005-0000-0000-0000B3400000}"/>
    <cellStyle name="40% - Accent4 6 2 10 2" xfId="16120" xr:uid="{00000000-0005-0000-0000-0000B4400000}"/>
    <cellStyle name="40% - Accent4 6 2 10 2 2" xfId="29527" xr:uid="{00000000-0005-0000-0000-0000B5400000}"/>
    <cellStyle name="40% - Accent4 6 2 10 3" xfId="23141" xr:uid="{00000000-0005-0000-0000-0000B6400000}"/>
    <cellStyle name="40% - Accent4 6 2 11" xfId="9420" xr:uid="{00000000-0005-0000-0000-0000B7400000}"/>
    <cellStyle name="40% - Accent4 6 2 11 2" xfId="23895" xr:uid="{00000000-0005-0000-0000-0000B8400000}"/>
    <cellStyle name="40% - Accent4 6 2 12" xfId="29171" xr:uid="{00000000-0005-0000-0000-0000B9400000}"/>
    <cellStyle name="40% - Accent4 6 2 2" xfId="4187" xr:uid="{00000000-0005-0000-0000-0000BA400000}"/>
    <cellStyle name="40% - Accent4 6 2 2 10" xfId="9421" xr:uid="{00000000-0005-0000-0000-0000BB400000}"/>
    <cellStyle name="40% - Accent4 6 2 2 10 2" xfId="23896" xr:uid="{00000000-0005-0000-0000-0000BC400000}"/>
    <cellStyle name="40% - Accent4 6 2 2 11" xfId="23140" xr:uid="{00000000-0005-0000-0000-0000BD400000}"/>
    <cellStyle name="40% - Accent4 6 2 2 2" xfId="4188" xr:uid="{00000000-0005-0000-0000-0000BE400000}"/>
    <cellStyle name="40% - Accent4 6 2 2 2 2" xfId="4189" xr:uid="{00000000-0005-0000-0000-0000BF400000}"/>
    <cellStyle name="40% - Accent4 6 2 2 2 2 2" xfId="11149" xr:uid="{00000000-0005-0000-0000-0000C0400000}"/>
    <cellStyle name="40% - Accent4 6 2 2 2 2 2 2" xfId="25091" xr:uid="{00000000-0005-0000-0000-0000C1400000}"/>
    <cellStyle name="40% - Accent4 6 2 2 2 2 3" xfId="23139" xr:uid="{00000000-0005-0000-0000-0000C2400000}"/>
    <cellStyle name="40% - Accent4 6 2 2 2 3" xfId="4190" xr:uid="{00000000-0005-0000-0000-0000C3400000}"/>
    <cellStyle name="40% - Accent4 6 2 2 2 3 2" xfId="12928" xr:uid="{00000000-0005-0000-0000-0000C4400000}"/>
    <cellStyle name="40% - Accent4 6 2 2 2 3 2 2" xfId="26640" xr:uid="{00000000-0005-0000-0000-0000C5400000}"/>
    <cellStyle name="40% - Accent4 6 2 2 2 3 3" xfId="23138" xr:uid="{00000000-0005-0000-0000-0000C6400000}"/>
    <cellStyle name="40% - Accent4 6 2 2 2 4" xfId="4191" xr:uid="{00000000-0005-0000-0000-0000C7400000}"/>
    <cellStyle name="40% - Accent4 6 2 2 2 4 2" xfId="15355" xr:uid="{00000000-0005-0000-0000-0000C8400000}"/>
    <cellStyle name="40% - Accent4 6 2 2 2 4 2 2" xfId="28904" xr:uid="{00000000-0005-0000-0000-0000C9400000}"/>
    <cellStyle name="40% - Accent4 6 2 2 2 4 3" xfId="24296" xr:uid="{00000000-0005-0000-0000-0000CA400000}"/>
    <cellStyle name="40% - Accent4 6 2 2 2 5" xfId="4192" xr:uid="{00000000-0005-0000-0000-0000CB400000}"/>
    <cellStyle name="40% - Accent4 6 2 2 2 5 2" xfId="16990" xr:uid="{00000000-0005-0000-0000-0000CC400000}"/>
    <cellStyle name="40% - Accent4 6 2 2 2 5 2 2" xfId="30397" xr:uid="{00000000-0005-0000-0000-0000CD400000}"/>
    <cellStyle name="40% - Accent4 6 2 2 2 5 3" xfId="23137" xr:uid="{00000000-0005-0000-0000-0000CE400000}"/>
    <cellStyle name="40% - Accent4 6 2 2 2 6" xfId="9422" xr:uid="{00000000-0005-0000-0000-0000CF400000}"/>
    <cellStyle name="40% - Accent4 6 2 2 2 6 2" xfId="23897" xr:uid="{00000000-0005-0000-0000-0000D0400000}"/>
    <cellStyle name="40% - Accent4 6 2 2 2 7" xfId="26865" xr:uid="{00000000-0005-0000-0000-0000D1400000}"/>
    <cellStyle name="40% - Accent4 6 2 2 3" xfId="4193" xr:uid="{00000000-0005-0000-0000-0000D2400000}"/>
    <cellStyle name="40% - Accent4 6 2 2 3 2" xfId="4194" xr:uid="{00000000-0005-0000-0000-0000D3400000}"/>
    <cellStyle name="40% - Accent4 6 2 2 3 2 2" xfId="15356" xr:uid="{00000000-0005-0000-0000-0000D4400000}"/>
    <cellStyle name="40% - Accent4 6 2 2 3 2 2 2" xfId="28905" xr:uid="{00000000-0005-0000-0000-0000D5400000}"/>
    <cellStyle name="40% - Accent4 6 2 2 3 2 3" xfId="23136" xr:uid="{00000000-0005-0000-0000-0000D6400000}"/>
    <cellStyle name="40% - Accent4 6 2 2 3 3" xfId="11148" xr:uid="{00000000-0005-0000-0000-0000D7400000}"/>
    <cellStyle name="40% - Accent4 6 2 2 3 3 2" xfId="25090" xr:uid="{00000000-0005-0000-0000-0000D8400000}"/>
    <cellStyle name="40% - Accent4 6 2 2 3 4" xfId="25295" xr:uid="{00000000-0005-0000-0000-0000D9400000}"/>
    <cellStyle name="40% - Accent4 6 2 2 4" xfId="4195" xr:uid="{00000000-0005-0000-0000-0000DA400000}"/>
    <cellStyle name="40% - Accent4 6 2 2 4 2" xfId="12378" xr:uid="{00000000-0005-0000-0000-0000DB400000}"/>
    <cellStyle name="40% - Accent4 6 2 2 4 2 2" xfId="26090" xr:uid="{00000000-0005-0000-0000-0000DC400000}"/>
    <cellStyle name="40% - Accent4 6 2 2 4 3" xfId="23135" xr:uid="{00000000-0005-0000-0000-0000DD400000}"/>
    <cellStyle name="40% - Accent4 6 2 2 5" xfId="4196" xr:uid="{00000000-0005-0000-0000-0000DE400000}"/>
    <cellStyle name="40% - Accent4 6 2 2 5 2" xfId="12927" xr:uid="{00000000-0005-0000-0000-0000DF400000}"/>
    <cellStyle name="40% - Accent4 6 2 2 5 2 2" xfId="26639" xr:uid="{00000000-0005-0000-0000-0000E0400000}"/>
    <cellStyle name="40% - Accent4 6 2 2 5 3" xfId="23134" xr:uid="{00000000-0005-0000-0000-0000E1400000}"/>
    <cellStyle name="40% - Accent4 6 2 2 6" xfId="4197" xr:uid="{00000000-0005-0000-0000-0000E2400000}"/>
    <cellStyle name="40% - Accent4 6 2 2 6 2" xfId="13942" xr:uid="{00000000-0005-0000-0000-0000E3400000}"/>
    <cellStyle name="40% - Accent4 6 2 2 6 2 2" xfId="27491" xr:uid="{00000000-0005-0000-0000-0000E4400000}"/>
    <cellStyle name="40% - Accent4 6 2 2 6 3" xfId="24291" xr:uid="{00000000-0005-0000-0000-0000E5400000}"/>
    <cellStyle name="40% - Accent4 6 2 2 7" xfId="4198" xr:uid="{00000000-0005-0000-0000-0000E6400000}"/>
    <cellStyle name="40% - Accent4 6 2 2 7 2" xfId="14523" xr:uid="{00000000-0005-0000-0000-0000E7400000}"/>
    <cellStyle name="40% - Accent4 6 2 2 7 2 2" xfId="28072" xr:uid="{00000000-0005-0000-0000-0000E8400000}"/>
    <cellStyle name="40% - Accent4 6 2 2 7 3" xfId="23133" xr:uid="{00000000-0005-0000-0000-0000E9400000}"/>
    <cellStyle name="40% - Accent4 6 2 2 8" xfId="4199" xr:uid="{00000000-0005-0000-0000-0000EA400000}"/>
    <cellStyle name="40% - Accent4 6 2 2 8 2" xfId="15354" xr:uid="{00000000-0005-0000-0000-0000EB400000}"/>
    <cellStyle name="40% - Accent4 6 2 2 8 2 2" xfId="28903" xr:uid="{00000000-0005-0000-0000-0000EC400000}"/>
    <cellStyle name="40% - Accent4 6 2 2 8 3" xfId="23132" xr:uid="{00000000-0005-0000-0000-0000ED400000}"/>
    <cellStyle name="40% - Accent4 6 2 2 9" xfId="4200" xr:uid="{00000000-0005-0000-0000-0000EE400000}"/>
    <cellStyle name="40% - Accent4 6 2 2 9 2" xfId="16409" xr:uid="{00000000-0005-0000-0000-0000EF400000}"/>
    <cellStyle name="40% - Accent4 6 2 2 9 2 2" xfId="29816" xr:uid="{00000000-0005-0000-0000-0000F0400000}"/>
    <cellStyle name="40% - Accent4 6 2 2 9 3" xfId="29170" xr:uid="{00000000-0005-0000-0000-0000F1400000}"/>
    <cellStyle name="40% - Accent4 6 2 3" xfId="4201" xr:uid="{00000000-0005-0000-0000-0000F2400000}"/>
    <cellStyle name="40% - Accent4 6 2 3 2" xfId="4202" xr:uid="{00000000-0005-0000-0000-0000F3400000}"/>
    <cellStyle name="40% - Accent4 6 2 3 2 2" xfId="11150" xr:uid="{00000000-0005-0000-0000-0000F4400000}"/>
    <cellStyle name="40% - Accent4 6 2 3 2 2 2" xfId="25092" xr:uid="{00000000-0005-0000-0000-0000F5400000}"/>
    <cellStyle name="40% - Accent4 6 2 3 2 3" xfId="23130" xr:uid="{00000000-0005-0000-0000-0000F6400000}"/>
    <cellStyle name="40% - Accent4 6 2 3 3" xfId="4203" xr:uid="{00000000-0005-0000-0000-0000F7400000}"/>
    <cellStyle name="40% - Accent4 6 2 3 3 2" xfId="12929" xr:uid="{00000000-0005-0000-0000-0000F8400000}"/>
    <cellStyle name="40% - Accent4 6 2 3 3 2 2" xfId="26641" xr:uid="{00000000-0005-0000-0000-0000F9400000}"/>
    <cellStyle name="40% - Accent4 6 2 3 3 3" xfId="26864" xr:uid="{00000000-0005-0000-0000-0000FA400000}"/>
    <cellStyle name="40% - Accent4 6 2 3 4" xfId="4204" xr:uid="{00000000-0005-0000-0000-0000FB400000}"/>
    <cellStyle name="40% - Accent4 6 2 3 4 2" xfId="15357" xr:uid="{00000000-0005-0000-0000-0000FC400000}"/>
    <cellStyle name="40% - Accent4 6 2 3 4 2 2" xfId="28906" xr:uid="{00000000-0005-0000-0000-0000FD400000}"/>
    <cellStyle name="40% - Accent4 6 2 3 4 3" xfId="23129" xr:uid="{00000000-0005-0000-0000-0000FE400000}"/>
    <cellStyle name="40% - Accent4 6 2 3 5" xfId="4205" xr:uid="{00000000-0005-0000-0000-0000FF400000}"/>
    <cellStyle name="40% - Accent4 6 2 3 5 2" xfId="16701" xr:uid="{00000000-0005-0000-0000-000000410000}"/>
    <cellStyle name="40% - Accent4 6 2 3 5 2 2" xfId="30108" xr:uid="{00000000-0005-0000-0000-000001410000}"/>
    <cellStyle name="40% - Accent4 6 2 3 5 3" xfId="23128" xr:uid="{00000000-0005-0000-0000-000002410000}"/>
    <cellStyle name="40% - Accent4 6 2 3 6" xfId="9423" xr:uid="{00000000-0005-0000-0000-000003410000}"/>
    <cellStyle name="40% - Accent4 6 2 3 6 2" xfId="23898" xr:uid="{00000000-0005-0000-0000-000004410000}"/>
    <cellStyle name="40% - Accent4 6 2 3 7" xfId="23131" xr:uid="{00000000-0005-0000-0000-000005410000}"/>
    <cellStyle name="40% - Accent4 6 2 4" xfId="4206" xr:uid="{00000000-0005-0000-0000-000006410000}"/>
    <cellStyle name="40% - Accent4 6 2 4 2" xfId="4207" xr:uid="{00000000-0005-0000-0000-000007410000}"/>
    <cellStyle name="40% - Accent4 6 2 4 2 2" xfId="15358" xr:uid="{00000000-0005-0000-0000-000008410000}"/>
    <cellStyle name="40% - Accent4 6 2 4 2 2 2" xfId="28907" xr:uid="{00000000-0005-0000-0000-000009410000}"/>
    <cellStyle name="40% - Accent4 6 2 4 2 3" xfId="23127" xr:uid="{00000000-0005-0000-0000-00000A410000}"/>
    <cellStyle name="40% - Accent4 6 2 4 3" xfId="11147" xr:uid="{00000000-0005-0000-0000-00000B410000}"/>
    <cellStyle name="40% - Accent4 6 2 4 3 2" xfId="25089" xr:uid="{00000000-0005-0000-0000-00000C410000}"/>
    <cellStyle name="40% - Accent4 6 2 4 4" xfId="24294" xr:uid="{00000000-0005-0000-0000-00000D410000}"/>
    <cellStyle name="40% - Accent4 6 2 5" xfId="4208" xr:uid="{00000000-0005-0000-0000-00000E410000}"/>
    <cellStyle name="40% - Accent4 6 2 5 2" xfId="12078" xr:uid="{00000000-0005-0000-0000-00000F410000}"/>
    <cellStyle name="40% - Accent4 6 2 5 2 2" xfId="25793" xr:uid="{00000000-0005-0000-0000-000010410000}"/>
    <cellStyle name="40% - Accent4 6 2 5 3" xfId="25294" xr:uid="{00000000-0005-0000-0000-000011410000}"/>
    <cellStyle name="40% - Accent4 6 2 6" xfId="4209" xr:uid="{00000000-0005-0000-0000-000012410000}"/>
    <cellStyle name="40% - Accent4 6 2 6 2" xfId="12926" xr:uid="{00000000-0005-0000-0000-000013410000}"/>
    <cellStyle name="40% - Accent4 6 2 6 2 2" xfId="26638" xr:uid="{00000000-0005-0000-0000-000014410000}"/>
    <cellStyle name="40% - Accent4 6 2 6 3" xfId="23126" xr:uid="{00000000-0005-0000-0000-000015410000}"/>
    <cellStyle name="40% - Accent4 6 2 7" xfId="4210" xr:uid="{00000000-0005-0000-0000-000016410000}"/>
    <cellStyle name="40% - Accent4 6 2 7 2" xfId="13653" xr:uid="{00000000-0005-0000-0000-000017410000}"/>
    <cellStyle name="40% - Accent4 6 2 7 2 2" xfId="27202" xr:uid="{00000000-0005-0000-0000-000018410000}"/>
    <cellStyle name="40% - Accent4 6 2 7 3" xfId="23125" xr:uid="{00000000-0005-0000-0000-000019410000}"/>
    <cellStyle name="40% - Accent4 6 2 8" xfId="4211" xr:uid="{00000000-0005-0000-0000-00001A410000}"/>
    <cellStyle name="40% - Accent4 6 2 8 2" xfId="14234" xr:uid="{00000000-0005-0000-0000-00001B410000}"/>
    <cellStyle name="40% - Accent4 6 2 8 2 2" xfId="27783" xr:uid="{00000000-0005-0000-0000-00001C410000}"/>
    <cellStyle name="40% - Accent4 6 2 8 3" xfId="24292" xr:uid="{00000000-0005-0000-0000-00001D410000}"/>
    <cellStyle name="40% - Accent4 6 2 9" xfId="4212" xr:uid="{00000000-0005-0000-0000-00001E410000}"/>
    <cellStyle name="40% - Accent4 6 2 9 2" xfId="15353" xr:uid="{00000000-0005-0000-0000-00001F410000}"/>
    <cellStyle name="40% - Accent4 6 2 9 2 2" xfId="28902" xr:uid="{00000000-0005-0000-0000-000020410000}"/>
    <cellStyle name="40% - Accent4 6 2 9 3" xfId="23124" xr:uid="{00000000-0005-0000-0000-000021410000}"/>
    <cellStyle name="40% - Accent4 6 3" xfId="4213" xr:uid="{00000000-0005-0000-0000-000022410000}"/>
    <cellStyle name="40% - Accent4 6 3 10" xfId="9424" xr:uid="{00000000-0005-0000-0000-000023410000}"/>
    <cellStyle name="40% - Accent4 6 3 10 2" xfId="23899" xr:uid="{00000000-0005-0000-0000-000024410000}"/>
    <cellStyle name="40% - Accent4 6 3 11" xfId="23123" xr:uid="{00000000-0005-0000-0000-000025410000}"/>
    <cellStyle name="40% - Accent4 6 3 2" xfId="4214" xr:uid="{00000000-0005-0000-0000-000026410000}"/>
    <cellStyle name="40% - Accent4 6 3 2 2" xfId="4215" xr:uid="{00000000-0005-0000-0000-000027410000}"/>
    <cellStyle name="40% - Accent4 6 3 2 2 2" xfId="11152" xr:uid="{00000000-0005-0000-0000-000028410000}"/>
    <cellStyle name="40% - Accent4 6 3 2 2 2 2" xfId="25094" xr:uid="{00000000-0005-0000-0000-000029410000}"/>
    <cellStyle name="40% - Accent4 6 3 2 2 3" xfId="23122" xr:uid="{00000000-0005-0000-0000-00002A410000}"/>
    <cellStyle name="40% - Accent4 6 3 2 3" xfId="4216" xr:uid="{00000000-0005-0000-0000-00002B410000}"/>
    <cellStyle name="40% - Accent4 6 3 2 3 2" xfId="12931" xr:uid="{00000000-0005-0000-0000-00002C410000}"/>
    <cellStyle name="40% - Accent4 6 3 2 3 2 2" xfId="26643" xr:uid="{00000000-0005-0000-0000-00002D410000}"/>
    <cellStyle name="40% - Accent4 6 3 2 3 3" xfId="23121" xr:uid="{00000000-0005-0000-0000-00002E410000}"/>
    <cellStyle name="40% - Accent4 6 3 2 4" xfId="4217" xr:uid="{00000000-0005-0000-0000-00002F410000}"/>
    <cellStyle name="40% - Accent4 6 3 2 4 2" xfId="15360" xr:uid="{00000000-0005-0000-0000-000030410000}"/>
    <cellStyle name="40% - Accent4 6 3 2 4 2 2" xfId="28909" xr:uid="{00000000-0005-0000-0000-000031410000}"/>
    <cellStyle name="40% - Accent4 6 3 2 4 3" xfId="26863" xr:uid="{00000000-0005-0000-0000-000032410000}"/>
    <cellStyle name="40% - Accent4 6 3 2 5" xfId="4218" xr:uid="{00000000-0005-0000-0000-000033410000}"/>
    <cellStyle name="40% - Accent4 6 3 2 5 2" xfId="16847" xr:uid="{00000000-0005-0000-0000-000034410000}"/>
    <cellStyle name="40% - Accent4 6 3 2 5 2 2" xfId="30254" xr:uid="{00000000-0005-0000-0000-000035410000}"/>
    <cellStyle name="40% - Accent4 6 3 2 5 3" xfId="23120" xr:uid="{00000000-0005-0000-0000-000036410000}"/>
    <cellStyle name="40% - Accent4 6 3 2 6" xfId="9425" xr:uid="{00000000-0005-0000-0000-000037410000}"/>
    <cellStyle name="40% - Accent4 6 3 2 6 2" xfId="23900" xr:uid="{00000000-0005-0000-0000-000038410000}"/>
    <cellStyle name="40% - Accent4 6 3 2 7" xfId="29169" xr:uid="{00000000-0005-0000-0000-000039410000}"/>
    <cellStyle name="40% - Accent4 6 3 3" xfId="4219" xr:uid="{00000000-0005-0000-0000-00003A410000}"/>
    <cellStyle name="40% - Accent4 6 3 3 2" xfId="4220" xr:uid="{00000000-0005-0000-0000-00003B410000}"/>
    <cellStyle name="40% - Accent4 6 3 3 2 2" xfId="15361" xr:uid="{00000000-0005-0000-0000-00003C410000}"/>
    <cellStyle name="40% - Accent4 6 3 3 2 2 2" xfId="28910" xr:uid="{00000000-0005-0000-0000-00003D410000}"/>
    <cellStyle name="40% - Accent4 6 3 3 2 3" xfId="24293" xr:uid="{00000000-0005-0000-0000-00003E410000}"/>
    <cellStyle name="40% - Accent4 6 3 3 3" xfId="11151" xr:uid="{00000000-0005-0000-0000-00003F410000}"/>
    <cellStyle name="40% - Accent4 6 3 3 3 2" xfId="25093" xr:uid="{00000000-0005-0000-0000-000040410000}"/>
    <cellStyle name="40% - Accent4 6 3 3 4" xfId="23119" xr:uid="{00000000-0005-0000-0000-000041410000}"/>
    <cellStyle name="40% - Accent4 6 3 4" xfId="4221" xr:uid="{00000000-0005-0000-0000-000042410000}"/>
    <cellStyle name="40% - Accent4 6 3 4 2" xfId="12235" xr:uid="{00000000-0005-0000-0000-000043410000}"/>
    <cellStyle name="40% - Accent4 6 3 4 2 2" xfId="25947" xr:uid="{00000000-0005-0000-0000-000044410000}"/>
    <cellStyle name="40% - Accent4 6 3 4 3" xfId="23118" xr:uid="{00000000-0005-0000-0000-000045410000}"/>
    <cellStyle name="40% - Accent4 6 3 5" xfId="4222" xr:uid="{00000000-0005-0000-0000-000046410000}"/>
    <cellStyle name="40% - Accent4 6 3 5 2" xfId="12930" xr:uid="{00000000-0005-0000-0000-000047410000}"/>
    <cellStyle name="40% - Accent4 6 3 5 2 2" xfId="26642" xr:uid="{00000000-0005-0000-0000-000048410000}"/>
    <cellStyle name="40% - Accent4 6 3 5 3" xfId="25293" xr:uid="{00000000-0005-0000-0000-000049410000}"/>
    <cellStyle name="40% - Accent4 6 3 6" xfId="4223" xr:uid="{00000000-0005-0000-0000-00004A410000}"/>
    <cellStyle name="40% - Accent4 6 3 6 2" xfId="13799" xr:uid="{00000000-0005-0000-0000-00004B410000}"/>
    <cellStyle name="40% - Accent4 6 3 6 2 2" xfId="27348" xr:uid="{00000000-0005-0000-0000-00004C410000}"/>
    <cellStyle name="40% - Accent4 6 3 6 3" xfId="23117" xr:uid="{00000000-0005-0000-0000-00004D410000}"/>
    <cellStyle name="40% - Accent4 6 3 7" xfId="4224" xr:uid="{00000000-0005-0000-0000-00004E410000}"/>
    <cellStyle name="40% - Accent4 6 3 7 2" xfId="14380" xr:uid="{00000000-0005-0000-0000-00004F410000}"/>
    <cellStyle name="40% - Accent4 6 3 7 2 2" xfId="27929" xr:uid="{00000000-0005-0000-0000-000050410000}"/>
    <cellStyle name="40% - Accent4 6 3 7 3" xfId="23116" xr:uid="{00000000-0005-0000-0000-000051410000}"/>
    <cellStyle name="40% - Accent4 6 3 8" xfId="4225" xr:uid="{00000000-0005-0000-0000-000052410000}"/>
    <cellStyle name="40% - Accent4 6 3 8 2" xfId="15359" xr:uid="{00000000-0005-0000-0000-000053410000}"/>
    <cellStyle name="40% - Accent4 6 3 8 2 2" xfId="28908" xr:uid="{00000000-0005-0000-0000-000054410000}"/>
    <cellStyle name="40% - Accent4 6 3 8 3" xfId="23115" xr:uid="{00000000-0005-0000-0000-000055410000}"/>
    <cellStyle name="40% - Accent4 6 3 9" xfId="4226" xr:uid="{00000000-0005-0000-0000-000056410000}"/>
    <cellStyle name="40% - Accent4 6 3 9 2" xfId="16266" xr:uid="{00000000-0005-0000-0000-000057410000}"/>
    <cellStyle name="40% - Accent4 6 3 9 2 2" xfId="29673" xr:uid="{00000000-0005-0000-0000-000058410000}"/>
    <cellStyle name="40% - Accent4 6 3 9 3" xfId="23114" xr:uid="{00000000-0005-0000-0000-000059410000}"/>
    <cellStyle name="40% - Accent4 6 4" xfId="4227" xr:uid="{00000000-0005-0000-0000-00005A410000}"/>
    <cellStyle name="40% - Accent4 6 4 2" xfId="4228" xr:uid="{00000000-0005-0000-0000-00005B410000}"/>
    <cellStyle name="40% - Accent4 6 4 2 2" xfId="11153" xr:uid="{00000000-0005-0000-0000-00005C410000}"/>
    <cellStyle name="40% - Accent4 6 4 2 2 2" xfId="25095" xr:uid="{00000000-0005-0000-0000-00005D410000}"/>
    <cellStyle name="40% - Accent4 6 4 2 3" xfId="23112" xr:uid="{00000000-0005-0000-0000-00005E410000}"/>
    <cellStyle name="40% - Accent4 6 4 3" xfId="4229" xr:uid="{00000000-0005-0000-0000-00005F410000}"/>
    <cellStyle name="40% - Accent4 6 4 3 2" xfId="12932" xr:uid="{00000000-0005-0000-0000-000060410000}"/>
    <cellStyle name="40% - Accent4 6 4 3 2 2" xfId="26644" xr:uid="{00000000-0005-0000-0000-000061410000}"/>
    <cellStyle name="40% - Accent4 6 4 3 3" xfId="29168" xr:uid="{00000000-0005-0000-0000-000062410000}"/>
    <cellStyle name="40% - Accent4 6 4 4" xfId="4230" xr:uid="{00000000-0005-0000-0000-000063410000}"/>
    <cellStyle name="40% - Accent4 6 4 4 2" xfId="15362" xr:uid="{00000000-0005-0000-0000-000064410000}"/>
    <cellStyle name="40% - Accent4 6 4 4 2 2" xfId="28911" xr:uid="{00000000-0005-0000-0000-000065410000}"/>
    <cellStyle name="40% - Accent4 6 4 4 3" xfId="23111" xr:uid="{00000000-0005-0000-0000-000066410000}"/>
    <cellStyle name="40% - Accent4 6 4 5" xfId="4231" xr:uid="{00000000-0005-0000-0000-000067410000}"/>
    <cellStyle name="40% - Accent4 6 4 5 2" xfId="16558" xr:uid="{00000000-0005-0000-0000-000068410000}"/>
    <cellStyle name="40% - Accent4 6 4 5 2 2" xfId="29965" xr:uid="{00000000-0005-0000-0000-000069410000}"/>
    <cellStyle name="40% - Accent4 6 4 5 3" xfId="23110" xr:uid="{00000000-0005-0000-0000-00006A410000}"/>
    <cellStyle name="40% - Accent4 6 4 6" xfId="9426" xr:uid="{00000000-0005-0000-0000-00006B410000}"/>
    <cellStyle name="40% - Accent4 6 4 6 2" xfId="23901" xr:uid="{00000000-0005-0000-0000-00006C410000}"/>
    <cellStyle name="40% - Accent4 6 4 7" xfId="23113" xr:uid="{00000000-0005-0000-0000-00006D410000}"/>
    <cellStyle name="40% - Accent4 6 5" xfId="4232" xr:uid="{00000000-0005-0000-0000-00006E410000}"/>
    <cellStyle name="40% - Accent4 6 5 2" xfId="4233" xr:uid="{00000000-0005-0000-0000-00006F410000}"/>
    <cellStyle name="40% - Accent4 6 5 2 2" xfId="15363" xr:uid="{00000000-0005-0000-0000-000070410000}"/>
    <cellStyle name="40% - Accent4 6 5 2 2 2" xfId="28912" xr:uid="{00000000-0005-0000-0000-000071410000}"/>
    <cellStyle name="40% - Accent4 6 5 2 3" xfId="23109" xr:uid="{00000000-0005-0000-0000-000072410000}"/>
    <cellStyle name="40% - Accent4 6 5 3" xfId="11146" xr:uid="{00000000-0005-0000-0000-000073410000}"/>
    <cellStyle name="40% - Accent4 6 5 3 2" xfId="25088" xr:uid="{00000000-0005-0000-0000-000074410000}"/>
    <cellStyle name="40% - Accent4 6 5 4" xfId="26862" xr:uid="{00000000-0005-0000-0000-000075410000}"/>
    <cellStyle name="40% - Accent4 6 6" xfId="4234" xr:uid="{00000000-0005-0000-0000-000076410000}"/>
    <cellStyle name="40% - Accent4 6 6 2" xfId="11933" xr:uid="{00000000-0005-0000-0000-000077410000}"/>
    <cellStyle name="40% - Accent4 6 6 2 2" xfId="25648" xr:uid="{00000000-0005-0000-0000-000078410000}"/>
    <cellStyle name="40% - Accent4 6 6 3" xfId="23108" xr:uid="{00000000-0005-0000-0000-000079410000}"/>
    <cellStyle name="40% - Accent4 6 7" xfId="4235" xr:uid="{00000000-0005-0000-0000-00007A410000}"/>
    <cellStyle name="40% - Accent4 6 7 2" xfId="12925" xr:uid="{00000000-0005-0000-0000-00007B410000}"/>
    <cellStyle name="40% - Accent4 6 7 2 2" xfId="26637" xr:uid="{00000000-0005-0000-0000-00007C410000}"/>
    <cellStyle name="40% - Accent4 6 7 3" xfId="24290" xr:uid="{00000000-0005-0000-0000-00007D410000}"/>
    <cellStyle name="40% - Accent4 6 8" xfId="4236" xr:uid="{00000000-0005-0000-0000-00007E410000}"/>
    <cellStyle name="40% - Accent4 6 8 2" xfId="13510" xr:uid="{00000000-0005-0000-0000-00007F410000}"/>
    <cellStyle name="40% - Accent4 6 8 2 2" xfId="27059" xr:uid="{00000000-0005-0000-0000-000080410000}"/>
    <cellStyle name="40% - Accent4 6 8 3" xfId="25292" xr:uid="{00000000-0005-0000-0000-000081410000}"/>
    <cellStyle name="40% - Accent4 6 9" xfId="4237" xr:uid="{00000000-0005-0000-0000-000082410000}"/>
    <cellStyle name="40% - Accent4 6 9 2" xfId="14091" xr:uid="{00000000-0005-0000-0000-000083410000}"/>
    <cellStyle name="40% - Accent4 6 9 2 2" xfId="27640" xr:uid="{00000000-0005-0000-0000-000084410000}"/>
    <cellStyle name="40% - Accent4 6 9 3" xfId="23107" xr:uid="{00000000-0005-0000-0000-000085410000}"/>
    <cellStyle name="40% - Accent4 7" xfId="4238" xr:uid="{00000000-0005-0000-0000-000086410000}"/>
    <cellStyle name="40% - Accent4 7 10" xfId="4239" xr:uid="{00000000-0005-0000-0000-000087410000}"/>
    <cellStyle name="40% - Accent4 7 10 2" xfId="15995" xr:uid="{00000000-0005-0000-0000-000088410000}"/>
    <cellStyle name="40% - Accent4 7 10 2 2" xfId="29402" xr:uid="{00000000-0005-0000-0000-000089410000}"/>
    <cellStyle name="40% - Accent4 7 10 3" xfId="24289" xr:uid="{00000000-0005-0000-0000-00008A410000}"/>
    <cellStyle name="40% - Accent4 7 11" xfId="9427" xr:uid="{00000000-0005-0000-0000-00008B410000}"/>
    <cellStyle name="40% - Accent4 7 11 2" xfId="23902" xr:uid="{00000000-0005-0000-0000-00008C410000}"/>
    <cellStyle name="40% - Accent4 7 12" xfId="23106" xr:uid="{00000000-0005-0000-0000-00008D410000}"/>
    <cellStyle name="40% - Accent4 7 2" xfId="4240" xr:uid="{00000000-0005-0000-0000-00008E410000}"/>
    <cellStyle name="40% - Accent4 7 2 10" xfId="9428" xr:uid="{00000000-0005-0000-0000-00008F410000}"/>
    <cellStyle name="40% - Accent4 7 2 10 2" xfId="23903" xr:uid="{00000000-0005-0000-0000-000090410000}"/>
    <cellStyle name="40% - Accent4 7 2 11" xfId="23105" xr:uid="{00000000-0005-0000-0000-000091410000}"/>
    <cellStyle name="40% - Accent4 7 2 2" xfId="4241" xr:uid="{00000000-0005-0000-0000-000092410000}"/>
    <cellStyle name="40% - Accent4 7 2 2 2" xfId="4242" xr:uid="{00000000-0005-0000-0000-000093410000}"/>
    <cellStyle name="40% - Accent4 7 2 2 2 2" xfId="11156" xr:uid="{00000000-0005-0000-0000-000094410000}"/>
    <cellStyle name="40% - Accent4 7 2 2 2 2 2" xfId="25098" xr:uid="{00000000-0005-0000-0000-000095410000}"/>
    <cellStyle name="40% - Accent4 7 2 2 2 3" xfId="24287" xr:uid="{00000000-0005-0000-0000-000096410000}"/>
    <cellStyle name="40% - Accent4 7 2 2 3" xfId="4243" xr:uid="{00000000-0005-0000-0000-000097410000}"/>
    <cellStyle name="40% - Accent4 7 2 2 3 2" xfId="12935" xr:uid="{00000000-0005-0000-0000-000098410000}"/>
    <cellStyle name="40% - Accent4 7 2 2 3 2 2" xfId="26647" xr:uid="{00000000-0005-0000-0000-000099410000}"/>
    <cellStyle name="40% - Accent4 7 2 2 3 3" xfId="23103" xr:uid="{00000000-0005-0000-0000-00009A410000}"/>
    <cellStyle name="40% - Accent4 7 2 2 4" xfId="4244" xr:uid="{00000000-0005-0000-0000-00009B410000}"/>
    <cellStyle name="40% - Accent4 7 2 2 4 2" xfId="15366" xr:uid="{00000000-0005-0000-0000-00009C410000}"/>
    <cellStyle name="40% - Accent4 7 2 2 4 2 2" xfId="28915" xr:uid="{00000000-0005-0000-0000-00009D410000}"/>
    <cellStyle name="40% - Accent4 7 2 2 4 3" xfId="23102" xr:uid="{00000000-0005-0000-0000-00009E410000}"/>
    <cellStyle name="40% - Accent4 7 2 2 5" xfId="4245" xr:uid="{00000000-0005-0000-0000-00009F410000}"/>
    <cellStyle name="40% - Accent4 7 2 2 5 2" xfId="16865" xr:uid="{00000000-0005-0000-0000-0000A0410000}"/>
    <cellStyle name="40% - Accent4 7 2 2 5 2 2" xfId="30272" xr:uid="{00000000-0005-0000-0000-0000A1410000}"/>
    <cellStyle name="40% - Accent4 7 2 2 5 3" xfId="29167" xr:uid="{00000000-0005-0000-0000-0000A2410000}"/>
    <cellStyle name="40% - Accent4 7 2 2 6" xfId="9429" xr:uid="{00000000-0005-0000-0000-0000A3410000}"/>
    <cellStyle name="40% - Accent4 7 2 2 6 2" xfId="23904" xr:uid="{00000000-0005-0000-0000-0000A4410000}"/>
    <cellStyle name="40% - Accent4 7 2 2 7" xfId="23104" xr:uid="{00000000-0005-0000-0000-0000A5410000}"/>
    <cellStyle name="40% - Accent4 7 2 3" xfId="4246" xr:uid="{00000000-0005-0000-0000-0000A6410000}"/>
    <cellStyle name="40% - Accent4 7 2 3 2" xfId="4247" xr:uid="{00000000-0005-0000-0000-0000A7410000}"/>
    <cellStyle name="40% - Accent4 7 2 3 2 2" xfId="15367" xr:uid="{00000000-0005-0000-0000-0000A8410000}"/>
    <cellStyle name="40% - Accent4 7 2 3 2 2 2" xfId="28916" xr:uid="{00000000-0005-0000-0000-0000A9410000}"/>
    <cellStyle name="40% - Accent4 7 2 3 2 3" xfId="23100" xr:uid="{00000000-0005-0000-0000-0000AA410000}"/>
    <cellStyle name="40% - Accent4 7 2 3 3" xfId="11155" xr:uid="{00000000-0005-0000-0000-0000AB410000}"/>
    <cellStyle name="40% - Accent4 7 2 3 3 2" xfId="25097" xr:uid="{00000000-0005-0000-0000-0000AC410000}"/>
    <cellStyle name="40% - Accent4 7 2 3 4" xfId="23101" xr:uid="{00000000-0005-0000-0000-0000AD410000}"/>
    <cellStyle name="40% - Accent4 7 2 4" xfId="4248" xr:uid="{00000000-0005-0000-0000-0000AE410000}"/>
    <cellStyle name="40% - Accent4 7 2 4 2" xfId="12253" xr:uid="{00000000-0005-0000-0000-0000AF410000}"/>
    <cellStyle name="40% - Accent4 7 2 4 2 2" xfId="25965" xr:uid="{00000000-0005-0000-0000-0000B0410000}"/>
    <cellStyle name="40% - Accent4 7 2 4 3" xfId="26861" xr:uid="{00000000-0005-0000-0000-0000B1410000}"/>
    <cellStyle name="40% - Accent4 7 2 5" xfId="4249" xr:uid="{00000000-0005-0000-0000-0000B2410000}"/>
    <cellStyle name="40% - Accent4 7 2 5 2" xfId="12934" xr:uid="{00000000-0005-0000-0000-0000B3410000}"/>
    <cellStyle name="40% - Accent4 7 2 5 2 2" xfId="26646" xr:uid="{00000000-0005-0000-0000-0000B4410000}"/>
    <cellStyle name="40% - Accent4 7 2 5 3" xfId="23099" xr:uid="{00000000-0005-0000-0000-0000B5410000}"/>
    <cellStyle name="40% - Accent4 7 2 6" xfId="4250" xr:uid="{00000000-0005-0000-0000-0000B6410000}"/>
    <cellStyle name="40% - Accent4 7 2 6 2" xfId="13817" xr:uid="{00000000-0005-0000-0000-0000B7410000}"/>
    <cellStyle name="40% - Accent4 7 2 6 2 2" xfId="27366" xr:uid="{00000000-0005-0000-0000-0000B8410000}"/>
    <cellStyle name="40% - Accent4 7 2 6 3" xfId="23098" xr:uid="{00000000-0005-0000-0000-0000B9410000}"/>
    <cellStyle name="40% - Accent4 7 2 7" xfId="4251" xr:uid="{00000000-0005-0000-0000-0000BA410000}"/>
    <cellStyle name="40% - Accent4 7 2 7 2" xfId="14398" xr:uid="{00000000-0005-0000-0000-0000BB410000}"/>
    <cellStyle name="40% - Accent4 7 2 7 2 2" xfId="27947" xr:uid="{00000000-0005-0000-0000-0000BC410000}"/>
    <cellStyle name="40% - Accent4 7 2 7 3" xfId="24288" xr:uid="{00000000-0005-0000-0000-0000BD410000}"/>
    <cellStyle name="40% - Accent4 7 2 8" xfId="4252" xr:uid="{00000000-0005-0000-0000-0000BE410000}"/>
    <cellStyle name="40% - Accent4 7 2 8 2" xfId="15365" xr:uid="{00000000-0005-0000-0000-0000BF410000}"/>
    <cellStyle name="40% - Accent4 7 2 8 2 2" xfId="28914" xr:uid="{00000000-0005-0000-0000-0000C0410000}"/>
    <cellStyle name="40% - Accent4 7 2 8 3" xfId="23097" xr:uid="{00000000-0005-0000-0000-0000C1410000}"/>
    <cellStyle name="40% - Accent4 7 2 9" xfId="4253" xr:uid="{00000000-0005-0000-0000-0000C2410000}"/>
    <cellStyle name="40% - Accent4 7 2 9 2" xfId="16284" xr:uid="{00000000-0005-0000-0000-0000C3410000}"/>
    <cellStyle name="40% - Accent4 7 2 9 2 2" xfId="29691" xr:uid="{00000000-0005-0000-0000-0000C4410000}"/>
    <cellStyle name="40% - Accent4 7 2 9 3" xfId="25291" xr:uid="{00000000-0005-0000-0000-0000C5410000}"/>
    <cellStyle name="40% - Accent4 7 3" xfId="4254" xr:uid="{00000000-0005-0000-0000-0000C6410000}"/>
    <cellStyle name="40% - Accent4 7 3 2" xfId="4255" xr:uid="{00000000-0005-0000-0000-0000C7410000}"/>
    <cellStyle name="40% - Accent4 7 3 2 2" xfId="11157" xr:uid="{00000000-0005-0000-0000-0000C8410000}"/>
    <cellStyle name="40% - Accent4 7 3 2 2 2" xfId="25099" xr:uid="{00000000-0005-0000-0000-0000C9410000}"/>
    <cellStyle name="40% - Accent4 7 3 2 3" xfId="23095" xr:uid="{00000000-0005-0000-0000-0000CA410000}"/>
    <cellStyle name="40% - Accent4 7 3 3" xfId="4256" xr:uid="{00000000-0005-0000-0000-0000CB410000}"/>
    <cellStyle name="40% - Accent4 7 3 3 2" xfId="12936" xr:uid="{00000000-0005-0000-0000-0000CC410000}"/>
    <cellStyle name="40% - Accent4 7 3 3 2 2" xfId="26648" xr:uid="{00000000-0005-0000-0000-0000CD410000}"/>
    <cellStyle name="40% - Accent4 7 3 3 3" xfId="23094" xr:uid="{00000000-0005-0000-0000-0000CE410000}"/>
    <cellStyle name="40% - Accent4 7 3 4" xfId="4257" xr:uid="{00000000-0005-0000-0000-0000CF410000}"/>
    <cellStyle name="40% - Accent4 7 3 4 2" xfId="15368" xr:uid="{00000000-0005-0000-0000-0000D0410000}"/>
    <cellStyle name="40% - Accent4 7 3 4 2 2" xfId="28917" xr:uid="{00000000-0005-0000-0000-0000D1410000}"/>
    <cellStyle name="40% - Accent4 7 3 4 3" xfId="24283" xr:uid="{00000000-0005-0000-0000-0000D2410000}"/>
    <cellStyle name="40% - Accent4 7 3 5" xfId="4258" xr:uid="{00000000-0005-0000-0000-0000D3410000}"/>
    <cellStyle name="40% - Accent4 7 3 5 2" xfId="16576" xr:uid="{00000000-0005-0000-0000-0000D4410000}"/>
    <cellStyle name="40% - Accent4 7 3 5 2 2" xfId="29983" xr:uid="{00000000-0005-0000-0000-0000D5410000}"/>
    <cellStyle name="40% - Accent4 7 3 5 3" xfId="23093" xr:uid="{00000000-0005-0000-0000-0000D6410000}"/>
    <cellStyle name="40% - Accent4 7 3 6" xfId="9430" xr:uid="{00000000-0005-0000-0000-0000D7410000}"/>
    <cellStyle name="40% - Accent4 7 3 6 2" xfId="23905" xr:uid="{00000000-0005-0000-0000-0000D8410000}"/>
    <cellStyle name="40% - Accent4 7 3 7" xfId="23096" xr:uid="{00000000-0005-0000-0000-0000D9410000}"/>
    <cellStyle name="40% - Accent4 7 4" xfId="4259" xr:uid="{00000000-0005-0000-0000-0000DA410000}"/>
    <cellStyle name="40% - Accent4 7 4 2" xfId="4260" xr:uid="{00000000-0005-0000-0000-0000DB410000}"/>
    <cellStyle name="40% - Accent4 7 4 2 2" xfId="15369" xr:uid="{00000000-0005-0000-0000-0000DC410000}"/>
    <cellStyle name="40% - Accent4 7 4 2 2 2" xfId="28918" xr:uid="{00000000-0005-0000-0000-0000DD410000}"/>
    <cellStyle name="40% - Accent4 7 4 2 3" xfId="29166" xr:uid="{00000000-0005-0000-0000-0000DE410000}"/>
    <cellStyle name="40% - Accent4 7 4 3" xfId="11154" xr:uid="{00000000-0005-0000-0000-0000DF410000}"/>
    <cellStyle name="40% - Accent4 7 4 3 2" xfId="25096" xr:uid="{00000000-0005-0000-0000-0000E0410000}"/>
    <cellStyle name="40% - Accent4 7 4 4" xfId="23092" xr:uid="{00000000-0005-0000-0000-0000E1410000}"/>
    <cellStyle name="40% - Accent4 7 5" xfId="4261" xr:uid="{00000000-0005-0000-0000-0000E2410000}"/>
    <cellStyle name="40% - Accent4 7 5 2" xfId="11951" xr:uid="{00000000-0005-0000-0000-0000E3410000}"/>
    <cellStyle name="40% - Accent4 7 5 2 2" xfId="25666" xr:uid="{00000000-0005-0000-0000-0000E4410000}"/>
    <cellStyle name="40% - Accent4 7 5 3" xfId="23091" xr:uid="{00000000-0005-0000-0000-0000E5410000}"/>
    <cellStyle name="40% - Accent4 7 6" xfId="4262" xr:uid="{00000000-0005-0000-0000-0000E6410000}"/>
    <cellStyle name="40% - Accent4 7 6 2" xfId="12933" xr:uid="{00000000-0005-0000-0000-0000E7410000}"/>
    <cellStyle name="40% - Accent4 7 6 2 2" xfId="26645" xr:uid="{00000000-0005-0000-0000-0000E8410000}"/>
    <cellStyle name="40% - Accent4 7 6 3" xfId="23090" xr:uid="{00000000-0005-0000-0000-0000E9410000}"/>
    <cellStyle name="40% - Accent4 7 7" xfId="4263" xr:uid="{00000000-0005-0000-0000-0000EA410000}"/>
    <cellStyle name="40% - Accent4 7 7 2" xfId="13528" xr:uid="{00000000-0005-0000-0000-0000EB410000}"/>
    <cellStyle name="40% - Accent4 7 7 2 2" xfId="27077" xr:uid="{00000000-0005-0000-0000-0000EC410000}"/>
    <cellStyle name="40% - Accent4 7 7 3" xfId="26860" xr:uid="{00000000-0005-0000-0000-0000ED410000}"/>
    <cellStyle name="40% - Accent4 7 8" xfId="4264" xr:uid="{00000000-0005-0000-0000-0000EE410000}"/>
    <cellStyle name="40% - Accent4 7 8 2" xfId="14109" xr:uid="{00000000-0005-0000-0000-0000EF410000}"/>
    <cellStyle name="40% - Accent4 7 8 2 2" xfId="27658" xr:uid="{00000000-0005-0000-0000-0000F0410000}"/>
    <cellStyle name="40% - Accent4 7 8 3" xfId="23089" xr:uid="{00000000-0005-0000-0000-0000F1410000}"/>
    <cellStyle name="40% - Accent4 7 9" xfId="4265" xr:uid="{00000000-0005-0000-0000-0000F2410000}"/>
    <cellStyle name="40% - Accent4 7 9 2" xfId="15364" xr:uid="{00000000-0005-0000-0000-0000F3410000}"/>
    <cellStyle name="40% - Accent4 7 9 2 2" xfId="28913" xr:uid="{00000000-0005-0000-0000-0000F4410000}"/>
    <cellStyle name="40% - Accent4 7 9 3" xfId="23088" xr:uid="{00000000-0005-0000-0000-0000F5410000}"/>
    <cellStyle name="40% - Accent4 8" xfId="4266" xr:uid="{00000000-0005-0000-0000-0000F6410000}"/>
    <cellStyle name="40% - Accent4 8 10" xfId="9431" xr:uid="{00000000-0005-0000-0000-0000F7410000}"/>
    <cellStyle name="40% - Accent4 8 10 2" xfId="23906" xr:uid="{00000000-0005-0000-0000-0000F8410000}"/>
    <cellStyle name="40% - Accent4 8 11" xfId="24286" xr:uid="{00000000-0005-0000-0000-0000F9410000}"/>
    <cellStyle name="40% - Accent4 8 2" xfId="4267" xr:uid="{00000000-0005-0000-0000-0000FA410000}"/>
    <cellStyle name="40% - Accent4 8 2 2" xfId="4268" xr:uid="{00000000-0005-0000-0000-0000FB410000}"/>
    <cellStyle name="40% - Accent4 8 2 2 2" xfId="11159" xr:uid="{00000000-0005-0000-0000-0000FC410000}"/>
    <cellStyle name="40% - Accent4 8 2 2 2 2" xfId="25101" xr:uid="{00000000-0005-0000-0000-0000FD410000}"/>
    <cellStyle name="40% - Accent4 8 2 2 3" xfId="25290" xr:uid="{00000000-0005-0000-0000-0000FE410000}"/>
    <cellStyle name="40% - Accent4 8 2 3" xfId="4269" xr:uid="{00000000-0005-0000-0000-0000FF410000}"/>
    <cellStyle name="40% - Accent4 8 2 3 2" xfId="12938" xr:uid="{00000000-0005-0000-0000-000000420000}"/>
    <cellStyle name="40% - Accent4 8 2 3 2 2" xfId="26650" xr:uid="{00000000-0005-0000-0000-000001420000}"/>
    <cellStyle name="40% - Accent4 8 2 3 3" xfId="23086" xr:uid="{00000000-0005-0000-0000-000002420000}"/>
    <cellStyle name="40% - Accent4 8 2 4" xfId="4270" xr:uid="{00000000-0005-0000-0000-000003420000}"/>
    <cellStyle name="40% - Accent4 8 2 4 2" xfId="15371" xr:uid="{00000000-0005-0000-0000-000004420000}"/>
    <cellStyle name="40% - Accent4 8 2 4 2 2" xfId="28920" xr:uid="{00000000-0005-0000-0000-000005420000}"/>
    <cellStyle name="40% - Accent4 8 2 4 3" xfId="23085" xr:uid="{00000000-0005-0000-0000-000006420000}"/>
    <cellStyle name="40% - Accent4 8 2 5" xfId="4271" xr:uid="{00000000-0005-0000-0000-000007420000}"/>
    <cellStyle name="40% - Accent4 8 2 5 2" xfId="16721" xr:uid="{00000000-0005-0000-0000-000008420000}"/>
    <cellStyle name="40% - Accent4 8 2 5 2 2" xfId="30128" xr:uid="{00000000-0005-0000-0000-000009420000}"/>
    <cellStyle name="40% - Accent4 8 2 5 3" xfId="24284" xr:uid="{00000000-0005-0000-0000-00000A420000}"/>
    <cellStyle name="40% - Accent4 8 2 6" xfId="9432" xr:uid="{00000000-0005-0000-0000-00000B420000}"/>
    <cellStyle name="40% - Accent4 8 2 6 2" xfId="23907" xr:uid="{00000000-0005-0000-0000-00000C420000}"/>
    <cellStyle name="40% - Accent4 8 2 7" xfId="23087" xr:uid="{00000000-0005-0000-0000-00000D420000}"/>
    <cellStyle name="40% - Accent4 8 3" xfId="4272" xr:uid="{00000000-0005-0000-0000-00000E420000}"/>
    <cellStyle name="40% - Accent4 8 3 2" xfId="4273" xr:uid="{00000000-0005-0000-0000-00000F420000}"/>
    <cellStyle name="40% - Accent4 8 3 2 2" xfId="15372" xr:uid="{00000000-0005-0000-0000-000010420000}"/>
    <cellStyle name="40% - Accent4 8 3 2 2 2" xfId="28921" xr:uid="{00000000-0005-0000-0000-000011420000}"/>
    <cellStyle name="40% - Accent4 8 3 2 3" xfId="23083" xr:uid="{00000000-0005-0000-0000-000012420000}"/>
    <cellStyle name="40% - Accent4 8 3 3" xfId="11158" xr:uid="{00000000-0005-0000-0000-000013420000}"/>
    <cellStyle name="40% - Accent4 8 3 3 2" xfId="25100" xr:uid="{00000000-0005-0000-0000-000014420000}"/>
    <cellStyle name="40% - Accent4 8 3 4" xfId="23084" xr:uid="{00000000-0005-0000-0000-000015420000}"/>
    <cellStyle name="40% - Accent4 8 4" xfId="4274" xr:uid="{00000000-0005-0000-0000-000016420000}"/>
    <cellStyle name="40% - Accent4 8 4 2" xfId="12099" xr:uid="{00000000-0005-0000-0000-000017420000}"/>
    <cellStyle name="40% - Accent4 8 4 2 2" xfId="25813" xr:uid="{00000000-0005-0000-0000-000018420000}"/>
    <cellStyle name="40% - Accent4 8 4 3" xfId="29165" xr:uid="{00000000-0005-0000-0000-000019420000}"/>
    <cellStyle name="40% - Accent4 8 5" xfId="4275" xr:uid="{00000000-0005-0000-0000-00001A420000}"/>
    <cellStyle name="40% - Accent4 8 5 2" xfId="12937" xr:uid="{00000000-0005-0000-0000-00001B420000}"/>
    <cellStyle name="40% - Accent4 8 5 2 2" xfId="26649" xr:uid="{00000000-0005-0000-0000-00001C420000}"/>
    <cellStyle name="40% - Accent4 8 5 3" xfId="23082" xr:uid="{00000000-0005-0000-0000-00001D420000}"/>
    <cellStyle name="40% - Accent4 8 6" xfId="4276" xr:uid="{00000000-0005-0000-0000-00001E420000}"/>
    <cellStyle name="40% - Accent4 8 6 2" xfId="13673" xr:uid="{00000000-0005-0000-0000-00001F420000}"/>
    <cellStyle name="40% - Accent4 8 6 2 2" xfId="27222" xr:uid="{00000000-0005-0000-0000-000020420000}"/>
    <cellStyle name="40% - Accent4 8 6 3" xfId="23081" xr:uid="{00000000-0005-0000-0000-000021420000}"/>
    <cellStyle name="40% - Accent4 8 7" xfId="4277" xr:uid="{00000000-0005-0000-0000-000022420000}"/>
    <cellStyle name="40% - Accent4 8 7 2" xfId="14254" xr:uid="{00000000-0005-0000-0000-000023420000}"/>
    <cellStyle name="40% - Accent4 8 7 2 2" xfId="27803" xr:uid="{00000000-0005-0000-0000-000024420000}"/>
    <cellStyle name="40% - Accent4 8 7 3" xfId="26859" xr:uid="{00000000-0005-0000-0000-000025420000}"/>
    <cellStyle name="40% - Accent4 8 8" xfId="4278" xr:uid="{00000000-0005-0000-0000-000026420000}"/>
    <cellStyle name="40% - Accent4 8 8 2" xfId="15370" xr:uid="{00000000-0005-0000-0000-000027420000}"/>
    <cellStyle name="40% - Accent4 8 8 2 2" xfId="28919" xr:uid="{00000000-0005-0000-0000-000028420000}"/>
    <cellStyle name="40% - Accent4 8 8 3" xfId="23080" xr:uid="{00000000-0005-0000-0000-000029420000}"/>
    <cellStyle name="40% - Accent4 8 9" xfId="4279" xr:uid="{00000000-0005-0000-0000-00002A420000}"/>
    <cellStyle name="40% - Accent4 8 9 2" xfId="16140" xr:uid="{00000000-0005-0000-0000-00002B420000}"/>
    <cellStyle name="40% - Accent4 8 9 2 2" xfId="29547" xr:uid="{00000000-0005-0000-0000-00002C420000}"/>
    <cellStyle name="40% - Accent4 8 9 3" xfId="23079" xr:uid="{00000000-0005-0000-0000-00002D420000}"/>
    <cellStyle name="40% - Accent4 9" xfId="4280" xr:uid="{00000000-0005-0000-0000-00002E420000}"/>
    <cellStyle name="40% - Accent4 9 2" xfId="4281" xr:uid="{00000000-0005-0000-0000-00002F420000}"/>
    <cellStyle name="40% - Accent4 9 2 2" xfId="11160" xr:uid="{00000000-0005-0000-0000-000030420000}"/>
    <cellStyle name="40% - Accent4 9 2 2 2" xfId="25102" xr:uid="{00000000-0005-0000-0000-000031420000}"/>
    <cellStyle name="40% - Accent4 9 2 3" xfId="23078" xr:uid="{00000000-0005-0000-0000-000032420000}"/>
    <cellStyle name="40% - Accent4 9 3" xfId="4282" xr:uid="{00000000-0005-0000-0000-000033420000}"/>
    <cellStyle name="40% - Accent4 9 3 2" xfId="12939" xr:uid="{00000000-0005-0000-0000-000034420000}"/>
    <cellStyle name="40% - Accent4 9 3 2 2" xfId="26651" xr:uid="{00000000-0005-0000-0000-000035420000}"/>
    <cellStyle name="40% - Accent4 9 3 3" xfId="25289" xr:uid="{00000000-0005-0000-0000-000036420000}"/>
    <cellStyle name="40% - Accent4 9 4" xfId="4283" xr:uid="{00000000-0005-0000-0000-000037420000}"/>
    <cellStyle name="40% - Accent4 9 4 2" xfId="15373" xr:uid="{00000000-0005-0000-0000-000038420000}"/>
    <cellStyle name="40% - Accent4 9 4 2 2" xfId="28922" xr:uid="{00000000-0005-0000-0000-000039420000}"/>
    <cellStyle name="40% - Accent4 9 4 3" xfId="23077" xr:uid="{00000000-0005-0000-0000-00003A420000}"/>
    <cellStyle name="40% - Accent4 9 5" xfId="4284" xr:uid="{00000000-0005-0000-0000-00003B420000}"/>
    <cellStyle name="40% - Accent4 9 5 2" xfId="17105" xr:uid="{00000000-0005-0000-0000-00003C420000}"/>
    <cellStyle name="40% - Accent4 9 5 2 2" xfId="30464" xr:uid="{00000000-0005-0000-0000-00003D420000}"/>
    <cellStyle name="40% - Accent4 9 5 3" xfId="23076" xr:uid="{00000000-0005-0000-0000-00003E420000}"/>
    <cellStyle name="40% - Accent4 9 6" xfId="9433" xr:uid="{00000000-0005-0000-0000-00003F420000}"/>
    <cellStyle name="40% - Accent4 9 6 2" xfId="23908" xr:uid="{00000000-0005-0000-0000-000040420000}"/>
    <cellStyle name="40% - Accent4 9 7" xfId="24285" xr:uid="{00000000-0005-0000-0000-000041420000}"/>
    <cellStyle name="40% - Accent5" xfId="44" builtinId="47" customBuiltin="1"/>
    <cellStyle name="40% - Accent5 10" xfId="4285" xr:uid="{00000000-0005-0000-0000-000043420000}"/>
    <cellStyle name="40% - Accent5 10 2" xfId="4286" xr:uid="{00000000-0005-0000-0000-000044420000}"/>
    <cellStyle name="40% - Accent5 10 2 2" xfId="4287" xr:uid="{00000000-0005-0000-0000-000045420000}"/>
    <cellStyle name="40% - Accent5 10 2 2 2" xfId="12942" xr:uid="{00000000-0005-0000-0000-000046420000}"/>
    <cellStyle name="40% - Accent5 10 2 2 2 2" xfId="26654" xr:uid="{00000000-0005-0000-0000-000047420000}"/>
    <cellStyle name="40% - Accent5 10 2 2 3" xfId="24282" xr:uid="{00000000-0005-0000-0000-000048420000}"/>
    <cellStyle name="40% - Accent5 10 2 3" xfId="4288" xr:uid="{00000000-0005-0000-0000-000049420000}"/>
    <cellStyle name="40% - Accent5 10 2 3 2" xfId="15376" xr:uid="{00000000-0005-0000-0000-00004A420000}"/>
    <cellStyle name="40% - Accent5 10 2 3 2 2" xfId="28925" xr:uid="{00000000-0005-0000-0000-00004B420000}"/>
    <cellStyle name="40% - Accent5 10 2 3 3" xfId="23073" xr:uid="{00000000-0005-0000-0000-00004C420000}"/>
    <cellStyle name="40% - Accent5 10 2 4" xfId="11162" xr:uid="{00000000-0005-0000-0000-00004D420000}"/>
    <cellStyle name="40% - Accent5 10 2 4 2" xfId="25104" xr:uid="{00000000-0005-0000-0000-00004E420000}"/>
    <cellStyle name="40% - Accent5 10 2 5" xfId="23074" xr:uid="{00000000-0005-0000-0000-00004F420000}"/>
    <cellStyle name="40% - Accent5 10 3" xfId="4289" xr:uid="{00000000-0005-0000-0000-000050420000}"/>
    <cellStyle name="40% - Accent5 10 3 2" xfId="12941" xr:uid="{00000000-0005-0000-0000-000051420000}"/>
    <cellStyle name="40% - Accent5 10 3 2 2" xfId="26653" xr:uid="{00000000-0005-0000-0000-000052420000}"/>
    <cellStyle name="40% - Accent5 10 3 3" xfId="23072" xr:uid="{00000000-0005-0000-0000-000053420000}"/>
    <cellStyle name="40% - Accent5 10 4" xfId="4290" xr:uid="{00000000-0005-0000-0000-000054420000}"/>
    <cellStyle name="40% - Accent5 10 4 2" xfId="15375" xr:uid="{00000000-0005-0000-0000-000055420000}"/>
    <cellStyle name="40% - Accent5 10 4 2 2" xfId="28924" xr:uid="{00000000-0005-0000-0000-000056420000}"/>
    <cellStyle name="40% - Accent5 10 4 3" xfId="23071" xr:uid="{00000000-0005-0000-0000-000057420000}"/>
    <cellStyle name="40% - Accent5 10 5" xfId="4291" xr:uid="{00000000-0005-0000-0000-000058420000}"/>
    <cellStyle name="40% - Accent5 10 5 2" xfId="17195" xr:uid="{00000000-0005-0000-0000-000059420000}"/>
    <cellStyle name="40% - Accent5 10 5 2 2" xfId="30554" xr:uid="{00000000-0005-0000-0000-00005A420000}"/>
    <cellStyle name="40% - Accent5 10 5 3" xfId="29164" xr:uid="{00000000-0005-0000-0000-00005B420000}"/>
    <cellStyle name="40% - Accent5 10 6" xfId="9435" xr:uid="{00000000-0005-0000-0000-00005C420000}"/>
    <cellStyle name="40% - Accent5 10 6 2" xfId="23910" xr:uid="{00000000-0005-0000-0000-00005D420000}"/>
    <cellStyle name="40% - Accent5 10 7" xfId="23075" xr:uid="{00000000-0005-0000-0000-00005E420000}"/>
    <cellStyle name="40% - Accent5 11" xfId="4292" xr:uid="{00000000-0005-0000-0000-00005F420000}"/>
    <cellStyle name="40% - Accent5 11 2" xfId="4293" xr:uid="{00000000-0005-0000-0000-000060420000}"/>
    <cellStyle name="40% - Accent5 11 2 2" xfId="11163" xr:uid="{00000000-0005-0000-0000-000061420000}"/>
    <cellStyle name="40% - Accent5 11 2 2 2" xfId="25105" xr:uid="{00000000-0005-0000-0000-000062420000}"/>
    <cellStyle name="40% - Accent5 11 2 3" xfId="23069" xr:uid="{00000000-0005-0000-0000-000063420000}"/>
    <cellStyle name="40% - Accent5 11 3" xfId="4294" xr:uid="{00000000-0005-0000-0000-000064420000}"/>
    <cellStyle name="40% - Accent5 11 3 2" xfId="12943" xr:uid="{00000000-0005-0000-0000-000065420000}"/>
    <cellStyle name="40% - Accent5 11 3 2 2" xfId="26655" xr:uid="{00000000-0005-0000-0000-000066420000}"/>
    <cellStyle name="40% - Accent5 11 3 3" xfId="26858" xr:uid="{00000000-0005-0000-0000-000067420000}"/>
    <cellStyle name="40% - Accent5 11 4" xfId="4295" xr:uid="{00000000-0005-0000-0000-000068420000}"/>
    <cellStyle name="40% - Accent5 11 4 2" xfId="15377" xr:uid="{00000000-0005-0000-0000-000069420000}"/>
    <cellStyle name="40% - Accent5 11 4 2 2" xfId="28926" xr:uid="{00000000-0005-0000-0000-00006A420000}"/>
    <cellStyle name="40% - Accent5 11 4 3" xfId="23068" xr:uid="{00000000-0005-0000-0000-00006B420000}"/>
    <cellStyle name="40% - Accent5 11 5" xfId="4296" xr:uid="{00000000-0005-0000-0000-00006C420000}"/>
    <cellStyle name="40% - Accent5 11 5 2" xfId="17284" xr:uid="{00000000-0005-0000-0000-00006D420000}"/>
    <cellStyle name="40% - Accent5 11 5 2 2" xfId="30643" xr:uid="{00000000-0005-0000-0000-00006E420000}"/>
    <cellStyle name="40% - Accent5 11 5 3" xfId="23067" xr:uid="{00000000-0005-0000-0000-00006F420000}"/>
    <cellStyle name="40% - Accent5 11 6" xfId="9436" xr:uid="{00000000-0005-0000-0000-000070420000}"/>
    <cellStyle name="40% - Accent5 11 6 2" xfId="23911" xr:uid="{00000000-0005-0000-0000-000071420000}"/>
    <cellStyle name="40% - Accent5 11 7" xfId="23070" xr:uid="{00000000-0005-0000-0000-000072420000}"/>
    <cellStyle name="40% - Accent5 12" xfId="4297" xr:uid="{00000000-0005-0000-0000-000073420000}"/>
    <cellStyle name="40% - Accent5 12 2" xfId="4298" xr:uid="{00000000-0005-0000-0000-000074420000}"/>
    <cellStyle name="40% - Accent5 12 2 2" xfId="4299" xr:uid="{00000000-0005-0000-0000-000075420000}"/>
    <cellStyle name="40% - Accent5 12 2 2 2" xfId="11165" xr:uid="{00000000-0005-0000-0000-000076420000}"/>
    <cellStyle name="40% - Accent5 12 2 2 2 2" xfId="25107" xr:uid="{00000000-0005-0000-0000-000077420000}"/>
    <cellStyle name="40% - Accent5 12 2 2 3" xfId="23066" xr:uid="{00000000-0005-0000-0000-000078420000}"/>
    <cellStyle name="40% - Accent5 12 2 3" xfId="4300" xr:uid="{00000000-0005-0000-0000-000079420000}"/>
    <cellStyle name="40% - Accent5 12 2 3 2" xfId="12945" xr:uid="{00000000-0005-0000-0000-00007A420000}"/>
    <cellStyle name="40% - Accent5 12 2 3 2 2" xfId="26657" xr:uid="{00000000-0005-0000-0000-00007B420000}"/>
    <cellStyle name="40% - Accent5 12 2 3 3" xfId="23065" xr:uid="{00000000-0005-0000-0000-00007C420000}"/>
    <cellStyle name="40% - Accent5 12 2 4" xfId="4301" xr:uid="{00000000-0005-0000-0000-00007D420000}"/>
    <cellStyle name="40% - Accent5 12 2 4 2" xfId="15379" xr:uid="{00000000-0005-0000-0000-00007E420000}"/>
    <cellStyle name="40% - Accent5 12 2 4 2 2" xfId="28928" xr:uid="{00000000-0005-0000-0000-00007F420000}"/>
    <cellStyle name="40% - Accent5 12 2 4 3" xfId="24280" xr:uid="{00000000-0005-0000-0000-000080420000}"/>
    <cellStyle name="40% - Accent5 12 2 5" xfId="9438" xr:uid="{00000000-0005-0000-0000-000081420000}"/>
    <cellStyle name="40% - Accent5 12 2 5 2" xfId="23913" xr:uid="{00000000-0005-0000-0000-000082420000}"/>
    <cellStyle name="40% - Accent5 12 2 6" xfId="25288" xr:uid="{00000000-0005-0000-0000-000083420000}"/>
    <cellStyle name="40% - Accent5 12 3" xfId="4302" xr:uid="{00000000-0005-0000-0000-000084420000}"/>
    <cellStyle name="40% - Accent5 12 3 2" xfId="11164" xr:uid="{00000000-0005-0000-0000-000085420000}"/>
    <cellStyle name="40% - Accent5 12 3 2 2" xfId="25106" xr:uid="{00000000-0005-0000-0000-000086420000}"/>
    <cellStyle name="40% - Accent5 12 3 3" xfId="23064" xr:uid="{00000000-0005-0000-0000-000087420000}"/>
    <cellStyle name="40% - Accent5 12 4" xfId="4303" xr:uid="{00000000-0005-0000-0000-000088420000}"/>
    <cellStyle name="40% - Accent5 12 4 2" xfId="12944" xr:uid="{00000000-0005-0000-0000-000089420000}"/>
    <cellStyle name="40% - Accent5 12 4 2 2" xfId="26656" xr:uid="{00000000-0005-0000-0000-00008A420000}"/>
    <cellStyle name="40% - Accent5 12 4 3" xfId="23063" xr:uid="{00000000-0005-0000-0000-00008B420000}"/>
    <cellStyle name="40% - Accent5 12 5" xfId="4304" xr:uid="{00000000-0005-0000-0000-00008C420000}"/>
    <cellStyle name="40% - Accent5 12 5 2" xfId="15378" xr:uid="{00000000-0005-0000-0000-00008D420000}"/>
    <cellStyle name="40% - Accent5 12 5 2 2" xfId="28927" xr:uid="{00000000-0005-0000-0000-00008E420000}"/>
    <cellStyle name="40% - Accent5 12 5 3" xfId="24278" xr:uid="{00000000-0005-0000-0000-00008F420000}"/>
    <cellStyle name="40% - Accent5 12 6" xfId="4305" xr:uid="{00000000-0005-0000-0000-000090420000}"/>
    <cellStyle name="40% - Accent5 12 6 2" xfId="16436" xr:uid="{00000000-0005-0000-0000-000091420000}"/>
    <cellStyle name="40% - Accent5 12 6 2 2" xfId="29843" xr:uid="{00000000-0005-0000-0000-000092420000}"/>
    <cellStyle name="40% - Accent5 12 6 3" xfId="23062" xr:uid="{00000000-0005-0000-0000-000093420000}"/>
    <cellStyle name="40% - Accent5 12 7" xfId="9437" xr:uid="{00000000-0005-0000-0000-000094420000}"/>
    <cellStyle name="40% - Accent5 12 7 2" xfId="23912" xr:uid="{00000000-0005-0000-0000-000095420000}"/>
    <cellStyle name="40% - Accent5 12 8" xfId="24281" xr:uid="{00000000-0005-0000-0000-000096420000}"/>
    <cellStyle name="40% - Accent5 13" xfId="4306" xr:uid="{00000000-0005-0000-0000-000097420000}"/>
    <cellStyle name="40% - Accent5 13 2" xfId="4307" xr:uid="{00000000-0005-0000-0000-000098420000}"/>
    <cellStyle name="40% - Accent5 13 2 2" xfId="11166" xr:uid="{00000000-0005-0000-0000-000099420000}"/>
    <cellStyle name="40% - Accent5 13 2 2 2" xfId="25108" xr:uid="{00000000-0005-0000-0000-00009A420000}"/>
    <cellStyle name="40% - Accent5 13 2 3" xfId="29163" xr:uid="{00000000-0005-0000-0000-00009B420000}"/>
    <cellStyle name="40% - Accent5 13 3" xfId="4308" xr:uid="{00000000-0005-0000-0000-00009C420000}"/>
    <cellStyle name="40% - Accent5 13 3 2" xfId="12946" xr:uid="{00000000-0005-0000-0000-00009D420000}"/>
    <cellStyle name="40% - Accent5 13 3 2 2" xfId="26658" xr:uid="{00000000-0005-0000-0000-00009E420000}"/>
    <cellStyle name="40% - Accent5 13 3 3" xfId="23060" xr:uid="{00000000-0005-0000-0000-00009F420000}"/>
    <cellStyle name="40% - Accent5 13 4" xfId="4309" xr:uid="{00000000-0005-0000-0000-0000A0420000}"/>
    <cellStyle name="40% - Accent5 13 4 2" xfId="15380" xr:uid="{00000000-0005-0000-0000-0000A1420000}"/>
    <cellStyle name="40% - Accent5 13 4 2 2" xfId="28929" xr:uid="{00000000-0005-0000-0000-0000A2420000}"/>
    <cellStyle name="40% - Accent5 13 4 3" xfId="23059" xr:uid="{00000000-0005-0000-0000-0000A3420000}"/>
    <cellStyle name="40% - Accent5 13 5" xfId="9439" xr:uid="{00000000-0005-0000-0000-0000A4420000}"/>
    <cellStyle name="40% - Accent5 13 5 2" xfId="23914" xr:uid="{00000000-0005-0000-0000-0000A5420000}"/>
    <cellStyle name="40% - Accent5 13 6" xfId="23061" xr:uid="{00000000-0005-0000-0000-0000A6420000}"/>
    <cellStyle name="40% - Accent5 14" xfId="4310" xr:uid="{00000000-0005-0000-0000-0000A7420000}"/>
    <cellStyle name="40% - Accent5 14 2" xfId="4311" xr:uid="{00000000-0005-0000-0000-0000A8420000}"/>
    <cellStyle name="40% - Accent5 14 2 2" xfId="11167" xr:uid="{00000000-0005-0000-0000-0000A9420000}"/>
    <cellStyle name="40% - Accent5 14 2 2 2" xfId="25109" xr:uid="{00000000-0005-0000-0000-0000AA420000}"/>
    <cellStyle name="40% - Accent5 14 2 3" xfId="23058" xr:uid="{00000000-0005-0000-0000-0000AB420000}"/>
    <cellStyle name="40% - Accent5 14 3" xfId="4312" xr:uid="{00000000-0005-0000-0000-0000AC420000}"/>
    <cellStyle name="40% - Accent5 14 3 2" xfId="12947" xr:uid="{00000000-0005-0000-0000-0000AD420000}"/>
    <cellStyle name="40% - Accent5 14 3 2 2" xfId="26659" xr:uid="{00000000-0005-0000-0000-0000AE420000}"/>
    <cellStyle name="40% - Accent5 14 3 3" xfId="23057" xr:uid="{00000000-0005-0000-0000-0000AF420000}"/>
    <cellStyle name="40% - Accent5 14 4" xfId="4313" xr:uid="{00000000-0005-0000-0000-0000B0420000}"/>
    <cellStyle name="40% - Accent5 14 4 2" xfId="15381" xr:uid="{00000000-0005-0000-0000-0000B1420000}"/>
    <cellStyle name="40% - Accent5 14 4 2 2" xfId="28930" xr:uid="{00000000-0005-0000-0000-0000B2420000}"/>
    <cellStyle name="40% - Accent5 14 4 3" xfId="24279" xr:uid="{00000000-0005-0000-0000-0000B3420000}"/>
    <cellStyle name="40% - Accent5 14 5" xfId="9440" xr:uid="{00000000-0005-0000-0000-0000B4420000}"/>
    <cellStyle name="40% - Accent5 14 5 2" xfId="23915" xr:uid="{00000000-0005-0000-0000-0000B5420000}"/>
    <cellStyle name="40% - Accent5 14 6" xfId="26857" xr:uid="{00000000-0005-0000-0000-0000B6420000}"/>
    <cellStyle name="40% - Accent5 15" xfId="4314" xr:uid="{00000000-0005-0000-0000-0000B7420000}"/>
    <cellStyle name="40% - Accent5 15 2" xfId="4315" xr:uid="{00000000-0005-0000-0000-0000B8420000}"/>
    <cellStyle name="40% - Accent5 15 2 2" xfId="11168" xr:uid="{00000000-0005-0000-0000-0000B9420000}"/>
    <cellStyle name="40% - Accent5 15 2 2 2" xfId="25110" xr:uid="{00000000-0005-0000-0000-0000BA420000}"/>
    <cellStyle name="40% - Accent5 15 2 3" xfId="25287" xr:uid="{00000000-0005-0000-0000-0000BB420000}"/>
    <cellStyle name="40% - Accent5 15 3" xfId="4316" xr:uid="{00000000-0005-0000-0000-0000BC420000}"/>
    <cellStyle name="40% - Accent5 15 3 2" xfId="12948" xr:uid="{00000000-0005-0000-0000-0000BD420000}"/>
    <cellStyle name="40% - Accent5 15 3 2 2" xfId="26660" xr:uid="{00000000-0005-0000-0000-0000BE420000}"/>
    <cellStyle name="40% - Accent5 15 3 3" xfId="23055" xr:uid="{00000000-0005-0000-0000-0000BF420000}"/>
    <cellStyle name="40% - Accent5 15 4" xfId="4317" xr:uid="{00000000-0005-0000-0000-0000C0420000}"/>
    <cellStyle name="40% - Accent5 15 4 2" xfId="15382" xr:uid="{00000000-0005-0000-0000-0000C1420000}"/>
    <cellStyle name="40% - Accent5 15 4 2 2" xfId="28931" xr:uid="{00000000-0005-0000-0000-0000C2420000}"/>
    <cellStyle name="40% - Accent5 15 4 3" xfId="23054" xr:uid="{00000000-0005-0000-0000-0000C3420000}"/>
    <cellStyle name="40% - Accent5 15 5" xfId="9441" xr:uid="{00000000-0005-0000-0000-0000C4420000}"/>
    <cellStyle name="40% - Accent5 15 5 2" xfId="23916" xr:uid="{00000000-0005-0000-0000-0000C5420000}"/>
    <cellStyle name="40% - Accent5 15 6" xfId="23056" xr:uid="{00000000-0005-0000-0000-0000C6420000}"/>
    <cellStyle name="40% - Accent5 16" xfId="4318" xr:uid="{00000000-0005-0000-0000-0000C7420000}"/>
    <cellStyle name="40% - Accent5 16 2" xfId="4319" xr:uid="{00000000-0005-0000-0000-0000C8420000}"/>
    <cellStyle name="40% - Accent5 16 2 2" xfId="11169" xr:uid="{00000000-0005-0000-0000-0000C9420000}"/>
    <cellStyle name="40% - Accent5 16 2 2 2" xfId="25111" xr:uid="{00000000-0005-0000-0000-0000CA420000}"/>
    <cellStyle name="40% - Accent5 16 2 3" xfId="24274" xr:uid="{00000000-0005-0000-0000-0000CB420000}"/>
    <cellStyle name="40% - Accent5 16 3" xfId="4320" xr:uid="{00000000-0005-0000-0000-0000CC420000}"/>
    <cellStyle name="40% - Accent5 16 3 2" xfId="12949" xr:uid="{00000000-0005-0000-0000-0000CD420000}"/>
    <cellStyle name="40% - Accent5 16 3 2 2" xfId="26661" xr:uid="{00000000-0005-0000-0000-0000CE420000}"/>
    <cellStyle name="40% - Accent5 16 3 3" xfId="23052" xr:uid="{00000000-0005-0000-0000-0000CF420000}"/>
    <cellStyle name="40% - Accent5 16 4" xfId="4321" xr:uid="{00000000-0005-0000-0000-0000D0420000}"/>
    <cellStyle name="40% - Accent5 16 4 2" xfId="15383" xr:uid="{00000000-0005-0000-0000-0000D1420000}"/>
    <cellStyle name="40% - Accent5 16 4 2 2" xfId="28932" xr:uid="{00000000-0005-0000-0000-0000D2420000}"/>
    <cellStyle name="40% - Accent5 16 4 3" xfId="23051" xr:uid="{00000000-0005-0000-0000-0000D3420000}"/>
    <cellStyle name="40% - Accent5 16 5" xfId="9442" xr:uid="{00000000-0005-0000-0000-0000D4420000}"/>
    <cellStyle name="40% - Accent5 16 5 2" xfId="23917" xr:uid="{00000000-0005-0000-0000-0000D5420000}"/>
    <cellStyle name="40% - Accent5 16 6" xfId="23053" xr:uid="{00000000-0005-0000-0000-0000D6420000}"/>
    <cellStyle name="40% - Accent5 17" xfId="4322" xr:uid="{00000000-0005-0000-0000-0000D7420000}"/>
    <cellStyle name="40% - Accent5 17 2" xfId="4323" xr:uid="{00000000-0005-0000-0000-0000D8420000}"/>
    <cellStyle name="40% - Accent5 17 2 2" xfId="11170" xr:uid="{00000000-0005-0000-0000-0000D9420000}"/>
    <cellStyle name="40% - Accent5 17 2 2 2" xfId="25112" xr:uid="{00000000-0005-0000-0000-0000DA420000}"/>
    <cellStyle name="40% - Accent5 17 2 3" xfId="23050" xr:uid="{00000000-0005-0000-0000-0000DB420000}"/>
    <cellStyle name="40% - Accent5 17 3" xfId="4324" xr:uid="{00000000-0005-0000-0000-0000DC420000}"/>
    <cellStyle name="40% - Accent5 17 3 2" xfId="12950" xr:uid="{00000000-0005-0000-0000-0000DD420000}"/>
    <cellStyle name="40% - Accent5 17 3 2 2" xfId="26662" xr:uid="{00000000-0005-0000-0000-0000DE420000}"/>
    <cellStyle name="40% - Accent5 17 3 3" xfId="23049" xr:uid="{00000000-0005-0000-0000-0000DF420000}"/>
    <cellStyle name="40% - Accent5 17 4" xfId="4325" xr:uid="{00000000-0005-0000-0000-0000E0420000}"/>
    <cellStyle name="40% - Accent5 17 4 2" xfId="15384" xr:uid="{00000000-0005-0000-0000-0000E1420000}"/>
    <cellStyle name="40% - Accent5 17 4 2 2" xfId="28933" xr:uid="{00000000-0005-0000-0000-0000E2420000}"/>
    <cellStyle name="40% - Accent5 17 4 3" xfId="26856" xr:uid="{00000000-0005-0000-0000-0000E3420000}"/>
    <cellStyle name="40% - Accent5 17 5" xfId="9443" xr:uid="{00000000-0005-0000-0000-0000E4420000}"/>
    <cellStyle name="40% - Accent5 17 5 2" xfId="23918" xr:uid="{00000000-0005-0000-0000-0000E5420000}"/>
    <cellStyle name="40% - Accent5 17 6" xfId="29162" xr:uid="{00000000-0005-0000-0000-0000E6420000}"/>
    <cellStyle name="40% - Accent5 18" xfId="4326" xr:uid="{00000000-0005-0000-0000-0000E7420000}"/>
    <cellStyle name="40% - Accent5 18 2" xfId="4327" xr:uid="{00000000-0005-0000-0000-0000E8420000}"/>
    <cellStyle name="40% - Accent5 18 2 2" xfId="11171" xr:uid="{00000000-0005-0000-0000-0000E9420000}"/>
    <cellStyle name="40% - Accent5 18 2 2 2" xfId="25113" xr:uid="{00000000-0005-0000-0000-0000EA420000}"/>
    <cellStyle name="40% - Accent5 18 2 3" xfId="23047" xr:uid="{00000000-0005-0000-0000-0000EB420000}"/>
    <cellStyle name="40% - Accent5 18 3" xfId="4328" xr:uid="{00000000-0005-0000-0000-0000EC420000}"/>
    <cellStyle name="40% - Accent5 18 3 2" xfId="12951" xr:uid="{00000000-0005-0000-0000-0000ED420000}"/>
    <cellStyle name="40% - Accent5 18 3 2 2" xfId="26663" xr:uid="{00000000-0005-0000-0000-0000EE420000}"/>
    <cellStyle name="40% - Accent5 18 3 3" xfId="24277" xr:uid="{00000000-0005-0000-0000-0000EF420000}"/>
    <cellStyle name="40% - Accent5 18 4" xfId="4329" xr:uid="{00000000-0005-0000-0000-0000F0420000}"/>
    <cellStyle name="40% - Accent5 18 4 2" xfId="15385" xr:uid="{00000000-0005-0000-0000-0000F1420000}"/>
    <cellStyle name="40% - Accent5 18 4 2 2" xfId="28934" xr:uid="{00000000-0005-0000-0000-0000F2420000}"/>
    <cellStyle name="40% - Accent5 18 4 3" xfId="23046" xr:uid="{00000000-0005-0000-0000-0000F3420000}"/>
    <cellStyle name="40% - Accent5 18 5" xfId="9444" xr:uid="{00000000-0005-0000-0000-0000F4420000}"/>
    <cellStyle name="40% - Accent5 18 5 2" xfId="23919" xr:uid="{00000000-0005-0000-0000-0000F5420000}"/>
    <cellStyle name="40% - Accent5 18 6" xfId="23048" xr:uid="{00000000-0005-0000-0000-0000F6420000}"/>
    <cellStyle name="40% - Accent5 19" xfId="4330" xr:uid="{00000000-0005-0000-0000-0000F7420000}"/>
    <cellStyle name="40% - Accent5 19 2" xfId="4331" xr:uid="{00000000-0005-0000-0000-0000F8420000}"/>
    <cellStyle name="40% - Accent5 19 2 2" xfId="11720" xr:uid="{00000000-0005-0000-0000-0000F9420000}"/>
    <cellStyle name="40% - Accent5 19 2 2 2" xfId="25440" xr:uid="{00000000-0005-0000-0000-0000FA420000}"/>
    <cellStyle name="40% - Accent5 19 2 3" xfId="23045" xr:uid="{00000000-0005-0000-0000-0000FB420000}"/>
    <cellStyle name="40% - Accent5 19 3" xfId="4332" xr:uid="{00000000-0005-0000-0000-0000FC420000}"/>
    <cellStyle name="40% - Accent5 19 3 2" xfId="12952" xr:uid="{00000000-0005-0000-0000-0000FD420000}"/>
    <cellStyle name="40% - Accent5 19 3 2 2" xfId="26664" xr:uid="{00000000-0005-0000-0000-0000FE420000}"/>
    <cellStyle name="40% - Accent5 19 3 3" xfId="23044" xr:uid="{00000000-0005-0000-0000-0000FF420000}"/>
    <cellStyle name="40% - Accent5 19 4" xfId="4333" xr:uid="{00000000-0005-0000-0000-000000430000}"/>
    <cellStyle name="40% - Accent5 19 4 2" xfId="15386" xr:uid="{00000000-0005-0000-0000-000001430000}"/>
    <cellStyle name="40% - Accent5 19 4 2 2" xfId="28935" xr:uid="{00000000-0005-0000-0000-000002430000}"/>
    <cellStyle name="40% - Accent5 19 4 3" xfId="24275" xr:uid="{00000000-0005-0000-0000-000003430000}"/>
    <cellStyle name="40% - Accent5 19 5" xfId="10472" xr:uid="{00000000-0005-0000-0000-000004430000}"/>
    <cellStyle name="40% - Accent5 19 5 2" xfId="24431" xr:uid="{00000000-0005-0000-0000-000005430000}"/>
    <cellStyle name="40% - Accent5 19 6" xfId="25286" xr:uid="{00000000-0005-0000-0000-000006430000}"/>
    <cellStyle name="40% - Accent5 2" xfId="4334" xr:uid="{00000000-0005-0000-0000-000007430000}"/>
    <cellStyle name="40% - Accent5 2 10" xfId="4335" xr:uid="{00000000-0005-0000-0000-000008430000}"/>
    <cellStyle name="40% - Accent5 2 10 2" xfId="4336" xr:uid="{00000000-0005-0000-0000-000009430000}"/>
    <cellStyle name="40% - Accent5 2 10 2 2" xfId="15388" xr:uid="{00000000-0005-0000-0000-00000A430000}"/>
    <cellStyle name="40% - Accent5 2 10 2 2 2" xfId="28937" xr:uid="{00000000-0005-0000-0000-00000B430000}"/>
    <cellStyle name="40% - Accent5 2 10 2 3" xfId="29161" xr:uid="{00000000-0005-0000-0000-00000C430000}"/>
    <cellStyle name="40% - Accent5 2 10 3" xfId="11846" xr:uid="{00000000-0005-0000-0000-00000D430000}"/>
    <cellStyle name="40% - Accent5 2 10 3 2" xfId="25561" xr:uid="{00000000-0005-0000-0000-00000E430000}"/>
    <cellStyle name="40% - Accent5 2 10 4" xfId="23042" xr:uid="{00000000-0005-0000-0000-00000F430000}"/>
    <cellStyle name="40% - Accent5 2 11" xfId="4337" xr:uid="{00000000-0005-0000-0000-000010430000}"/>
    <cellStyle name="40% - Accent5 2 11 2" xfId="12953" xr:uid="{00000000-0005-0000-0000-000011430000}"/>
    <cellStyle name="40% - Accent5 2 11 2 2" xfId="26665" xr:uid="{00000000-0005-0000-0000-000012430000}"/>
    <cellStyle name="40% - Accent5 2 11 3" xfId="23041" xr:uid="{00000000-0005-0000-0000-000013430000}"/>
    <cellStyle name="40% - Accent5 2 12" xfId="4338" xr:uid="{00000000-0005-0000-0000-000014430000}"/>
    <cellStyle name="40% - Accent5 2 12 2" xfId="13444" xr:uid="{00000000-0005-0000-0000-000015430000}"/>
    <cellStyle name="40% - Accent5 2 12 2 2" xfId="26993" xr:uid="{00000000-0005-0000-0000-000016430000}"/>
    <cellStyle name="40% - Accent5 2 12 3" xfId="23040" xr:uid="{00000000-0005-0000-0000-000017430000}"/>
    <cellStyle name="40% - Accent5 2 13" xfId="4339" xr:uid="{00000000-0005-0000-0000-000018430000}"/>
    <cellStyle name="40% - Accent5 2 13 2" xfId="14025" xr:uid="{00000000-0005-0000-0000-000019430000}"/>
    <cellStyle name="40% - Accent5 2 13 2 2" xfId="27574" xr:uid="{00000000-0005-0000-0000-00001A430000}"/>
    <cellStyle name="40% - Accent5 2 13 3" xfId="26855" xr:uid="{00000000-0005-0000-0000-00001B430000}"/>
    <cellStyle name="40% - Accent5 2 14" xfId="4340" xr:uid="{00000000-0005-0000-0000-00001C430000}"/>
    <cellStyle name="40% - Accent5 2 14 2" xfId="15387" xr:uid="{00000000-0005-0000-0000-00001D430000}"/>
    <cellStyle name="40% - Accent5 2 14 2 2" xfId="28936" xr:uid="{00000000-0005-0000-0000-00001E430000}"/>
    <cellStyle name="40% - Accent5 2 14 3" xfId="23039" xr:uid="{00000000-0005-0000-0000-00001F430000}"/>
    <cellStyle name="40% - Accent5 2 15" xfId="4341" xr:uid="{00000000-0005-0000-0000-000020430000}"/>
    <cellStyle name="40% - Accent5 2 15 2" xfId="15911" xr:uid="{00000000-0005-0000-0000-000021430000}"/>
    <cellStyle name="40% - Accent5 2 15 2 2" xfId="29318" xr:uid="{00000000-0005-0000-0000-000022430000}"/>
    <cellStyle name="40% - Accent5 2 15 3" xfId="23038" xr:uid="{00000000-0005-0000-0000-000023430000}"/>
    <cellStyle name="40% - Accent5 2 16" xfId="9445" xr:uid="{00000000-0005-0000-0000-000024430000}"/>
    <cellStyle name="40% - Accent5 2 16 2" xfId="23920" xr:uid="{00000000-0005-0000-0000-000025430000}"/>
    <cellStyle name="40% - Accent5 2 17" xfId="23043" xr:uid="{00000000-0005-0000-0000-000026430000}"/>
    <cellStyle name="40% - Accent5 2 18" xfId="33079" xr:uid="{00000000-0005-0000-0000-000027430000}"/>
    <cellStyle name="40% - Accent5 2 2" xfId="4342" xr:uid="{00000000-0005-0000-0000-000028430000}"/>
    <cellStyle name="40% - Accent5 2 2 10" xfId="4343" xr:uid="{00000000-0005-0000-0000-000029430000}"/>
    <cellStyle name="40% - Accent5 2 2 10 2" xfId="15389" xr:uid="{00000000-0005-0000-0000-00002A430000}"/>
    <cellStyle name="40% - Accent5 2 2 10 2 2" xfId="28938" xr:uid="{00000000-0005-0000-0000-00002B430000}"/>
    <cellStyle name="40% - Accent5 2 2 10 3" xfId="23037" xr:uid="{00000000-0005-0000-0000-00002C430000}"/>
    <cellStyle name="40% - Accent5 2 2 11" xfId="4344" xr:uid="{00000000-0005-0000-0000-00002D430000}"/>
    <cellStyle name="40% - Accent5 2 2 11 2" xfId="15957" xr:uid="{00000000-0005-0000-0000-00002E430000}"/>
    <cellStyle name="40% - Accent5 2 2 11 2 2" xfId="29364" xr:uid="{00000000-0005-0000-0000-00002F430000}"/>
    <cellStyle name="40% - Accent5 2 2 11 3" xfId="25285" xr:uid="{00000000-0005-0000-0000-000030430000}"/>
    <cellStyle name="40% - Accent5 2 2 12" xfId="9446" xr:uid="{00000000-0005-0000-0000-000031430000}"/>
    <cellStyle name="40% - Accent5 2 2 12 2" xfId="23921" xr:uid="{00000000-0005-0000-0000-000032430000}"/>
    <cellStyle name="40% - Accent5 2 2 13" xfId="24276" xr:uid="{00000000-0005-0000-0000-000033430000}"/>
    <cellStyle name="40% - Accent5 2 2 2" xfId="4345" xr:uid="{00000000-0005-0000-0000-000034430000}"/>
    <cellStyle name="40% - Accent5 2 2 2 10" xfId="4346" xr:uid="{00000000-0005-0000-0000-000035430000}"/>
    <cellStyle name="40% - Accent5 2 2 2 10 2" xfId="16100" xr:uid="{00000000-0005-0000-0000-000036430000}"/>
    <cellStyle name="40% - Accent5 2 2 2 10 2 2" xfId="29507" xr:uid="{00000000-0005-0000-0000-000037430000}"/>
    <cellStyle name="40% - Accent5 2 2 2 10 3" xfId="23035" xr:uid="{00000000-0005-0000-0000-000038430000}"/>
    <cellStyle name="40% - Accent5 2 2 2 11" xfId="9447" xr:uid="{00000000-0005-0000-0000-000039430000}"/>
    <cellStyle name="40% - Accent5 2 2 2 11 2" xfId="23922" xr:uid="{00000000-0005-0000-0000-00003A430000}"/>
    <cellStyle name="40% - Accent5 2 2 2 12" xfId="23036" xr:uid="{00000000-0005-0000-0000-00003B430000}"/>
    <cellStyle name="40% - Accent5 2 2 2 2" xfId="4347" xr:uid="{00000000-0005-0000-0000-00003C430000}"/>
    <cellStyle name="40% - Accent5 2 2 2 2 10" xfId="9448" xr:uid="{00000000-0005-0000-0000-00003D430000}"/>
    <cellStyle name="40% - Accent5 2 2 2 2 10 2" xfId="23923" xr:uid="{00000000-0005-0000-0000-00003E430000}"/>
    <cellStyle name="40% - Accent5 2 2 2 2 11" xfId="23034" xr:uid="{00000000-0005-0000-0000-00003F430000}"/>
    <cellStyle name="40% - Accent5 2 2 2 2 2" xfId="4348" xr:uid="{00000000-0005-0000-0000-000040430000}"/>
    <cellStyle name="40% - Accent5 2 2 2 2 2 2" xfId="4349" xr:uid="{00000000-0005-0000-0000-000041430000}"/>
    <cellStyle name="40% - Accent5 2 2 2 2 2 2 2" xfId="11176" xr:uid="{00000000-0005-0000-0000-000042430000}"/>
    <cellStyle name="40% - Accent5 2 2 2 2 2 2 2 2" xfId="25118" xr:uid="{00000000-0005-0000-0000-000043430000}"/>
    <cellStyle name="40% - Accent5 2 2 2 2 2 2 3" xfId="24273" xr:uid="{00000000-0005-0000-0000-000044430000}"/>
    <cellStyle name="40% - Accent5 2 2 2 2 2 3" xfId="4350" xr:uid="{00000000-0005-0000-0000-000045430000}"/>
    <cellStyle name="40% - Accent5 2 2 2 2 2 3 2" xfId="12957" xr:uid="{00000000-0005-0000-0000-000046430000}"/>
    <cellStyle name="40% - Accent5 2 2 2 2 2 3 2 2" xfId="26669" xr:uid="{00000000-0005-0000-0000-000047430000}"/>
    <cellStyle name="40% - Accent5 2 2 2 2 2 3 3" xfId="23032" xr:uid="{00000000-0005-0000-0000-000048430000}"/>
    <cellStyle name="40% - Accent5 2 2 2 2 2 4" xfId="4351" xr:uid="{00000000-0005-0000-0000-000049430000}"/>
    <cellStyle name="40% - Accent5 2 2 2 2 2 4 2" xfId="15392" xr:uid="{00000000-0005-0000-0000-00004A430000}"/>
    <cellStyle name="40% - Accent5 2 2 2 2 2 4 2 2" xfId="28941" xr:uid="{00000000-0005-0000-0000-00004B430000}"/>
    <cellStyle name="40% - Accent5 2 2 2 2 2 4 3" xfId="23031" xr:uid="{00000000-0005-0000-0000-00004C430000}"/>
    <cellStyle name="40% - Accent5 2 2 2 2 2 5" xfId="4352" xr:uid="{00000000-0005-0000-0000-00004D430000}"/>
    <cellStyle name="40% - Accent5 2 2 2 2 2 5 2" xfId="16970" xr:uid="{00000000-0005-0000-0000-00004E430000}"/>
    <cellStyle name="40% - Accent5 2 2 2 2 2 5 2 2" xfId="30377" xr:uid="{00000000-0005-0000-0000-00004F430000}"/>
    <cellStyle name="40% - Accent5 2 2 2 2 2 5 3" xfId="23030" xr:uid="{00000000-0005-0000-0000-000050430000}"/>
    <cellStyle name="40% - Accent5 2 2 2 2 2 6" xfId="9449" xr:uid="{00000000-0005-0000-0000-000051430000}"/>
    <cellStyle name="40% - Accent5 2 2 2 2 2 6 2" xfId="23924" xr:uid="{00000000-0005-0000-0000-000052430000}"/>
    <cellStyle name="40% - Accent5 2 2 2 2 2 7" xfId="23033" xr:uid="{00000000-0005-0000-0000-000053430000}"/>
    <cellStyle name="40% - Accent5 2 2 2 2 3" xfId="4353" xr:uid="{00000000-0005-0000-0000-000054430000}"/>
    <cellStyle name="40% - Accent5 2 2 2 2 3 2" xfId="4354" xr:uid="{00000000-0005-0000-0000-000055430000}"/>
    <cellStyle name="40% - Accent5 2 2 2 2 3 2 2" xfId="15393" xr:uid="{00000000-0005-0000-0000-000056430000}"/>
    <cellStyle name="40% - Accent5 2 2 2 2 3 2 2 2" xfId="28942" xr:uid="{00000000-0005-0000-0000-000057430000}"/>
    <cellStyle name="40% - Accent5 2 2 2 2 3 2 3" xfId="23029" xr:uid="{00000000-0005-0000-0000-000058430000}"/>
    <cellStyle name="40% - Accent5 2 2 2 2 3 3" xfId="11175" xr:uid="{00000000-0005-0000-0000-000059430000}"/>
    <cellStyle name="40% - Accent5 2 2 2 2 3 3 2" xfId="25117" xr:uid="{00000000-0005-0000-0000-00005A430000}"/>
    <cellStyle name="40% - Accent5 2 2 2 2 3 4" xfId="29160" xr:uid="{00000000-0005-0000-0000-00005B430000}"/>
    <cellStyle name="40% - Accent5 2 2 2 2 4" xfId="4355" xr:uid="{00000000-0005-0000-0000-00005C430000}"/>
    <cellStyle name="40% - Accent5 2 2 2 2 4 2" xfId="12358" xr:uid="{00000000-0005-0000-0000-00005D430000}"/>
    <cellStyle name="40% - Accent5 2 2 2 2 4 2 2" xfId="26070" xr:uid="{00000000-0005-0000-0000-00005E430000}"/>
    <cellStyle name="40% - Accent5 2 2 2 2 4 3" xfId="23028" xr:uid="{00000000-0005-0000-0000-00005F430000}"/>
    <cellStyle name="40% - Accent5 2 2 2 2 5" xfId="4356" xr:uid="{00000000-0005-0000-0000-000060430000}"/>
    <cellStyle name="40% - Accent5 2 2 2 2 5 2" xfId="12956" xr:uid="{00000000-0005-0000-0000-000061430000}"/>
    <cellStyle name="40% - Accent5 2 2 2 2 5 2 2" xfId="26668" xr:uid="{00000000-0005-0000-0000-000062430000}"/>
    <cellStyle name="40% - Accent5 2 2 2 2 5 3" xfId="26854" xr:uid="{00000000-0005-0000-0000-000063430000}"/>
    <cellStyle name="40% - Accent5 2 2 2 2 6" xfId="4357" xr:uid="{00000000-0005-0000-0000-000064430000}"/>
    <cellStyle name="40% - Accent5 2 2 2 2 6 2" xfId="13922" xr:uid="{00000000-0005-0000-0000-000065430000}"/>
    <cellStyle name="40% - Accent5 2 2 2 2 6 2 2" xfId="27471" xr:uid="{00000000-0005-0000-0000-000066430000}"/>
    <cellStyle name="40% - Accent5 2 2 2 2 6 3" xfId="23027" xr:uid="{00000000-0005-0000-0000-000067430000}"/>
    <cellStyle name="40% - Accent5 2 2 2 2 7" xfId="4358" xr:uid="{00000000-0005-0000-0000-000068430000}"/>
    <cellStyle name="40% - Accent5 2 2 2 2 7 2" xfId="14503" xr:uid="{00000000-0005-0000-0000-000069430000}"/>
    <cellStyle name="40% - Accent5 2 2 2 2 7 2 2" xfId="28052" xr:uid="{00000000-0005-0000-0000-00006A430000}"/>
    <cellStyle name="40% - Accent5 2 2 2 2 7 3" xfId="23026" xr:uid="{00000000-0005-0000-0000-00006B430000}"/>
    <cellStyle name="40% - Accent5 2 2 2 2 8" xfId="4359" xr:uid="{00000000-0005-0000-0000-00006C430000}"/>
    <cellStyle name="40% - Accent5 2 2 2 2 8 2" xfId="15391" xr:uid="{00000000-0005-0000-0000-00006D430000}"/>
    <cellStyle name="40% - Accent5 2 2 2 2 8 2 2" xfId="28940" xr:uid="{00000000-0005-0000-0000-00006E430000}"/>
    <cellStyle name="40% - Accent5 2 2 2 2 8 3" xfId="24272" xr:uid="{00000000-0005-0000-0000-00006F430000}"/>
    <cellStyle name="40% - Accent5 2 2 2 2 9" xfId="4360" xr:uid="{00000000-0005-0000-0000-000070430000}"/>
    <cellStyle name="40% - Accent5 2 2 2 2 9 2" xfId="16389" xr:uid="{00000000-0005-0000-0000-000071430000}"/>
    <cellStyle name="40% - Accent5 2 2 2 2 9 2 2" xfId="29796" xr:uid="{00000000-0005-0000-0000-000072430000}"/>
    <cellStyle name="40% - Accent5 2 2 2 2 9 3" xfId="25284" xr:uid="{00000000-0005-0000-0000-000073430000}"/>
    <cellStyle name="40% - Accent5 2 2 2 3" xfId="4361" xr:uid="{00000000-0005-0000-0000-000074430000}"/>
    <cellStyle name="40% - Accent5 2 2 2 3 2" xfId="4362" xr:uid="{00000000-0005-0000-0000-000075430000}"/>
    <cellStyle name="40% - Accent5 2 2 2 3 2 2" xfId="11177" xr:uid="{00000000-0005-0000-0000-000076430000}"/>
    <cellStyle name="40% - Accent5 2 2 2 3 2 2 2" xfId="25119" xr:uid="{00000000-0005-0000-0000-000077430000}"/>
    <cellStyle name="40% - Accent5 2 2 2 3 2 3" xfId="23024" xr:uid="{00000000-0005-0000-0000-000078430000}"/>
    <cellStyle name="40% - Accent5 2 2 2 3 3" xfId="4363" xr:uid="{00000000-0005-0000-0000-000079430000}"/>
    <cellStyle name="40% - Accent5 2 2 2 3 3 2" xfId="12958" xr:uid="{00000000-0005-0000-0000-00007A430000}"/>
    <cellStyle name="40% - Accent5 2 2 2 3 3 2 2" xfId="26670" xr:uid="{00000000-0005-0000-0000-00007B430000}"/>
    <cellStyle name="40% - Accent5 2 2 2 3 3 3" xfId="24271" xr:uid="{00000000-0005-0000-0000-00007C430000}"/>
    <cellStyle name="40% - Accent5 2 2 2 3 4" xfId="4364" xr:uid="{00000000-0005-0000-0000-00007D430000}"/>
    <cellStyle name="40% - Accent5 2 2 2 3 4 2" xfId="15394" xr:uid="{00000000-0005-0000-0000-00007E430000}"/>
    <cellStyle name="40% - Accent5 2 2 2 3 4 2 2" xfId="28943" xr:uid="{00000000-0005-0000-0000-00007F430000}"/>
    <cellStyle name="40% - Accent5 2 2 2 3 4 3" xfId="23023" xr:uid="{00000000-0005-0000-0000-000080430000}"/>
    <cellStyle name="40% - Accent5 2 2 2 3 5" xfId="4365" xr:uid="{00000000-0005-0000-0000-000081430000}"/>
    <cellStyle name="40% - Accent5 2 2 2 3 5 2" xfId="16681" xr:uid="{00000000-0005-0000-0000-000082430000}"/>
    <cellStyle name="40% - Accent5 2 2 2 3 5 2 2" xfId="30088" xr:uid="{00000000-0005-0000-0000-000083430000}"/>
    <cellStyle name="40% - Accent5 2 2 2 3 5 3" xfId="23022" xr:uid="{00000000-0005-0000-0000-000084430000}"/>
    <cellStyle name="40% - Accent5 2 2 2 3 6" xfId="9450" xr:uid="{00000000-0005-0000-0000-000085430000}"/>
    <cellStyle name="40% - Accent5 2 2 2 3 6 2" xfId="23925" xr:uid="{00000000-0005-0000-0000-000086430000}"/>
    <cellStyle name="40% - Accent5 2 2 2 3 7" xfId="23025" xr:uid="{00000000-0005-0000-0000-000087430000}"/>
    <cellStyle name="40% - Accent5 2 2 2 4" xfId="4366" xr:uid="{00000000-0005-0000-0000-000088430000}"/>
    <cellStyle name="40% - Accent5 2 2 2 4 2" xfId="4367" xr:uid="{00000000-0005-0000-0000-000089430000}"/>
    <cellStyle name="40% - Accent5 2 2 2 4 2 2" xfId="15395" xr:uid="{00000000-0005-0000-0000-00008A430000}"/>
    <cellStyle name="40% - Accent5 2 2 2 4 2 2 2" xfId="28944" xr:uid="{00000000-0005-0000-0000-00008B430000}"/>
    <cellStyle name="40% - Accent5 2 2 2 4 2 3" xfId="23021" xr:uid="{00000000-0005-0000-0000-00008C430000}"/>
    <cellStyle name="40% - Accent5 2 2 2 4 3" xfId="11174" xr:uid="{00000000-0005-0000-0000-00008D430000}"/>
    <cellStyle name="40% - Accent5 2 2 2 4 3 2" xfId="25116" xr:uid="{00000000-0005-0000-0000-00008E430000}"/>
    <cellStyle name="40% - Accent5 2 2 2 4 4" xfId="24269" xr:uid="{00000000-0005-0000-0000-00008F430000}"/>
    <cellStyle name="40% - Accent5 2 2 2 5" xfId="4368" xr:uid="{00000000-0005-0000-0000-000090430000}"/>
    <cellStyle name="40% - Accent5 2 2 2 5 2" xfId="12058" xr:uid="{00000000-0005-0000-0000-000091430000}"/>
    <cellStyle name="40% - Accent5 2 2 2 5 2 2" xfId="25773" xr:uid="{00000000-0005-0000-0000-000092430000}"/>
    <cellStyle name="40% - Accent5 2 2 2 5 3" xfId="23020" xr:uid="{00000000-0005-0000-0000-000093430000}"/>
    <cellStyle name="40% - Accent5 2 2 2 6" xfId="4369" xr:uid="{00000000-0005-0000-0000-000094430000}"/>
    <cellStyle name="40% - Accent5 2 2 2 6 2" xfId="12955" xr:uid="{00000000-0005-0000-0000-000095430000}"/>
    <cellStyle name="40% - Accent5 2 2 2 6 2 2" xfId="26667" xr:uid="{00000000-0005-0000-0000-000096430000}"/>
    <cellStyle name="40% - Accent5 2 2 2 6 3" xfId="29159" xr:uid="{00000000-0005-0000-0000-000097430000}"/>
    <cellStyle name="40% - Accent5 2 2 2 7" xfId="4370" xr:uid="{00000000-0005-0000-0000-000098430000}"/>
    <cellStyle name="40% - Accent5 2 2 2 7 2" xfId="13633" xr:uid="{00000000-0005-0000-0000-000099430000}"/>
    <cellStyle name="40% - Accent5 2 2 2 7 2 2" xfId="27182" xr:uid="{00000000-0005-0000-0000-00009A430000}"/>
    <cellStyle name="40% - Accent5 2 2 2 7 3" xfId="23019" xr:uid="{00000000-0005-0000-0000-00009B430000}"/>
    <cellStyle name="40% - Accent5 2 2 2 8" xfId="4371" xr:uid="{00000000-0005-0000-0000-00009C430000}"/>
    <cellStyle name="40% - Accent5 2 2 2 8 2" xfId="14214" xr:uid="{00000000-0005-0000-0000-00009D430000}"/>
    <cellStyle name="40% - Accent5 2 2 2 8 2 2" xfId="27763" xr:uid="{00000000-0005-0000-0000-00009E430000}"/>
    <cellStyle name="40% - Accent5 2 2 2 8 3" xfId="23018" xr:uid="{00000000-0005-0000-0000-00009F430000}"/>
    <cellStyle name="40% - Accent5 2 2 2 9" xfId="4372" xr:uid="{00000000-0005-0000-0000-0000A0430000}"/>
    <cellStyle name="40% - Accent5 2 2 2 9 2" xfId="15390" xr:uid="{00000000-0005-0000-0000-0000A1430000}"/>
    <cellStyle name="40% - Accent5 2 2 2 9 2 2" xfId="28939" xr:uid="{00000000-0005-0000-0000-0000A2430000}"/>
    <cellStyle name="40% - Accent5 2 2 2 9 3" xfId="26853" xr:uid="{00000000-0005-0000-0000-0000A3430000}"/>
    <cellStyle name="40% - Accent5 2 2 3" xfId="4373" xr:uid="{00000000-0005-0000-0000-0000A4430000}"/>
    <cellStyle name="40% - Accent5 2 2 3 10" xfId="9451" xr:uid="{00000000-0005-0000-0000-0000A5430000}"/>
    <cellStyle name="40% - Accent5 2 2 3 10 2" xfId="23926" xr:uid="{00000000-0005-0000-0000-0000A6430000}"/>
    <cellStyle name="40% - Accent5 2 2 3 11" xfId="23017" xr:uid="{00000000-0005-0000-0000-0000A7430000}"/>
    <cellStyle name="40% - Accent5 2 2 3 2" xfId="4374" xr:uid="{00000000-0005-0000-0000-0000A8430000}"/>
    <cellStyle name="40% - Accent5 2 2 3 2 2" xfId="4375" xr:uid="{00000000-0005-0000-0000-0000A9430000}"/>
    <cellStyle name="40% - Accent5 2 2 3 2 2 2" xfId="11179" xr:uid="{00000000-0005-0000-0000-0000AA430000}"/>
    <cellStyle name="40% - Accent5 2 2 3 2 2 2 2" xfId="25121" xr:uid="{00000000-0005-0000-0000-0000AB430000}"/>
    <cellStyle name="40% - Accent5 2 2 3 2 2 3" xfId="24270" xr:uid="{00000000-0005-0000-0000-0000AC430000}"/>
    <cellStyle name="40% - Accent5 2 2 3 2 3" xfId="4376" xr:uid="{00000000-0005-0000-0000-0000AD430000}"/>
    <cellStyle name="40% - Accent5 2 2 3 2 3 2" xfId="12960" xr:uid="{00000000-0005-0000-0000-0000AE430000}"/>
    <cellStyle name="40% - Accent5 2 2 3 2 3 2 2" xfId="26672" xr:uid="{00000000-0005-0000-0000-0000AF430000}"/>
    <cellStyle name="40% - Accent5 2 2 3 2 3 3" xfId="23015" xr:uid="{00000000-0005-0000-0000-0000B0430000}"/>
    <cellStyle name="40% - Accent5 2 2 3 2 4" xfId="4377" xr:uid="{00000000-0005-0000-0000-0000B1430000}"/>
    <cellStyle name="40% - Accent5 2 2 3 2 4 2" xfId="15397" xr:uid="{00000000-0005-0000-0000-0000B2430000}"/>
    <cellStyle name="40% - Accent5 2 2 3 2 4 2 2" xfId="28946" xr:uid="{00000000-0005-0000-0000-0000B3430000}"/>
    <cellStyle name="40% - Accent5 2 2 3 2 4 3" xfId="25283" xr:uid="{00000000-0005-0000-0000-0000B4430000}"/>
    <cellStyle name="40% - Accent5 2 2 3 2 5" xfId="4378" xr:uid="{00000000-0005-0000-0000-0000B5430000}"/>
    <cellStyle name="40% - Accent5 2 2 3 2 5 2" xfId="16827" xr:uid="{00000000-0005-0000-0000-0000B6430000}"/>
    <cellStyle name="40% - Accent5 2 2 3 2 5 2 2" xfId="30234" xr:uid="{00000000-0005-0000-0000-0000B7430000}"/>
    <cellStyle name="40% - Accent5 2 2 3 2 5 3" xfId="23014" xr:uid="{00000000-0005-0000-0000-0000B8430000}"/>
    <cellStyle name="40% - Accent5 2 2 3 2 6" xfId="9452" xr:uid="{00000000-0005-0000-0000-0000B9430000}"/>
    <cellStyle name="40% - Accent5 2 2 3 2 6 2" xfId="23927" xr:uid="{00000000-0005-0000-0000-0000BA430000}"/>
    <cellStyle name="40% - Accent5 2 2 3 2 7" xfId="23016" xr:uid="{00000000-0005-0000-0000-0000BB430000}"/>
    <cellStyle name="40% - Accent5 2 2 3 3" xfId="4379" xr:uid="{00000000-0005-0000-0000-0000BC430000}"/>
    <cellStyle name="40% - Accent5 2 2 3 3 2" xfId="4380" xr:uid="{00000000-0005-0000-0000-0000BD430000}"/>
    <cellStyle name="40% - Accent5 2 2 3 3 2 2" xfId="15398" xr:uid="{00000000-0005-0000-0000-0000BE430000}"/>
    <cellStyle name="40% - Accent5 2 2 3 3 2 2 2" xfId="28947" xr:uid="{00000000-0005-0000-0000-0000BF430000}"/>
    <cellStyle name="40% - Accent5 2 2 3 3 2 3" xfId="23012" xr:uid="{00000000-0005-0000-0000-0000C0430000}"/>
    <cellStyle name="40% - Accent5 2 2 3 3 3" xfId="11178" xr:uid="{00000000-0005-0000-0000-0000C1430000}"/>
    <cellStyle name="40% - Accent5 2 2 3 3 3 2" xfId="25120" xr:uid="{00000000-0005-0000-0000-0000C2430000}"/>
    <cellStyle name="40% - Accent5 2 2 3 3 4" xfId="23013" xr:uid="{00000000-0005-0000-0000-0000C3430000}"/>
    <cellStyle name="40% - Accent5 2 2 3 4" xfId="4381" xr:uid="{00000000-0005-0000-0000-0000C4430000}"/>
    <cellStyle name="40% - Accent5 2 2 3 4 2" xfId="12215" xr:uid="{00000000-0005-0000-0000-0000C5430000}"/>
    <cellStyle name="40% - Accent5 2 2 3 4 2 2" xfId="25927" xr:uid="{00000000-0005-0000-0000-0000C6430000}"/>
    <cellStyle name="40% - Accent5 2 2 3 4 3" xfId="24265" xr:uid="{00000000-0005-0000-0000-0000C7430000}"/>
    <cellStyle name="40% - Accent5 2 2 3 5" xfId="4382" xr:uid="{00000000-0005-0000-0000-0000C8430000}"/>
    <cellStyle name="40% - Accent5 2 2 3 5 2" xfId="12959" xr:uid="{00000000-0005-0000-0000-0000C9430000}"/>
    <cellStyle name="40% - Accent5 2 2 3 5 2 2" xfId="26671" xr:uid="{00000000-0005-0000-0000-0000CA430000}"/>
    <cellStyle name="40% - Accent5 2 2 3 5 3" xfId="23011" xr:uid="{00000000-0005-0000-0000-0000CB430000}"/>
    <cellStyle name="40% - Accent5 2 2 3 6" xfId="4383" xr:uid="{00000000-0005-0000-0000-0000CC430000}"/>
    <cellStyle name="40% - Accent5 2 2 3 6 2" xfId="13779" xr:uid="{00000000-0005-0000-0000-0000CD430000}"/>
    <cellStyle name="40% - Accent5 2 2 3 6 2 2" xfId="27328" xr:uid="{00000000-0005-0000-0000-0000CE430000}"/>
    <cellStyle name="40% - Accent5 2 2 3 6 3" xfId="23010" xr:uid="{00000000-0005-0000-0000-0000CF430000}"/>
    <cellStyle name="40% - Accent5 2 2 3 7" xfId="4384" xr:uid="{00000000-0005-0000-0000-0000D0430000}"/>
    <cellStyle name="40% - Accent5 2 2 3 7 2" xfId="14360" xr:uid="{00000000-0005-0000-0000-0000D1430000}"/>
    <cellStyle name="40% - Accent5 2 2 3 7 2 2" xfId="27909" xr:uid="{00000000-0005-0000-0000-0000D2430000}"/>
    <cellStyle name="40% - Accent5 2 2 3 7 3" xfId="29158" xr:uid="{00000000-0005-0000-0000-0000D3430000}"/>
    <cellStyle name="40% - Accent5 2 2 3 8" xfId="4385" xr:uid="{00000000-0005-0000-0000-0000D4430000}"/>
    <cellStyle name="40% - Accent5 2 2 3 8 2" xfId="15396" xr:uid="{00000000-0005-0000-0000-0000D5430000}"/>
    <cellStyle name="40% - Accent5 2 2 3 8 2 2" xfId="28945" xr:uid="{00000000-0005-0000-0000-0000D6430000}"/>
    <cellStyle name="40% - Accent5 2 2 3 8 3" xfId="23009" xr:uid="{00000000-0005-0000-0000-0000D7430000}"/>
    <cellStyle name="40% - Accent5 2 2 3 9" xfId="4386" xr:uid="{00000000-0005-0000-0000-0000D8430000}"/>
    <cellStyle name="40% - Accent5 2 2 3 9 2" xfId="16246" xr:uid="{00000000-0005-0000-0000-0000D9430000}"/>
    <cellStyle name="40% - Accent5 2 2 3 9 2 2" xfId="29653" xr:uid="{00000000-0005-0000-0000-0000DA430000}"/>
    <cellStyle name="40% - Accent5 2 2 3 9 3" xfId="23008" xr:uid="{00000000-0005-0000-0000-0000DB430000}"/>
    <cellStyle name="40% - Accent5 2 2 4" xfId="4387" xr:uid="{00000000-0005-0000-0000-0000DC430000}"/>
    <cellStyle name="40% - Accent5 2 2 4 2" xfId="4388" xr:uid="{00000000-0005-0000-0000-0000DD430000}"/>
    <cellStyle name="40% - Accent5 2 2 4 2 2" xfId="11180" xr:uid="{00000000-0005-0000-0000-0000DE430000}"/>
    <cellStyle name="40% - Accent5 2 2 4 2 2 2" xfId="25122" xr:uid="{00000000-0005-0000-0000-0000DF430000}"/>
    <cellStyle name="40% - Accent5 2 2 4 2 3" xfId="23007" xr:uid="{00000000-0005-0000-0000-0000E0430000}"/>
    <cellStyle name="40% - Accent5 2 2 4 3" xfId="4389" xr:uid="{00000000-0005-0000-0000-0000E1430000}"/>
    <cellStyle name="40% - Accent5 2 2 4 3 2" xfId="12961" xr:uid="{00000000-0005-0000-0000-0000E2430000}"/>
    <cellStyle name="40% - Accent5 2 2 4 3 2 2" xfId="26673" xr:uid="{00000000-0005-0000-0000-0000E3430000}"/>
    <cellStyle name="40% - Accent5 2 2 4 3 3" xfId="23006" xr:uid="{00000000-0005-0000-0000-0000E4430000}"/>
    <cellStyle name="40% - Accent5 2 2 4 4" xfId="4390" xr:uid="{00000000-0005-0000-0000-0000E5430000}"/>
    <cellStyle name="40% - Accent5 2 2 4 4 2" xfId="15399" xr:uid="{00000000-0005-0000-0000-0000E6430000}"/>
    <cellStyle name="40% - Accent5 2 2 4 4 2 2" xfId="28948" xr:uid="{00000000-0005-0000-0000-0000E7430000}"/>
    <cellStyle name="40% - Accent5 2 2 4 4 3" xfId="24268" xr:uid="{00000000-0005-0000-0000-0000E8430000}"/>
    <cellStyle name="40% - Accent5 2 2 4 5" xfId="4391" xr:uid="{00000000-0005-0000-0000-0000E9430000}"/>
    <cellStyle name="40% - Accent5 2 2 4 5 2" xfId="17174" xr:uid="{00000000-0005-0000-0000-0000EA430000}"/>
    <cellStyle name="40% - Accent5 2 2 4 5 2 2" xfId="30533" xr:uid="{00000000-0005-0000-0000-0000EB430000}"/>
    <cellStyle name="40% - Accent5 2 2 4 5 3" xfId="23005" xr:uid="{00000000-0005-0000-0000-0000EC430000}"/>
    <cellStyle name="40% - Accent5 2 2 4 6" xfId="9453" xr:uid="{00000000-0005-0000-0000-0000ED430000}"/>
    <cellStyle name="40% - Accent5 2 2 4 6 2" xfId="23928" xr:uid="{00000000-0005-0000-0000-0000EE430000}"/>
    <cellStyle name="40% - Accent5 2 2 4 7" xfId="26852" xr:uid="{00000000-0005-0000-0000-0000EF430000}"/>
    <cellStyle name="40% - Accent5 2 2 5" xfId="4392" xr:uid="{00000000-0005-0000-0000-0000F0430000}"/>
    <cellStyle name="40% - Accent5 2 2 5 2" xfId="4393" xr:uid="{00000000-0005-0000-0000-0000F1430000}"/>
    <cellStyle name="40% - Accent5 2 2 5 2 2" xfId="15400" xr:uid="{00000000-0005-0000-0000-0000F2430000}"/>
    <cellStyle name="40% - Accent5 2 2 5 2 2 2" xfId="28949" xr:uid="{00000000-0005-0000-0000-0000F3430000}"/>
    <cellStyle name="40% - Accent5 2 2 5 2 3" xfId="23004" xr:uid="{00000000-0005-0000-0000-0000F4430000}"/>
    <cellStyle name="40% - Accent5 2 2 5 3" xfId="4394" xr:uid="{00000000-0005-0000-0000-0000F5430000}"/>
    <cellStyle name="40% - Accent5 2 2 5 3 2" xfId="17263" xr:uid="{00000000-0005-0000-0000-0000F6430000}"/>
    <cellStyle name="40% - Accent5 2 2 5 3 2 2" xfId="30622" xr:uid="{00000000-0005-0000-0000-0000F7430000}"/>
    <cellStyle name="40% - Accent5 2 2 5 3 3" xfId="23003" xr:uid="{00000000-0005-0000-0000-0000F8430000}"/>
    <cellStyle name="40% - Accent5 2 2 5 4" xfId="11173" xr:uid="{00000000-0005-0000-0000-0000F9430000}"/>
    <cellStyle name="40% - Accent5 2 2 5 4 2" xfId="25115" xr:uid="{00000000-0005-0000-0000-0000FA430000}"/>
    <cellStyle name="40% - Accent5 2 2 5 5" xfId="25282" xr:uid="{00000000-0005-0000-0000-0000FB430000}"/>
    <cellStyle name="40% - Accent5 2 2 6" xfId="4395" xr:uid="{00000000-0005-0000-0000-0000FC430000}"/>
    <cellStyle name="40% - Accent5 2 2 6 2" xfId="4396" xr:uid="{00000000-0005-0000-0000-0000FD430000}"/>
    <cellStyle name="40% - Accent5 2 2 6 2 2" xfId="16538" xr:uid="{00000000-0005-0000-0000-0000FE430000}"/>
    <cellStyle name="40% - Accent5 2 2 6 2 2 2" xfId="29945" xr:uid="{00000000-0005-0000-0000-0000FF430000}"/>
    <cellStyle name="40% - Accent5 2 2 6 2 3" xfId="23002" xr:uid="{00000000-0005-0000-0000-000000440000}"/>
    <cellStyle name="40% - Accent5 2 2 6 3" xfId="11913" xr:uid="{00000000-0005-0000-0000-000001440000}"/>
    <cellStyle name="40% - Accent5 2 2 6 3 2" xfId="25628" xr:uid="{00000000-0005-0000-0000-000002440000}"/>
    <cellStyle name="40% - Accent5 2 2 6 4" xfId="24266" xr:uid="{00000000-0005-0000-0000-000003440000}"/>
    <cellStyle name="40% - Accent5 2 2 7" xfId="4397" xr:uid="{00000000-0005-0000-0000-000004440000}"/>
    <cellStyle name="40% - Accent5 2 2 7 2" xfId="12954" xr:uid="{00000000-0005-0000-0000-000005440000}"/>
    <cellStyle name="40% - Accent5 2 2 7 2 2" xfId="26666" xr:uid="{00000000-0005-0000-0000-000006440000}"/>
    <cellStyle name="40% - Accent5 2 2 7 3" xfId="23001" xr:uid="{00000000-0005-0000-0000-000007440000}"/>
    <cellStyle name="40% - Accent5 2 2 8" xfId="4398" xr:uid="{00000000-0005-0000-0000-000008440000}"/>
    <cellStyle name="40% - Accent5 2 2 8 2" xfId="13490" xr:uid="{00000000-0005-0000-0000-000009440000}"/>
    <cellStyle name="40% - Accent5 2 2 8 2 2" xfId="27039" xr:uid="{00000000-0005-0000-0000-00000A440000}"/>
    <cellStyle name="40% - Accent5 2 2 8 3" xfId="29157" xr:uid="{00000000-0005-0000-0000-00000B440000}"/>
    <cellStyle name="40% - Accent5 2 2 9" xfId="4399" xr:uid="{00000000-0005-0000-0000-00000C440000}"/>
    <cellStyle name="40% - Accent5 2 2 9 2" xfId="14071" xr:uid="{00000000-0005-0000-0000-00000D440000}"/>
    <cellStyle name="40% - Accent5 2 2 9 2 2" xfId="27620" xr:uid="{00000000-0005-0000-0000-00000E440000}"/>
    <cellStyle name="40% - Accent5 2 2 9 3" xfId="23000" xr:uid="{00000000-0005-0000-0000-00000F440000}"/>
    <cellStyle name="40% - Accent5 2 3" xfId="4400" xr:uid="{00000000-0005-0000-0000-000010440000}"/>
    <cellStyle name="40% - Accent5 2 3 10" xfId="4401" xr:uid="{00000000-0005-0000-0000-000011440000}"/>
    <cellStyle name="40% - Accent5 2 3 10 2" xfId="16054" xr:uid="{00000000-0005-0000-0000-000012440000}"/>
    <cellStyle name="40% - Accent5 2 3 10 2 2" xfId="29461" xr:uid="{00000000-0005-0000-0000-000013440000}"/>
    <cellStyle name="40% - Accent5 2 3 10 3" xfId="26851" xr:uid="{00000000-0005-0000-0000-000014440000}"/>
    <cellStyle name="40% - Accent5 2 3 11" xfId="9454" xr:uid="{00000000-0005-0000-0000-000015440000}"/>
    <cellStyle name="40% - Accent5 2 3 11 2" xfId="23929" xr:uid="{00000000-0005-0000-0000-000016440000}"/>
    <cellStyle name="40% - Accent5 2 3 12" xfId="22999" xr:uid="{00000000-0005-0000-0000-000017440000}"/>
    <cellStyle name="40% - Accent5 2 3 2" xfId="4402" xr:uid="{00000000-0005-0000-0000-000018440000}"/>
    <cellStyle name="40% - Accent5 2 3 2 10" xfId="9455" xr:uid="{00000000-0005-0000-0000-000019440000}"/>
    <cellStyle name="40% - Accent5 2 3 2 10 2" xfId="23930" xr:uid="{00000000-0005-0000-0000-00001A440000}"/>
    <cellStyle name="40% - Accent5 2 3 2 11" xfId="22998" xr:uid="{00000000-0005-0000-0000-00001B440000}"/>
    <cellStyle name="40% - Accent5 2 3 2 2" xfId="4403" xr:uid="{00000000-0005-0000-0000-00001C440000}"/>
    <cellStyle name="40% - Accent5 2 3 2 2 2" xfId="4404" xr:uid="{00000000-0005-0000-0000-00001D440000}"/>
    <cellStyle name="40% - Accent5 2 3 2 2 2 2" xfId="11183" xr:uid="{00000000-0005-0000-0000-00001E440000}"/>
    <cellStyle name="40% - Accent5 2 3 2 2 2 2 2" xfId="25125" xr:uid="{00000000-0005-0000-0000-00001F440000}"/>
    <cellStyle name="40% - Accent5 2 3 2 2 2 3" xfId="24267" xr:uid="{00000000-0005-0000-0000-000020440000}"/>
    <cellStyle name="40% - Accent5 2 3 2 2 3" xfId="4405" xr:uid="{00000000-0005-0000-0000-000021440000}"/>
    <cellStyle name="40% - Accent5 2 3 2 2 3 2" xfId="12964" xr:uid="{00000000-0005-0000-0000-000022440000}"/>
    <cellStyle name="40% - Accent5 2 3 2 2 3 2 2" xfId="26676" xr:uid="{00000000-0005-0000-0000-000023440000}"/>
    <cellStyle name="40% - Accent5 2 3 2 2 3 3" xfId="22996" xr:uid="{00000000-0005-0000-0000-000024440000}"/>
    <cellStyle name="40% - Accent5 2 3 2 2 4" xfId="4406" xr:uid="{00000000-0005-0000-0000-000025440000}"/>
    <cellStyle name="40% - Accent5 2 3 2 2 4 2" xfId="15403" xr:uid="{00000000-0005-0000-0000-000026440000}"/>
    <cellStyle name="40% - Accent5 2 3 2 2 4 2 2" xfId="28952" xr:uid="{00000000-0005-0000-0000-000027440000}"/>
    <cellStyle name="40% - Accent5 2 3 2 2 4 3" xfId="25281" xr:uid="{00000000-0005-0000-0000-000028440000}"/>
    <cellStyle name="40% - Accent5 2 3 2 2 5" xfId="4407" xr:uid="{00000000-0005-0000-0000-000029440000}"/>
    <cellStyle name="40% - Accent5 2 3 2 2 5 2" xfId="16924" xr:uid="{00000000-0005-0000-0000-00002A440000}"/>
    <cellStyle name="40% - Accent5 2 3 2 2 5 2 2" xfId="30331" xr:uid="{00000000-0005-0000-0000-00002B440000}"/>
    <cellStyle name="40% - Accent5 2 3 2 2 5 3" xfId="22995" xr:uid="{00000000-0005-0000-0000-00002C440000}"/>
    <cellStyle name="40% - Accent5 2 3 2 2 6" xfId="9456" xr:uid="{00000000-0005-0000-0000-00002D440000}"/>
    <cellStyle name="40% - Accent5 2 3 2 2 6 2" xfId="23931" xr:uid="{00000000-0005-0000-0000-00002E440000}"/>
    <cellStyle name="40% - Accent5 2 3 2 2 7" xfId="22997" xr:uid="{00000000-0005-0000-0000-00002F440000}"/>
    <cellStyle name="40% - Accent5 2 3 2 3" xfId="4408" xr:uid="{00000000-0005-0000-0000-000030440000}"/>
    <cellStyle name="40% - Accent5 2 3 2 3 2" xfId="4409" xr:uid="{00000000-0005-0000-0000-000031440000}"/>
    <cellStyle name="40% - Accent5 2 3 2 3 2 2" xfId="15404" xr:uid="{00000000-0005-0000-0000-000032440000}"/>
    <cellStyle name="40% - Accent5 2 3 2 3 2 2 2" xfId="28953" xr:uid="{00000000-0005-0000-0000-000033440000}"/>
    <cellStyle name="40% - Accent5 2 3 2 3 2 3" xfId="22993" xr:uid="{00000000-0005-0000-0000-000034440000}"/>
    <cellStyle name="40% - Accent5 2 3 2 3 3" xfId="11182" xr:uid="{00000000-0005-0000-0000-000035440000}"/>
    <cellStyle name="40% - Accent5 2 3 2 3 3 2" xfId="25124" xr:uid="{00000000-0005-0000-0000-000036440000}"/>
    <cellStyle name="40% - Accent5 2 3 2 3 4" xfId="22994" xr:uid="{00000000-0005-0000-0000-000037440000}"/>
    <cellStyle name="40% - Accent5 2 3 2 4" xfId="4410" xr:uid="{00000000-0005-0000-0000-000038440000}"/>
    <cellStyle name="40% - Accent5 2 3 2 4 2" xfId="12312" xr:uid="{00000000-0005-0000-0000-000039440000}"/>
    <cellStyle name="40% - Accent5 2 3 2 4 2 2" xfId="26024" xr:uid="{00000000-0005-0000-0000-00003A440000}"/>
    <cellStyle name="40% - Accent5 2 3 2 4 3" xfId="22992" xr:uid="{00000000-0005-0000-0000-00003B440000}"/>
    <cellStyle name="40% - Accent5 2 3 2 5" xfId="4411" xr:uid="{00000000-0005-0000-0000-00003C440000}"/>
    <cellStyle name="40% - Accent5 2 3 2 5 2" xfId="12963" xr:uid="{00000000-0005-0000-0000-00003D440000}"/>
    <cellStyle name="40% - Accent5 2 3 2 5 2 2" xfId="26675" xr:uid="{00000000-0005-0000-0000-00003E440000}"/>
    <cellStyle name="40% - Accent5 2 3 2 5 3" xfId="24264" xr:uid="{00000000-0005-0000-0000-00003F440000}"/>
    <cellStyle name="40% - Accent5 2 3 2 6" xfId="4412" xr:uid="{00000000-0005-0000-0000-000040440000}"/>
    <cellStyle name="40% - Accent5 2 3 2 6 2" xfId="13876" xr:uid="{00000000-0005-0000-0000-000041440000}"/>
    <cellStyle name="40% - Accent5 2 3 2 6 2 2" xfId="27425" xr:uid="{00000000-0005-0000-0000-000042440000}"/>
    <cellStyle name="40% - Accent5 2 3 2 6 3" xfId="22991" xr:uid="{00000000-0005-0000-0000-000043440000}"/>
    <cellStyle name="40% - Accent5 2 3 2 7" xfId="4413" xr:uid="{00000000-0005-0000-0000-000044440000}"/>
    <cellStyle name="40% - Accent5 2 3 2 7 2" xfId="14457" xr:uid="{00000000-0005-0000-0000-000045440000}"/>
    <cellStyle name="40% - Accent5 2 3 2 7 2 2" xfId="28006" xr:uid="{00000000-0005-0000-0000-000046440000}"/>
    <cellStyle name="40% - Accent5 2 3 2 7 3" xfId="30657" xr:uid="{00000000-0005-0000-0000-000047440000}"/>
    <cellStyle name="40% - Accent5 2 3 2 8" xfId="4414" xr:uid="{00000000-0005-0000-0000-000048440000}"/>
    <cellStyle name="40% - Accent5 2 3 2 8 2" xfId="15402" xr:uid="{00000000-0005-0000-0000-000049440000}"/>
    <cellStyle name="40% - Accent5 2 3 2 8 2 2" xfId="28951" xr:uid="{00000000-0005-0000-0000-00004A440000}"/>
    <cellStyle name="40% - Accent5 2 3 2 8 3" xfId="22990" xr:uid="{00000000-0005-0000-0000-00004B440000}"/>
    <cellStyle name="40% - Accent5 2 3 2 9" xfId="4415" xr:uid="{00000000-0005-0000-0000-00004C440000}"/>
    <cellStyle name="40% - Accent5 2 3 2 9 2" xfId="16343" xr:uid="{00000000-0005-0000-0000-00004D440000}"/>
    <cellStyle name="40% - Accent5 2 3 2 9 2 2" xfId="29750" xr:uid="{00000000-0005-0000-0000-00004E440000}"/>
    <cellStyle name="40% - Accent5 2 3 2 9 3" xfId="22989" xr:uid="{00000000-0005-0000-0000-00004F440000}"/>
    <cellStyle name="40% - Accent5 2 3 3" xfId="4416" xr:uid="{00000000-0005-0000-0000-000050440000}"/>
    <cellStyle name="40% - Accent5 2 3 3 2" xfId="4417" xr:uid="{00000000-0005-0000-0000-000051440000}"/>
    <cellStyle name="40% - Accent5 2 3 3 2 2" xfId="11184" xr:uid="{00000000-0005-0000-0000-000052440000}"/>
    <cellStyle name="40% - Accent5 2 3 3 2 2 2" xfId="25126" xr:uid="{00000000-0005-0000-0000-000053440000}"/>
    <cellStyle name="40% - Accent5 2 3 3 2 3" xfId="22987" xr:uid="{00000000-0005-0000-0000-000054440000}"/>
    <cellStyle name="40% - Accent5 2 3 3 3" xfId="4418" xr:uid="{00000000-0005-0000-0000-000055440000}"/>
    <cellStyle name="40% - Accent5 2 3 3 3 2" xfId="12965" xr:uid="{00000000-0005-0000-0000-000056440000}"/>
    <cellStyle name="40% - Accent5 2 3 3 3 2 2" xfId="26677" xr:uid="{00000000-0005-0000-0000-000057440000}"/>
    <cellStyle name="40% - Accent5 2 3 3 3 3" xfId="29156" xr:uid="{00000000-0005-0000-0000-000058440000}"/>
    <cellStyle name="40% - Accent5 2 3 3 4" xfId="4419" xr:uid="{00000000-0005-0000-0000-000059440000}"/>
    <cellStyle name="40% - Accent5 2 3 3 4 2" xfId="15405" xr:uid="{00000000-0005-0000-0000-00005A440000}"/>
    <cellStyle name="40% - Accent5 2 3 3 4 2 2" xfId="28954" xr:uid="{00000000-0005-0000-0000-00005B440000}"/>
    <cellStyle name="40% - Accent5 2 3 3 4 3" xfId="22986" xr:uid="{00000000-0005-0000-0000-00005C440000}"/>
    <cellStyle name="40% - Accent5 2 3 3 5" xfId="4420" xr:uid="{00000000-0005-0000-0000-00005D440000}"/>
    <cellStyle name="40% - Accent5 2 3 3 5 2" xfId="16635" xr:uid="{00000000-0005-0000-0000-00005E440000}"/>
    <cellStyle name="40% - Accent5 2 3 3 5 2 2" xfId="30042" xr:uid="{00000000-0005-0000-0000-00005F440000}"/>
    <cellStyle name="40% - Accent5 2 3 3 5 3" xfId="22985" xr:uid="{00000000-0005-0000-0000-000060440000}"/>
    <cellStyle name="40% - Accent5 2 3 3 6" xfId="9457" xr:uid="{00000000-0005-0000-0000-000061440000}"/>
    <cellStyle name="40% - Accent5 2 3 3 6 2" xfId="23932" xr:uid="{00000000-0005-0000-0000-000062440000}"/>
    <cellStyle name="40% - Accent5 2 3 3 7" xfId="22988" xr:uid="{00000000-0005-0000-0000-000063440000}"/>
    <cellStyle name="40% - Accent5 2 3 4" xfId="4421" xr:uid="{00000000-0005-0000-0000-000064440000}"/>
    <cellStyle name="40% - Accent5 2 3 4 2" xfId="4422" xr:uid="{00000000-0005-0000-0000-000065440000}"/>
    <cellStyle name="40% - Accent5 2 3 4 2 2" xfId="15406" xr:uid="{00000000-0005-0000-0000-000066440000}"/>
    <cellStyle name="40% - Accent5 2 3 4 2 2 2" xfId="28955" xr:uid="{00000000-0005-0000-0000-000067440000}"/>
    <cellStyle name="40% - Accent5 2 3 4 2 3" xfId="22984" xr:uid="{00000000-0005-0000-0000-000068440000}"/>
    <cellStyle name="40% - Accent5 2 3 4 3" xfId="11181" xr:uid="{00000000-0005-0000-0000-000069440000}"/>
    <cellStyle name="40% - Accent5 2 3 4 3 2" xfId="25123" xr:uid="{00000000-0005-0000-0000-00006A440000}"/>
    <cellStyle name="40% - Accent5 2 3 4 4" xfId="24263" xr:uid="{00000000-0005-0000-0000-00006B440000}"/>
    <cellStyle name="40% - Accent5 2 3 5" xfId="4423" xr:uid="{00000000-0005-0000-0000-00006C440000}"/>
    <cellStyle name="40% - Accent5 2 3 5 2" xfId="12012" xr:uid="{00000000-0005-0000-0000-00006D440000}"/>
    <cellStyle name="40% - Accent5 2 3 5 2 2" xfId="25727" xr:uid="{00000000-0005-0000-0000-00006E440000}"/>
    <cellStyle name="40% - Accent5 2 3 5 3" xfId="25280" xr:uid="{00000000-0005-0000-0000-00006F440000}"/>
    <cellStyle name="40% - Accent5 2 3 6" xfId="4424" xr:uid="{00000000-0005-0000-0000-000070440000}"/>
    <cellStyle name="40% - Accent5 2 3 6 2" xfId="12962" xr:uid="{00000000-0005-0000-0000-000071440000}"/>
    <cellStyle name="40% - Accent5 2 3 6 2 2" xfId="26674" xr:uid="{00000000-0005-0000-0000-000072440000}"/>
    <cellStyle name="40% - Accent5 2 3 6 3" xfId="22983" xr:uid="{00000000-0005-0000-0000-000073440000}"/>
    <cellStyle name="40% - Accent5 2 3 7" xfId="4425" xr:uid="{00000000-0005-0000-0000-000074440000}"/>
    <cellStyle name="40% - Accent5 2 3 7 2" xfId="13587" xr:uid="{00000000-0005-0000-0000-000075440000}"/>
    <cellStyle name="40% - Accent5 2 3 7 2 2" xfId="27136" xr:uid="{00000000-0005-0000-0000-000076440000}"/>
    <cellStyle name="40% - Accent5 2 3 7 3" xfId="22982" xr:uid="{00000000-0005-0000-0000-000077440000}"/>
    <cellStyle name="40% - Accent5 2 3 8" xfId="4426" xr:uid="{00000000-0005-0000-0000-000078440000}"/>
    <cellStyle name="40% - Accent5 2 3 8 2" xfId="14168" xr:uid="{00000000-0005-0000-0000-000079440000}"/>
    <cellStyle name="40% - Accent5 2 3 8 2 2" xfId="27717" xr:uid="{00000000-0005-0000-0000-00007A440000}"/>
    <cellStyle name="40% - Accent5 2 3 8 3" xfId="24262" xr:uid="{00000000-0005-0000-0000-00007B440000}"/>
    <cellStyle name="40% - Accent5 2 3 9" xfId="4427" xr:uid="{00000000-0005-0000-0000-00007C440000}"/>
    <cellStyle name="40% - Accent5 2 3 9 2" xfId="15401" xr:uid="{00000000-0005-0000-0000-00007D440000}"/>
    <cellStyle name="40% - Accent5 2 3 9 2 2" xfId="28950" xr:uid="{00000000-0005-0000-0000-00007E440000}"/>
    <cellStyle name="40% - Accent5 2 3 9 3" xfId="22981" xr:uid="{00000000-0005-0000-0000-00007F440000}"/>
    <cellStyle name="40% - Accent5 2 4" xfId="4428" xr:uid="{00000000-0005-0000-0000-000080440000}"/>
    <cellStyle name="40% - Accent5 2 4 10" xfId="9458" xr:uid="{00000000-0005-0000-0000-000081440000}"/>
    <cellStyle name="40% - Accent5 2 4 10 2" xfId="23933" xr:uid="{00000000-0005-0000-0000-000082440000}"/>
    <cellStyle name="40% - Accent5 2 4 11" xfId="26850" xr:uid="{00000000-0005-0000-0000-000083440000}"/>
    <cellStyle name="40% - Accent5 2 4 2" xfId="4429" xr:uid="{00000000-0005-0000-0000-000084440000}"/>
    <cellStyle name="40% - Accent5 2 4 2 2" xfId="4430" xr:uid="{00000000-0005-0000-0000-000085440000}"/>
    <cellStyle name="40% - Accent5 2 4 2 2 2" xfId="11186" xr:uid="{00000000-0005-0000-0000-000086440000}"/>
    <cellStyle name="40% - Accent5 2 4 2 2 2 2" xfId="25128" xr:uid="{00000000-0005-0000-0000-000087440000}"/>
    <cellStyle name="40% - Accent5 2 4 2 2 3" xfId="22979" xr:uid="{00000000-0005-0000-0000-000088440000}"/>
    <cellStyle name="40% - Accent5 2 4 2 3" xfId="4431" xr:uid="{00000000-0005-0000-0000-000089440000}"/>
    <cellStyle name="40% - Accent5 2 4 2 3 2" xfId="12967" xr:uid="{00000000-0005-0000-0000-00008A440000}"/>
    <cellStyle name="40% - Accent5 2 4 2 3 2 2" xfId="26679" xr:uid="{00000000-0005-0000-0000-00008B440000}"/>
    <cellStyle name="40% - Accent5 2 4 2 3 3" xfId="24260" xr:uid="{00000000-0005-0000-0000-00008C440000}"/>
    <cellStyle name="40% - Accent5 2 4 2 4" xfId="4432" xr:uid="{00000000-0005-0000-0000-00008D440000}"/>
    <cellStyle name="40% - Accent5 2 4 2 4 2" xfId="15408" xr:uid="{00000000-0005-0000-0000-00008E440000}"/>
    <cellStyle name="40% - Accent5 2 4 2 4 2 2" xfId="28957" xr:uid="{00000000-0005-0000-0000-00008F440000}"/>
    <cellStyle name="40% - Accent5 2 4 2 4 3" xfId="22978" xr:uid="{00000000-0005-0000-0000-000090440000}"/>
    <cellStyle name="40% - Accent5 2 4 2 5" xfId="4433" xr:uid="{00000000-0005-0000-0000-000091440000}"/>
    <cellStyle name="40% - Accent5 2 4 2 5 2" xfId="16781" xr:uid="{00000000-0005-0000-0000-000092440000}"/>
    <cellStyle name="40% - Accent5 2 4 2 5 2 2" xfId="30188" xr:uid="{00000000-0005-0000-0000-000093440000}"/>
    <cellStyle name="40% - Accent5 2 4 2 5 3" xfId="22977" xr:uid="{00000000-0005-0000-0000-000094440000}"/>
    <cellStyle name="40% - Accent5 2 4 2 6" xfId="9459" xr:uid="{00000000-0005-0000-0000-000095440000}"/>
    <cellStyle name="40% - Accent5 2 4 2 6 2" xfId="23934" xr:uid="{00000000-0005-0000-0000-000096440000}"/>
    <cellStyle name="40% - Accent5 2 4 2 7" xfId="22980" xr:uid="{00000000-0005-0000-0000-000097440000}"/>
    <cellStyle name="40% - Accent5 2 4 3" xfId="4434" xr:uid="{00000000-0005-0000-0000-000098440000}"/>
    <cellStyle name="40% - Accent5 2 4 3 2" xfId="4435" xr:uid="{00000000-0005-0000-0000-000099440000}"/>
    <cellStyle name="40% - Accent5 2 4 3 2 2" xfId="15409" xr:uid="{00000000-0005-0000-0000-00009A440000}"/>
    <cellStyle name="40% - Accent5 2 4 3 2 2 2" xfId="28958" xr:uid="{00000000-0005-0000-0000-00009B440000}"/>
    <cellStyle name="40% - Accent5 2 4 3 2 3" xfId="22976" xr:uid="{00000000-0005-0000-0000-00009C440000}"/>
    <cellStyle name="40% - Accent5 2 4 3 3" xfId="11185" xr:uid="{00000000-0005-0000-0000-00009D440000}"/>
    <cellStyle name="40% - Accent5 2 4 3 3 2" xfId="25127" xr:uid="{00000000-0005-0000-0000-00009E440000}"/>
    <cellStyle name="40% - Accent5 2 4 3 4" xfId="29155" xr:uid="{00000000-0005-0000-0000-00009F440000}"/>
    <cellStyle name="40% - Accent5 2 4 4" xfId="4436" xr:uid="{00000000-0005-0000-0000-0000A0440000}"/>
    <cellStyle name="40% - Accent5 2 4 4 2" xfId="12169" xr:uid="{00000000-0005-0000-0000-0000A1440000}"/>
    <cellStyle name="40% - Accent5 2 4 4 2 2" xfId="25881" xr:uid="{00000000-0005-0000-0000-0000A2440000}"/>
    <cellStyle name="40% - Accent5 2 4 4 3" xfId="22975" xr:uid="{00000000-0005-0000-0000-0000A3440000}"/>
    <cellStyle name="40% - Accent5 2 4 5" xfId="4437" xr:uid="{00000000-0005-0000-0000-0000A4440000}"/>
    <cellStyle name="40% - Accent5 2 4 5 2" xfId="12966" xr:uid="{00000000-0005-0000-0000-0000A5440000}"/>
    <cellStyle name="40% - Accent5 2 4 5 2 2" xfId="26678" xr:uid="{00000000-0005-0000-0000-0000A6440000}"/>
    <cellStyle name="40% - Accent5 2 4 5 3" xfId="26849" xr:uid="{00000000-0005-0000-0000-0000A7440000}"/>
    <cellStyle name="40% - Accent5 2 4 6" xfId="4438" xr:uid="{00000000-0005-0000-0000-0000A8440000}"/>
    <cellStyle name="40% - Accent5 2 4 6 2" xfId="13733" xr:uid="{00000000-0005-0000-0000-0000A9440000}"/>
    <cellStyle name="40% - Accent5 2 4 6 2 2" xfId="27282" xr:uid="{00000000-0005-0000-0000-0000AA440000}"/>
    <cellStyle name="40% - Accent5 2 4 6 3" xfId="22974" xr:uid="{00000000-0005-0000-0000-0000AB440000}"/>
    <cellStyle name="40% - Accent5 2 4 7" xfId="4439" xr:uid="{00000000-0005-0000-0000-0000AC440000}"/>
    <cellStyle name="40% - Accent5 2 4 7 2" xfId="14314" xr:uid="{00000000-0005-0000-0000-0000AD440000}"/>
    <cellStyle name="40% - Accent5 2 4 7 2 2" xfId="27863" xr:uid="{00000000-0005-0000-0000-0000AE440000}"/>
    <cellStyle name="40% - Accent5 2 4 7 3" xfId="22973" xr:uid="{00000000-0005-0000-0000-0000AF440000}"/>
    <cellStyle name="40% - Accent5 2 4 8" xfId="4440" xr:uid="{00000000-0005-0000-0000-0000B0440000}"/>
    <cellStyle name="40% - Accent5 2 4 8 2" xfId="15407" xr:uid="{00000000-0005-0000-0000-0000B1440000}"/>
    <cellStyle name="40% - Accent5 2 4 8 2 2" xfId="28956" xr:uid="{00000000-0005-0000-0000-0000B2440000}"/>
    <cellStyle name="40% - Accent5 2 4 8 3" xfId="24261" xr:uid="{00000000-0005-0000-0000-0000B3440000}"/>
    <cellStyle name="40% - Accent5 2 4 9" xfId="4441" xr:uid="{00000000-0005-0000-0000-0000B4440000}"/>
    <cellStyle name="40% - Accent5 2 4 9 2" xfId="16200" xr:uid="{00000000-0005-0000-0000-0000B5440000}"/>
    <cellStyle name="40% - Accent5 2 4 9 2 2" xfId="29607" xr:uid="{00000000-0005-0000-0000-0000B6440000}"/>
    <cellStyle name="40% - Accent5 2 4 9 3" xfId="22972" xr:uid="{00000000-0005-0000-0000-0000B7440000}"/>
    <cellStyle name="40% - Accent5 2 5" xfId="4442" xr:uid="{00000000-0005-0000-0000-0000B8440000}"/>
    <cellStyle name="40% - Accent5 2 5 2" xfId="4443" xr:uid="{00000000-0005-0000-0000-0000B9440000}"/>
    <cellStyle name="40% - Accent5 2 5 2 2" xfId="4444" xr:uid="{00000000-0005-0000-0000-0000BA440000}"/>
    <cellStyle name="40% - Accent5 2 5 2 2 2" xfId="11188" xr:uid="{00000000-0005-0000-0000-0000BB440000}"/>
    <cellStyle name="40% - Accent5 2 5 2 2 2 2" xfId="25130" xr:uid="{00000000-0005-0000-0000-0000BC440000}"/>
    <cellStyle name="40% - Accent5 2 5 2 2 3" xfId="22970" xr:uid="{00000000-0005-0000-0000-0000BD440000}"/>
    <cellStyle name="40% - Accent5 2 5 2 3" xfId="4445" xr:uid="{00000000-0005-0000-0000-0000BE440000}"/>
    <cellStyle name="40% - Accent5 2 5 2 3 2" xfId="12969" xr:uid="{00000000-0005-0000-0000-0000BF440000}"/>
    <cellStyle name="40% - Accent5 2 5 2 3 2 2" xfId="26681" xr:uid="{00000000-0005-0000-0000-0000C0440000}"/>
    <cellStyle name="40% - Accent5 2 5 2 3 3" xfId="22969" xr:uid="{00000000-0005-0000-0000-0000C1440000}"/>
    <cellStyle name="40% - Accent5 2 5 2 4" xfId="4446" xr:uid="{00000000-0005-0000-0000-0000C2440000}"/>
    <cellStyle name="40% - Accent5 2 5 2 4 2" xfId="15411" xr:uid="{00000000-0005-0000-0000-0000C3440000}"/>
    <cellStyle name="40% - Accent5 2 5 2 4 2 2" xfId="28960" xr:uid="{00000000-0005-0000-0000-0000C4440000}"/>
    <cellStyle name="40% - Accent5 2 5 2 4 3" xfId="24256" xr:uid="{00000000-0005-0000-0000-0000C5440000}"/>
    <cellStyle name="40% - Accent5 2 5 2 5" xfId="9461" xr:uid="{00000000-0005-0000-0000-0000C6440000}"/>
    <cellStyle name="40% - Accent5 2 5 2 5 2" xfId="23936" xr:uid="{00000000-0005-0000-0000-0000C7440000}"/>
    <cellStyle name="40% - Accent5 2 5 2 6" xfId="22971" xr:uid="{00000000-0005-0000-0000-0000C8440000}"/>
    <cellStyle name="40% - Accent5 2 5 3" xfId="4447" xr:uid="{00000000-0005-0000-0000-0000C9440000}"/>
    <cellStyle name="40% - Accent5 2 5 3 2" xfId="11187" xr:uid="{00000000-0005-0000-0000-0000CA440000}"/>
    <cellStyle name="40% - Accent5 2 5 3 2 2" xfId="25129" xr:uid="{00000000-0005-0000-0000-0000CB440000}"/>
    <cellStyle name="40% - Accent5 2 5 3 3" xfId="22968" xr:uid="{00000000-0005-0000-0000-0000CC440000}"/>
    <cellStyle name="40% - Accent5 2 5 4" xfId="4448" xr:uid="{00000000-0005-0000-0000-0000CD440000}"/>
    <cellStyle name="40% - Accent5 2 5 4 2" xfId="12968" xr:uid="{00000000-0005-0000-0000-0000CE440000}"/>
    <cellStyle name="40% - Accent5 2 5 4 2 2" xfId="26680" xr:uid="{00000000-0005-0000-0000-0000CF440000}"/>
    <cellStyle name="40% - Accent5 2 5 4 3" xfId="22967" xr:uid="{00000000-0005-0000-0000-0000D0440000}"/>
    <cellStyle name="40% - Accent5 2 5 5" xfId="4449" xr:uid="{00000000-0005-0000-0000-0000D1440000}"/>
    <cellStyle name="40% - Accent5 2 5 5 2" xfId="15410" xr:uid="{00000000-0005-0000-0000-0000D2440000}"/>
    <cellStyle name="40% - Accent5 2 5 5 2 2" xfId="28959" xr:uid="{00000000-0005-0000-0000-0000D3440000}"/>
    <cellStyle name="40% - Accent5 2 5 5 3" xfId="29154" xr:uid="{00000000-0005-0000-0000-0000D4440000}"/>
    <cellStyle name="40% - Accent5 2 5 6" xfId="4450" xr:uid="{00000000-0005-0000-0000-0000D5440000}"/>
    <cellStyle name="40% - Accent5 2 5 6 2" xfId="17017" xr:uid="{00000000-0005-0000-0000-0000D6440000}"/>
    <cellStyle name="40% - Accent5 2 5 6 2 2" xfId="30424" xr:uid="{00000000-0005-0000-0000-0000D7440000}"/>
    <cellStyle name="40% - Accent5 2 5 6 3" xfId="22966" xr:uid="{00000000-0005-0000-0000-0000D8440000}"/>
    <cellStyle name="40% - Accent5 2 5 7" xfId="9460" xr:uid="{00000000-0005-0000-0000-0000D9440000}"/>
    <cellStyle name="40% - Accent5 2 5 7 2" xfId="23935" xr:uid="{00000000-0005-0000-0000-0000DA440000}"/>
    <cellStyle name="40% - Accent5 2 5 8" xfId="25279" xr:uid="{00000000-0005-0000-0000-0000DB440000}"/>
    <cellStyle name="40% - Accent5 2 6" xfId="4451" xr:uid="{00000000-0005-0000-0000-0000DC440000}"/>
    <cellStyle name="40% - Accent5 2 6 2" xfId="4452" xr:uid="{00000000-0005-0000-0000-0000DD440000}"/>
    <cellStyle name="40% - Accent5 2 6 2 2" xfId="11189" xr:uid="{00000000-0005-0000-0000-0000DE440000}"/>
    <cellStyle name="40% - Accent5 2 6 2 2 2" xfId="25131" xr:uid="{00000000-0005-0000-0000-0000DF440000}"/>
    <cellStyle name="40% - Accent5 2 6 2 3" xfId="26848" xr:uid="{00000000-0005-0000-0000-0000E0440000}"/>
    <cellStyle name="40% - Accent5 2 6 3" xfId="4453" xr:uid="{00000000-0005-0000-0000-0000E1440000}"/>
    <cellStyle name="40% - Accent5 2 6 3 2" xfId="12970" xr:uid="{00000000-0005-0000-0000-0000E2440000}"/>
    <cellStyle name="40% - Accent5 2 6 3 2 2" xfId="26682" xr:uid="{00000000-0005-0000-0000-0000E3440000}"/>
    <cellStyle name="40% - Accent5 2 6 3 3" xfId="22964" xr:uid="{00000000-0005-0000-0000-0000E4440000}"/>
    <cellStyle name="40% - Accent5 2 6 4" xfId="4454" xr:uid="{00000000-0005-0000-0000-0000E5440000}"/>
    <cellStyle name="40% - Accent5 2 6 4 2" xfId="15412" xr:uid="{00000000-0005-0000-0000-0000E6440000}"/>
    <cellStyle name="40% - Accent5 2 6 4 2 2" xfId="28961" xr:uid="{00000000-0005-0000-0000-0000E7440000}"/>
    <cellStyle name="40% - Accent5 2 6 4 3" xfId="22963" xr:uid="{00000000-0005-0000-0000-0000E8440000}"/>
    <cellStyle name="40% - Accent5 2 6 5" xfId="4455" xr:uid="{00000000-0005-0000-0000-0000E9440000}"/>
    <cellStyle name="40% - Accent5 2 6 5 2" xfId="17128" xr:uid="{00000000-0005-0000-0000-0000EA440000}"/>
    <cellStyle name="40% - Accent5 2 6 5 2 2" xfId="30487" xr:uid="{00000000-0005-0000-0000-0000EB440000}"/>
    <cellStyle name="40% - Accent5 2 6 5 3" xfId="24259" xr:uid="{00000000-0005-0000-0000-0000EC440000}"/>
    <cellStyle name="40% - Accent5 2 6 6" xfId="9462" xr:uid="{00000000-0005-0000-0000-0000ED440000}"/>
    <cellStyle name="40% - Accent5 2 6 6 2" xfId="23937" xr:uid="{00000000-0005-0000-0000-0000EE440000}"/>
    <cellStyle name="40% - Accent5 2 6 7" xfId="22965" xr:uid="{00000000-0005-0000-0000-0000EF440000}"/>
    <cellStyle name="40% - Accent5 2 7" xfId="4456" xr:uid="{00000000-0005-0000-0000-0000F0440000}"/>
    <cellStyle name="40% - Accent5 2 7 2" xfId="4457" xr:uid="{00000000-0005-0000-0000-0000F1440000}"/>
    <cellStyle name="40% - Accent5 2 7 2 2" xfId="11190" xr:uid="{00000000-0005-0000-0000-0000F2440000}"/>
    <cellStyle name="40% - Accent5 2 7 2 2 2" xfId="25132" xr:uid="{00000000-0005-0000-0000-0000F3440000}"/>
    <cellStyle name="40% - Accent5 2 7 2 3" xfId="25278" xr:uid="{00000000-0005-0000-0000-0000F4440000}"/>
    <cellStyle name="40% - Accent5 2 7 3" xfId="4458" xr:uid="{00000000-0005-0000-0000-0000F5440000}"/>
    <cellStyle name="40% - Accent5 2 7 3 2" xfId="12971" xr:uid="{00000000-0005-0000-0000-0000F6440000}"/>
    <cellStyle name="40% - Accent5 2 7 3 2 2" xfId="26683" xr:uid="{00000000-0005-0000-0000-0000F7440000}"/>
    <cellStyle name="40% - Accent5 2 7 3 3" xfId="22961" xr:uid="{00000000-0005-0000-0000-0000F8440000}"/>
    <cellStyle name="40% - Accent5 2 7 4" xfId="4459" xr:uid="{00000000-0005-0000-0000-0000F9440000}"/>
    <cellStyle name="40% - Accent5 2 7 4 2" xfId="15413" xr:uid="{00000000-0005-0000-0000-0000FA440000}"/>
    <cellStyle name="40% - Accent5 2 7 4 2 2" xfId="28962" xr:uid="{00000000-0005-0000-0000-0000FB440000}"/>
    <cellStyle name="40% - Accent5 2 7 4 3" xfId="22960" xr:uid="{00000000-0005-0000-0000-0000FC440000}"/>
    <cellStyle name="40% - Accent5 2 7 5" xfId="4460" xr:uid="{00000000-0005-0000-0000-0000FD440000}"/>
    <cellStyle name="40% - Accent5 2 7 5 2" xfId="17217" xr:uid="{00000000-0005-0000-0000-0000FE440000}"/>
    <cellStyle name="40% - Accent5 2 7 5 2 2" xfId="30576" xr:uid="{00000000-0005-0000-0000-0000FF440000}"/>
    <cellStyle name="40% - Accent5 2 7 5 3" xfId="24257" xr:uid="{00000000-0005-0000-0000-000000450000}"/>
    <cellStyle name="40% - Accent5 2 7 6" xfId="9463" xr:uid="{00000000-0005-0000-0000-000001450000}"/>
    <cellStyle name="40% - Accent5 2 7 6 2" xfId="23938" xr:uid="{00000000-0005-0000-0000-000002450000}"/>
    <cellStyle name="40% - Accent5 2 7 7" xfId="22962" xr:uid="{00000000-0005-0000-0000-000003450000}"/>
    <cellStyle name="40% - Accent5 2 8" xfId="4461" xr:uid="{00000000-0005-0000-0000-000004450000}"/>
    <cellStyle name="40% - Accent5 2 8 2" xfId="4462" xr:uid="{00000000-0005-0000-0000-000005450000}"/>
    <cellStyle name="40% - Accent5 2 8 2 2" xfId="12972" xr:uid="{00000000-0005-0000-0000-000006450000}"/>
    <cellStyle name="40% - Accent5 2 8 2 2 2" xfId="26684" xr:uid="{00000000-0005-0000-0000-000007450000}"/>
    <cellStyle name="40% - Accent5 2 8 2 3" xfId="22958" xr:uid="{00000000-0005-0000-0000-000008450000}"/>
    <cellStyle name="40% - Accent5 2 8 3" xfId="4463" xr:uid="{00000000-0005-0000-0000-000009450000}"/>
    <cellStyle name="40% - Accent5 2 8 3 2" xfId="15414" xr:uid="{00000000-0005-0000-0000-00000A450000}"/>
    <cellStyle name="40% - Accent5 2 8 3 2 2" xfId="28963" xr:uid="{00000000-0005-0000-0000-00000B450000}"/>
    <cellStyle name="40% - Accent5 2 8 3 3" xfId="29153" xr:uid="{00000000-0005-0000-0000-00000C450000}"/>
    <cellStyle name="40% - Accent5 2 8 4" xfId="4464" xr:uid="{00000000-0005-0000-0000-00000D450000}"/>
    <cellStyle name="40% - Accent5 2 8 4 2" xfId="16492" xr:uid="{00000000-0005-0000-0000-00000E450000}"/>
    <cellStyle name="40% - Accent5 2 8 4 2 2" xfId="29899" xr:uid="{00000000-0005-0000-0000-00000F450000}"/>
    <cellStyle name="40% - Accent5 2 8 4 3" xfId="22957" xr:uid="{00000000-0005-0000-0000-000010450000}"/>
    <cellStyle name="40% - Accent5 2 8 5" xfId="10538" xr:uid="{00000000-0005-0000-0000-000011450000}"/>
    <cellStyle name="40% - Accent5 2 8 5 2" xfId="24480" xr:uid="{00000000-0005-0000-0000-000012450000}"/>
    <cellStyle name="40% - Accent5 2 8 6" xfId="22959" xr:uid="{00000000-0005-0000-0000-000013450000}"/>
    <cellStyle name="40% - Accent5 2 9" xfId="4465" xr:uid="{00000000-0005-0000-0000-000014450000}"/>
    <cellStyle name="40% - Accent5 2 9 2" xfId="4466" xr:uid="{00000000-0005-0000-0000-000015450000}"/>
    <cellStyle name="40% - Accent5 2 9 2 2" xfId="12973" xr:uid="{00000000-0005-0000-0000-000016450000}"/>
    <cellStyle name="40% - Accent5 2 9 2 2 2" xfId="26685" xr:uid="{00000000-0005-0000-0000-000017450000}"/>
    <cellStyle name="40% - Accent5 2 9 2 3" xfId="26847" xr:uid="{00000000-0005-0000-0000-000018450000}"/>
    <cellStyle name="40% - Accent5 2 9 3" xfId="4467" xr:uid="{00000000-0005-0000-0000-000019450000}"/>
    <cellStyle name="40% - Accent5 2 9 3 2" xfId="15415" xr:uid="{00000000-0005-0000-0000-00001A450000}"/>
    <cellStyle name="40% - Accent5 2 9 3 2 2" xfId="28964" xr:uid="{00000000-0005-0000-0000-00001B450000}"/>
    <cellStyle name="40% - Accent5 2 9 3 3" xfId="22955" xr:uid="{00000000-0005-0000-0000-00001C450000}"/>
    <cellStyle name="40% - Accent5 2 9 4" xfId="11172" xr:uid="{00000000-0005-0000-0000-00001D450000}"/>
    <cellStyle name="40% - Accent5 2 9 4 2" xfId="25114" xr:uid="{00000000-0005-0000-0000-00001E450000}"/>
    <cellStyle name="40% - Accent5 2 9 5" xfId="22956" xr:uid="{00000000-0005-0000-0000-00001F450000}"/>
    <cellStyle name="40% - Accent5 20" xfId="4468" xr:uid="{00000000-0005-0000-0000-000020450000}"/>
    <cellStyle name="40% - Accent5 20 2" xfId="4469" xr:uid="{00000000-0005-0000-0000-000021450000}"/>
    <cellStyle name="40% - Accent5 20 2 2" xfId="12974" xr:uid="{00000000-0005-0000-0000-000022450000}"/>
    <cellStyle name="40% - Accent5 20 2 2 2" xfId="26686" xr:uid="{00000000-0005-0000-0000-000023450000}"/>
    <cellStyle name="40% - Accent5 20 2 3" xfId="24258" xr:uid="{00000000-0005-0000-0000-000024450000}"/>
    <cellStyle name="40% - Accent5 20 3" xfId="4470" xr:uid="{00000000-0005-0000-0000-000025450000}"/>
    <cellStyle name="40% - Accent5 20 3 2" xfId="15416" xr:uid="{00000000-0005-0000-0000-000026450000}"/>
    <cellStyle name="40% - Accent5 20 3 2 2" xfId="28965" xr:uid="{00000000-0005-0000-0000-000027450000}"/>
    <cellStyle name="40% - Accent5 20 3 3" xfId="22953" xr:uid="{00000000-0005-0000-0000-000028450000}"/>
    <cellStyle name="40% - Accent5 20 4" xfId="10513" xr:uid="{00000000-0005-0000-0000-000029450000}"/>
    <cellStyle name="40% - Accent5 20 4 2" xfId="24461" xr:uid="{00000000-0005-0000-0000-00002A450000}"/>
    <cellStyle name="40% - Accent5 20 5" xfId="22954" xr:uid="{00000000-0005-0000-0000-00002B450000}"/>
    <cellStyle name="40% - Accent5 21" xfId="4471" xr:uid="{00000000-0005-0000-0000-00002C450000}"/>
    <cellStyle name="40% - Accent5 21 2" xfId="4472" xr:uid="{00000000-0005-0000-0000-00002D450000}"/>
    <cellStyle name="40% - Accent5 21 2 2" xfId="12975" xr:uid="{00000000-0005-0000-0000-00002E450000}"/>
    <cellStyle name="40% - Accent5 21 2 2 2" xfId="26687" xr:uid="{00000000-0005-0000-0000-00002F450000}"/>
    <cellStyle name="40% - Accent5 21 2 3" xfId="22952" xr:uid="{00000000-0005-0000-0000-000030450000}"/>
    <cellStyle name="40% - Accent5 21 3" xfId="4473" xr:uid="{00000000-0005-0000-0000-000031450000}"/>
    <cellStyle name="40% - Accent5 21 3 2" xfId="15417" xr:uid="{00000000-0005-0000-0000-000032450000}"/>
    <cellStyle name="40% - Accent5 21 3 2 2" xfId="28966" xr:uid="{00000000-0005-0000-0000-000033450000}"/>
    <cellStyle name="40% - Accent5 21 3 3" xfId="22951" xr:uid="{00000000-0005-0000-0000-000034450000}"/>
    <cellStyle name="40% - Accent5 21 4" xfId="11161" xr:uid="{00000000-0005-0000-0000-000035450000}"/>
    <cellStyle name="40% - Accent5 21 4 2" xfId="25103" xr:uid="{00000000-0005-0000-0000-000036450000}"/>
    <cellStyle name="40% - Accent5 21 5" xfId="25277" xr:uid="{00000000-0005-0000-0000-000037450000}"/>
    <cellStyle name="40% - Accent5 22" xfId="4474" xr:uid="{00000000-0005-0000-0000-000038450000}"/>
    <cellStyle name="40% - Accent5 22 2" xfId="11749" xr:uid="{00000000-0005-0000-0000-000039450000}"/>
    <cellStyle name="40% - Accent5 22 2 2" xfId="25464" xr:uid="{00000000-0005-0000-0000-00003A450000}"/>
    <cellStyle name="40% - Accent5 22 3" xfId="22950" xr:uid="{00000000-0005-0000-0000-00003B450000}"/>
    <cellStyle name="40% - Accent5 23" xfId="4475" xr:uid="{00000000-0005-0000-0000-00003C450000}"/>
    <cellStyle name="40% - Accent5 23 2" xfId="12940" xr:uid="{00000000-0005-0000-0000-00003D450000}"/>
    <cellStyle name="40% - Accent5 23 2 2" xfId="26652" xr:uid="{00000000-0005-0000-0000-00003E450000}"/>
    <cellStyle name="40% - Accent5 23 3" xfId="22949" xr:uid="{00000000-0005-0000-0000-00003F450000}"/>
    <cellStyle name="40% - Accent5 24" xfId="4476" xr:uid="{00000000-0005-0000-0000-000040450000}"/>
    <cellStyle name="40% - Accent5 24 2" xfId="13388" xr:uid="{00000000-0005-0000-0000-000041450000}"/>
    <cellStyle name="40% - Accent5 24 2 2" xfId="26937" xr:uid="{00000000-0005-0000-0000-000042450000}"/>
    <cellStyle name="40% - Accent5 24 3" xfId="24255" xr:uid="{00000000-0005-0000-0000-000043450000}"/>
    <cellStyle name="40% - Accent5 25" xfId="4477" xr:uid="{00000000-0005-0000-0000-000044450000}"/>
    <cellStyle name="40% - Accent5 25 2" xfId="13969" xr:uid="{00000000-0005-0000-0000-000045450000}"/>
    <cellStyle name="40% - Accent5 25 2 2" xfId="27518" xr:uid="{00000000-0005-0000-0000-000046450000}"/>
    <cellStyle name="40% - Accent5 25 3" xfId="23241" xr:uid="{00000000-0005-0000-0000-000047450000}"/>
    <cellStyle name="40% - Accent5 26" xfId="4478" xr:uid="{00000000-0005-0000-0000-000048450000}"/>
    <cellStyle name="40% - Accent5 26 2" xfId="15374" xr:uid="{00000000-0005-0000-0000-000049450000}"/>
    <cellStyle name="40% - Accent5 26 2 2" xfId="28923" xr:uid="{00000000-0005-0000-0000-00004A450000}"/>
    <cellStyle name="40% - Accent5 26 3" xfId="30682" xr:uid="{00000000-0005-0000-0000-00004B450000}"/>
    <cellStyle name="40% - Accent5 27" xfId="4479" xr:uid="{00000000-0005-0000-0000-00004C450000}"/>
    <cellStyle name="40% - Accent5 27 2" xfId="15831" xr:uid="{00000000-0005-0000-0000-00004D450000}"/>
    <cellStyle name="40% - Accent5 27 2 2" xfId="29238" xr:uid="{00000000-0005-0000-0000-00004E450000}"/>
    <cellStyle name="40% - Accent5 27 3" xfId="22948" xr:uid="{00000000-0005-0000-0000-00004F450000}"/>
    <cellStyle name="40% - Accent5 28" xfId="4480" xr:uid="{00000000-0005-0000-0000-000050450000}"/>
    <cellStyle name="40% - Accent5 28 2" xfId="15855" xr:uid="{00000000-0005-0000-0000-000051450000}"/>
    <cellStyle name="40% - Accent5 28 2 2" xfId="29262" xr:uid="{00000000-0005-0000-0000-000052450000}"/>
    <cellStyle name="40% - Accent5 28 3" xfId="22947" xr:uid="{00000000-0005-0000-0000-000053450000}"/>
    <cellStyle name="40% - Accent5 29" xfId="4481" xr:uid="{00000000-0005-0000-0000-000054450000}"/>
    <cellStyle name="40% - Accent5 29 2" xfId="9434" xr:uid="{00000000-0005-0000-0000-000055450000}"/>
    <cellStyle name="40% - Accent5 29 2 2" xfId="23909" xr:uid="{00000000-0005-0000-0000-000056450000}"/>
    <cellStyle name="40% - Accent5 29 3" xfId="24221" xr:uid="{00000000-0005-0000-0000-000057450000}"/>
    <cellStyle name="40% - Accent5 3" xfId="4482" xr:uid="{00000000-0005-0000-0000-000058450000}"/>
    <cellStyle name="40% - Accent5 3 10" xfId="4483" xr:uid="{00000000-0005-0000-0000-000059450000}"/>
    <cellStyle name="40% - Accent5 3 10 2" xfId="14048" xr:uid="{00000000-0005-0000-0000-00005A450000}"/>
    <cellStyle name="40% - Accent5 3 10 2 2" xfId="27597" xr:uid="{00000000-0005-0000-0000-00005B450000}"/>
    <cellStyle name="40% - Accent5 3 10 3" xfId="22946" xr:uid="{00000000-0005-0000-0000-00005C450000}"/>
    <cellStyle name="40% - Accent5 3 11" xfId="4484" xr:uid="{00000000-0005-0000-0000-00005D450000}"/>
    <cellStyle name="40% - Accent5 3 11 2" xfId="15418" xr:uid="{00000000-0005-0000-0000-00005E450000}"/>
    <cellStyle name="40% - Accent5 3 11 2 2" xfId="28967" xr:uid="{00000000-0005-0000-0000-00005F450000}"/>
    <cellStyle name="40% - Accent5 3 11 3" xfId="22945" xr:uid="{00000000-0005-0000-0000-000060450000}"/>
    <cellStyle name="40% - Accent5 3 12" xfId="4485" xr:uid="{00000000-0005-0000-0000-000061450000}"/>
    <cellStyle name="40% - Accent5 3 12 2" xfId="15934" xr:uid="{00000000-0005-0000-0000-000062450000}"/>
    <cellStyle name="40% - Accent5 3 12 2 2" xfId="29341" xr:uid="{00000000-0005-0000-0000-000063450000}"/>
    <cellStyle name="40% - Accent5 3 12 3" xfId="22944" xr:uid="{00000000-0005-0000-0000-000064450000}"/>
    <cellStyle name="40% - Accent5 3 13" xfId="9464" xr:uid="{00000000-0005-0000-0000-000065450000}"/>
    <cellStyle name="40% - Accent5 3 13 2" xfId="23939" xr:uid="{00000000-0005-0000-0000-000066450000}"/>
    <cellStyle name="40% - Accent5 3 14" xfId="23204" xr:uid="{00000000-0005-0000-0000-000067450000}"/>
    <cellStyle name="40% - Accent5 3 2" xfId="4486" xr:uid="{00000000-0005-0000-0000-000068450000}"/>
    <cellStyle name="40% - Accent5 3 2 10" xfId="4487" xr:uid="{00000000-0005-0000-0000-000069450000}"/>
    <cellStyle name="40% - Accent5 3 2 10 2" xfId="16077" xr:uid="{00000000-0005-0000-0000-00006A450000}"/>
    <cellStyle name="40% - Accent5 3 2 10 2 2" xfId="29484" xr:uid="{00000000-0005-0000-0000-00006B450000}"/>
    <cellStyle name="40% - Accent5 3 2 10 3" xfId="22942" xr:uid="{00000000-0005-0000-0000-00006C450000}"/>
    <cellStyle name="40% - Accent5 3 2 11" xfId="9465" xr:uid="{00000000-0005-0000-0000-00006D450000}"/>
    <cellStyle name="40% - Accent5 3 2 11 2" xfId="23940" xr:uid="{00000000-0005-0000-0000-00006E450000}"/>
    <cellStyle name="40% - Accent5 3 2 12" xfId="22943" xr:uid="{00000000-0005-0000-0000-00006F450000}"/>
    <cellStyle name="40% - Accent5 3 2 2" xfId="4488" xr:uid="{00000000-0005-0000-0000-000070450000}"/>
    <cellStyle name="40% - Accent5 3 2 2 10" xfId="9466" xr:uid="{00000000-0005-0000-0000-000071450000}"/>
    <cellStyle name="40% - Accent5 3 2 2 10 2" xfId="23941" xr:uid="{00000000-0005-0000-0000-000072450000}"/>
    <cellStyle name="40% - Accent5 3 2 2 11" xfId="25256" xr:uid="{00000000-0005-0000-0000-000073450000}"/>
    <cellStyle name="40% - Accent5 3 2 2 2" xfId="4489" xr:uid="{00000000-0005-0000-0000-000074450000}"/>
    <cellStyle name="40% - Accent5 3 2 2 2 2" xfId="4490" xr:uid="{00000000-0005-0000-0000-000075450000}"/>
    <cellStyle name="40% - Accent5 3 2 2 2 2 2" xfId="11194" xr:uid="{00000000-0005-0000-0000-000076450000}"/>
    <cellStyle name="40% - Accent5 3 2 2 2 2 2 2" xfId="25136" xr:uid="{00000000-0005-0000-0000-000077450000}"/>
    <cellStyle name="40% - Accent5 3 2 2 2 2 3" xfId="29152" xr:uid="{00000000-0005-0000-0000-000078450000}"/>
    <cellStyle name="40% - Accent5 3 2 2 2 3" xfId="4491" xr:uid="{00000000-0005-0000-0000-000079450000}"/>
    <cellStyle name="40% - Accent5 3 2 2 2 3 2" xfId="12979" xr:uid="{00000000-0005-0000-0000-00007A450000}"/>
    <cellStyle name="40% - Accent5 3 2 2 2 3 2 2" xfId="26691" xr:uid="{00000000-0005-0000-0000-00007B450000}"/>
    <cellStyle name="40% - Accent5 3 2 2 2 3 3" xfId="22940" xr:uid="{00000000-0005-0000-0000-00007C450000}"/>
    <cellStyle name="40% - Accent5 3 2 2 2 4" xfId="4492" xr:uid="{00000000-0005-0000-0000-00007D450000}"/>
    <cellStyle name="40% - Accent5 3 2 2 2 4 2" xfId="15421" xr:uid="{00000000-0005-0000-0000-00007E450000}"/>
    <cellStyle name="40% - Accent5 3 2 2 2 4 2 2" xfId="28970" xr:uid="{00000000-0005-0000-0000-00007F450000}"/>
    <cellStyle name="40% - Accent5 3 2 2 2 4 3" xfId="22939" xr:uid="{00000000-0005-0000-0000-000080450000}"/>
    <cellStyle name="40% - Accent5 3 2 2 2 5" xfId="4493" xr:uid="{00000000-0005-0000-0000-000081450000}"/>
    <cellStyle name="40% - Accent5 3 2 2 2 5 2" xfId="16947" xr:uid="{00000000-0005-0000-0000-000082450000}"/>
    <cellStyle name="40% - Accent5 3 2 2 2 5 2 2" xfId="30354" xr:uid="{00000000-0005-0000-0000-000083450000}"/>
    <cellStyle name="40% - Accent5 3 2 2 2 5 3" xfId="22938" xr:uid="{00000000-0005-0000-0000-000084450000}"/>
    <cellStyle name="40% - Accent5 3 2 2 2 6" xfId="9467" xr:uid="{00000000-0005-0000-0000-000085450000}"/>
    <cellStyle name="40% - Accent5 3 2 2 2 6 2" xfId="23942" xr:uid="{00000000-0005-0000-0000-000086450000}"/>
    <cellStyle name="40% - Accent5 3 2 2 2 7" xfId="22941" xr:uid="{00000000-0005-0000-0000-000087450000}"/>
    <cellStyle name="40% - Accent5 3 2 2 3" xfId="4494" xr:uid="{00000000-0005-0000-0000-000088450000}"/>
    <cellStyle name="40% - Accent5 3 2 2 3 2" xfId="4495" xr:uid="{00000000-0005-0000-0000-000089450000}"/>
    <cellStyle name="40% - Accent5 3 2 2 3 2 2" xfId="15422" xr:uid="{00000000-0005-0000-0000-00008A450000}"/>
    <cellStyle name="40% - Accent5 3 2 2 3 2 2 2" xfId="28971" xr:uid="{00000000-0005-0000-0000-00008B450000}"/>
    <cellStyle name="40% - Accent5 3 2 2 3 2 3" xfId="22937" xr:uid="{00000000-0005-0000-0000-00008C450000}"/>
    <cellStyle name="40% - Accent5 3 2 2 3 3" xfId="11193" xr:uid="{00000000-0005-0000-0000-00008D450000}"/>
    <cellStyle name="40% - Accent5 3 2 2 3 3 2" xfId="25135" xr:uid="{00000000-0005-0000-0000-00008E450000}"/>
    <cellStyle name="40% - Accent5 3 2 2 3 4" xfId="29151" xr:uid="{00000000-0005-0000-0000-00008F450000}"/>
    <cellStyle name="40% - Accent5 3 2 2 4" xfId="4496" xr:uid="{00000000-0005-0000-0000-000090450000}"/>
    <cellStyle name="40% - Accent5 3 2 2 4 2" xfId="12335" xr:uid="{00000000-0005-0000-0000-000091450000}"/>
    <cellStyle name="40% - Accent5 3 2 2 4 2 2" xfId="26047" xr:uid="{00000000-0005-0000-0000-000092450000}"/>
    <cellStyle name="40% - Accent5 3 2 2 4 3" xfId="22936" xr:uid="{00000000-0005-0000-0000-000093450000}"/>
    <cellStyle name="40% - Accent5 3 2 2 5" xfId="4497" xr:uid="{00000000-0005-0000-0000-000094450000}"/>
    <cellStyle name="40% - Accent5 3 2 2 5 2" xfId="12978" xr:uid="{00000000-0005-0000-0000-000095450000}"/>
    <cellStyle name="40% - Accent5 3 2 2 5 2 2" xfId="26690" xr:uid="{00000000-0005-0000-0000-000096450000}"/>
    <cellStyle name="40% - Accent5 3 2 2 5 3" xfId="22935" xr:uid="{00000000-0005-0000-0000-000097450000}"/>
    <cellStyle name="40% - Accent5 3 2 2 6" xfId="4498" xr:uid="{00000000-0005-0000-0000-000098450000}"/>
    <cellStyle name="40% - Accent5 3 2 2 6 2" xfId="13899" xr:uid="{00000000-0005-0000-0000-000099450000}"/>
    <cellStyle name="40% - Accent5 3 2 2 6 2 2" xfId="27448" xr:uid="{00000000-0005-0000-0000-00009A450000}"/>
    <cellStyle name="40% - Accent5 3 2 2 6 3" xfId="22934" xr:uid="{00000000-0005-0000-0000-00009B450000}"/>
    <cellStyle name="40% - Accent5 3 2 2 7" xfId="4499" xr:uid="{00000000-0005-0000-0000-00009C450000}"/>
    <cellStyle name="40% - Accent5 3 2 2 7 2" xfId="14480" xr:uid="{00000000-0005-0000-0000-00009D450000}"/>
    <cellStyle name="40% - Accent5 3 2 2 7 2 2" xfId="28029" xr:uid="{00000000-0005-0000-0000-00009E450000}"/>
    <cellStyle name="40% - Accent5 3 2 2 7 3" xfId="24254" xr:uid="{00000000-0005-0000-0000-00009F450000}"/>
    <cellStyle name="40% - Accent5 3 2 2 8" xfId="4500" xr:uid="{00000000-0005-0000-0000-0000A0450000}"/>
    <cellStyle name="40% - Accent5 3 2 2 8 2" xfId="15420" xr:uid="{00000000-0005-0000-0000-0000A1450000}"/>
    <cellStyle name="40% - Accent5 3 2 2 8 2 2" xfId="28969" xr:uid="{00000000-0005-0000-0000-0000A2450000}"/>
    <cellStyle name="40% - Accent5 3 2 2 8 3" xfId="25276" xr:uid="{00000000-0005-0000-0000-0000A3450000}"/>
    <cellStyle name="40% - Accent5 3 2 2 9" xfId="4501" xr:uid="{00000000-0005-0000-0000-0000A4450000}"/>
    <cellStyle name="40% - Accent5 3 2 2 9 2" xfId="16366" xr:uid="{00000000-0005-0000-0000-0000A5450000}"/>
    <cellStyle name="40% - Accent5 3 2 2 9 2 2" xfId="29773" xr:uid="{00000000-0005-0000-0000-0000A6450000}"/>
    <cellStyle name="40% - Accent5 3 2 2 9 3" xfId="22933" xr:uid="{00000000-0005-0000-0000-0000A7450000}"/>
    <cellStyle name="40% - Accent5 3 2 3" xfId="4502" xr:uid="{00000000-0005-0000-0000-0000A8450000}"/>
    <cellStyle name="40% - Accent5 3 2 3 2" xfId="4503" xr:uid="{00000000-0005-0000-0000-0000A9450000}"/>
    <cellStyle name="40% - Accent5 3 2 3 2 2" xfId="11195" xr:uid="{00000000-0005-0000-0000-0000AA450000}"/>
    <cellStyle name="40% - Accent5 3 2 3 2 2 2" xfId="25137" xr:uid="{00000000-0005-0000-0000-0000AB450000}"/>
    <cellStyle name="40% - Accent5 3 2 3 2 3" xfId="29150" xr:uid="{00000000-0005-0000-0000-0000AC450000}"/>
    <cellStyle name="40% - Accent5 3 2 3 3" xfId="4504" xr:uid="{00000000-0005-0000-0000-0000AD450000}"/>
    <cellStyle name="40% - Accent5 3 2 3 3 2" xfId="12980" xr:uid="{00000000-0005-0000-0000-0000AE450000}"/>
    <cellStyle name="40% - Accent5 3 2 3 3 2 2" xfId="26692" xr:uid="{00000000-0005-0000-0000-0000AF450000}"/>
    <cellStyle name="40% - Accent5 3 2 3 3 3" xfId="22931" xr:uid="{00000000-0005-0000-0000-0000B0450000}"/>
    <cellStyle name="40% - Accent5 3 2 3 4" xfId="4505" xr:uid="{00000000-0005-0000-0000-0000B1450000}"/>
    <cellStyle name="40% - Accent5 3 2 3 4 2" xfId="15423" xr:uid="{00000000-0005-0000-0000-0000B2450000}"/>
    <cellStyle name="40% - Accent5 3 2 3 4 2 2" xfId="28972" xr:uid="{00000000-0005-0000-0000-0000B3450000}"/>
    <cellStyle name="40% - Accent5 3 2 3 4 3" xfId="22930" xr:uid="{00000000-0005-0000-0000-0000B4450000}"/>
    <cellStyle name="40% - Accent5 3 2 3 5" xfId="4506" xr:uid="{00000000-0005-0000-0000-0000B5450000}"/>
    <cellStyle name="40% - Accent5 3 2 3 5 2" xfId="16658" xr:uid="{00000000-0005-0000-0000-0000B6450000}"/>
    <cellStyle name="40% - Accent5 3 2 3 5 2 2" xfId="30065" xr:uid="{00000000-0005-0000-0000-0000B7450000}"/>
    <cellStyle name="40% - Accent5 3 2 3 5 3" xfId="22929" xr:uid="{00000000-0005-0000-0000-0000B8450000}"/>
    <cellStyle name="40% - Accent5 3 2 3 6" xfId="9468" xr:uid="{00000000-0005-0000-0000-0000B9450000}"/>
    <cellStyle name="40% - Accent5 3 2 3 6 2" xfId="23943" xr:uid="{00000000-0005-0000-0000-0000BA450000}"/>
    <cellStyle name="40% - Accent5 3 2 3 7" xfId="22932" xr:uid="{00000000-0005-0000-0000-0000BB450000}"/>
    <cellStyle name="40% - Accent5 3 2 4" xfId="4507" xr:uid="{00000000-0005-0000-0000-0000BC450000}"/>
    <cellStyle name="40% - Accent5 3 2 4 2" xfId="4508" xr:uid="{00000000-0005-0000-0000-0000BD450000}"/>
    <cellStyle name="40% - Accent5 3 2 4 2 2" xfId="15424" xr:uid="{00000000-0005-0000-0000-0000BE450000}"/>
    <cellStyle name="40% - Accent5 3 2 4 2 2 2" xfId="28973" xr:uid="{00000000-0005-0000-0000-0000BF450000}"/>
    <cellStyle name="40% - Accent5 3 2 4 2 3" xfId="22928" xr:uid="{00000000-0005-0000-0000-0000C0450000}"/>
    <cellStyle name="40% - Accent5 3 2 4 3" xfId="11192" xr:uid="{00000000-0005-0000-0000-0000C1450000}"/>
    <cellStyle name="40% - Accent5 3 2 4 3 2" xfId="25134" xr:uid="{00000000-0005-0000-0000-0000C2450000}"/>
    <cellStyle name="40% - Accent5 3 2 4 4" xfId="24253" xr:uid="{00000000-0005-0000-0000-0000C3450000}"/>
    <cellStyle name="40% - Accent5 3 2 5" xfId="4509" xr:uid="{00000000-0005-0000-0000-0000C4450000}"/>
    <cellStyle name="40% - Accent5 3 2 5 2" xfId="12035" xr:uid="{00000000-0005-0000-0000-0000C5450000}"/>
    <cellStyle name="40% - Accent5 3 2 5 2 2" xfId="25750" xr:uid="{00000000-0005-0000-0000-0000C6450000}"/>
    <cellStyle name="40% - Accent5 3 2 5 3" xfId="25275" xr:uid="{00000000-0005-0000-0000-0000C7450000}"/>
    <cellStyle name="40% - Accent5 3 2 6" xfId="4510" xr:uid="{00000000-0005-0000-0000-0000C8450000}"/>
    <cellStyle name="40% - Accent5 3 2 6 2" xfId="12977" xr:uid="{00000000-0005-0000-0000-0000C9450000}"/>
    <cellStyle name="40% - Accent5 3 2 6 2 2" xfId="26689" xr:uid="{00000000-0005-0000-0000-0000CA450000}"/>
    <cellStyle name="40% - Accent5 3 2 6 3" xfId="22927" xr:uid="{00000000-0005-0000-0000-0000CB450000}"/>
    <cellStyle name="40% - Accent5 3 2 7" xfId="4511" xr:uid="{00000000-0005-0000-0000-0000CC450000}"/>
    <cellStyle name="40% - Accent5 3 2 7 2" xfId="13610" xr:uid="{00000000-0005-0000-0000-0000CD450000}"/>
    <cellStyle name="40% - Accent5 3 2 7 2 2" xfId="27159" xr:uid="{00000000-0005-0000-0000-0000CE450000}"/>
    <cellStyle name="40% - Accent5 3 2 7 3" xfId="22926" xr:uid="{00000000-0005-0000-0000-0000CF450000}"/>
    <cellStyle name="40% - Accent5 3 2 8" xfId="4512" xr:uid="{00000000-0005-0000-0000-0000D0450000}"/>
    <cellStyle name="40% - Accent5 3 2 8 2" xfId="14191" xr:uid="{00000000-0005-0000-0000-0000D1450000}"/>
    <cellStyle name="40% - Accent5 3 2 8 2 2" xfId="27740" xr:uid="{00000000-0005-0000-0000-0000D2450000}"/>
    <cellStyle name="40% - Accent5 3 2 8 3" xfId="24252" xr:uid="{00000000-0005-0000-0000-0000D3450000}"/>
    <cellStyle name="40% - Accent5 3 2 9" xfId="4513" xr:uid="{00000000-0005-0000-0000-0000D4450000}"/>
    <cellStyle name="40% - Accent5 3 2 9 2" xfId="15419" xr:uid="{00000000-0005-0000-0000-0000D5450000}"/>
    <cellStyle name="40% - Accent5 3 2 9 2 2" xfId="28968" xr:uid="{00000000-0005-0000-0000-0000D6450000}"/>
    <cellStyle name="40% - Accent5 3 2 9 3" xfId="22925" xr:uid="{00000000-0005-0000-0000-0000D7450000}"/>
    <cellStyle name="40% - Accent5 3 3" xfId="4514" xr:uid="{00000000-0005-0000-0000-0000D8450000}"/>
    <cellStyle name="40% - Accent5 3 3 10" xfId="9469" xr:uid="{00000000-0005-0000-0000-0000D9450000}"/>
    <cellStyle name="40% - Accent5 3 3 10 2" xfId="23944" xr:uid="{00000000-0005-0000-0000-0000DA450000}"/>
    <cellStyle name="40% - Accent5 3 3 11" xfId="25274" xr:uid="{00000000-0005-0000-0000-0000DB450000}"/>
    <cellStyle name="40% - Accent5 3 3 2" xfId="4515" xr:uid="{00000000-0005-0000-0000-0000DC450000}"/>
    <cellStyle name="40% - Accent5 3 3 2 2" xfId="4516" xr:uid="{00000000-0005-0000-0000-0000DD450000}"/>
    <cellStyle name="40% - Accent5 3 3 2 2 2" xfId="11197" xr:uid="{00000000-0005-0000-0000-0000DE450000}"/>
    <cellStyle name="40% - Accent5 3 3 2 2 2 2" xfId="25139" xr:uid="{00000000-0005-0000-0000-0000DF450000}"/>
    <cellStyle name="40% - Accent5 3 3 2 2 3" xfId="22923" xr:uid="{00000000-0005-0000-0000-0000E0450000}"/>
    <cellStyle name="40% - Accent5 3 3 2 3" xfId="4517" xr:uid="{00000000-0005-0000-0000-0000E1450000}"/>
    <cellStyle name="40% - Accent5 3 3 2 3 2" xfId="12982" xr:uid="{00000000-0005-0000-0000-0000E2450000}"/>
    <cellStyle name="40% - Accent5 3 3 2 3 2 2" xfId="26694" xr:uid="{00000000-0005-0000-0000-0000E3450000}"/>
    <cellStyle name="40% - Accent5 3 3 2 3 3" xfId="24251" xr:uid="{00000000-0005-0000-0000-0000E4450000}"/>
    <cellStyle name="40% - Accent5 3 3 2 4" xfId="4518" xr:uid="{00000000-0005-0000-0000-0000E5450000}"/>
    <cellStyle name="40% - Accent5 3 3 2 4 2" xfId="15426" xr:uid="{00000000-0005-0000-0000-0000E6450000}"/>
    <cellStyle name="40% - Accent5 3 3 2 4 2 2" xfId="28975" xr:uid="{00000000-0005-0000-0000-0000E7450000}"/>
    <cellStyle name="40% - Accent5 3 3 2 4 3" xfId="22922" xr:uid="{00000000-0005-0000-0000-0000E8450000}"/>
    <cellStyle name="40% - Accent5 3 3 2 5" xfId="4519" xr:uid="{00000000-0005-0000-0000-0000E9450000}"/>
    <cellStyle name="40% - Accent5 3 3 2 5 2" xfId="16804" xr:uid="{00000000-0005-0000-0000-0000EA450000}"/>
    <cellStyle name="40% - Accent5 3 3 2 5 2 2" xfId="30211" xr:uid="{00000000-0005-0000-0000-0000EB450000}"/>
    <cellStyle name="40% - Accent5 3 3 2 5 3" xfId="22921" xr:uid="{00000000-0005-0000-0000-0000EC450000}"/>
    <cellStyle name="40% - Accent5 3 3 2 6" xfId="9470" xr:uid="{00000000-0005-0000-0000-0000ED450000}"/>
    <cellStyle name="40% - Accent5 3 3 2 6 2" xfId="23945" xr:uid="{00000000-0005-0000-0000-0000EE450000}"/>
    <cellStyle name="40% - Accent5 3 3 2 7" xfId="22924" xr:uid="{00000000-0005-0000-0000-0000EF450000}"/>
    <cellStyle name="40% - Accent5 3 3 3" xfId="4520" xr:uid="{00000000-0005-0000-0000-0000F0450000}"/>
    <cellStyle name="40% - Accent5 3 3 3 2" xfId="4521" xr:uid="{00000000-0005-0000-0000-0000F1450000}"/>
    <cellStyle name="40% - Accent5 3 3 3 2 2" xfId="15427" xr:uid="{00000000-0005-0000-0000-0000F2450000}"/>
    <cellStyle name="40% - Accent5 3 3 3 2 2 2" xfId="28976" xr:uid="{00000000-0005-0000-0000-0000F3450000}"/>
    <cellStyle name="40% - Accent5 3 3 3 2 3" xfId="22920" xr:uid="{00000000-0005-0000-0000-0000F4450000}"/>
    <cellStyle name="40% - Accent5 3 3 3 3" xfId="11196" xr:uid="{00000000-0005-0000-0000-0000F5450000}"/>
    <cellStyle name="40% - Accent5 3 3 3 3 2" xfId="25138" xr:uid="{00000000-0005-0000-0000-0000F6450000}"/>
    <cellStyle name="40% - Accent5 3 3 3 4" xfId="24249" xr:uid="{00000000-0005-0000-0000-0000F7450000}"/>
    <cellStyle name="40% - Accent5 3 3 4" xfId="4522" xr:uid="{00000000-0005-0000-0000-0000F8450000}"/>
    <cellStyle name="40% - Accent5 3 3 4 2" xfId="12192" xr:uid="{00000000-0005-0000-0000-0000F9450000}"/>
    <cellStyle name="40% - Accent5 3 3 4 2 2" xfId="25904" xr:uid="{00000000-0005-0000-0000-0000FA450000}"/>
    <cellStyle name="40% - Accent5 3 3 4 3" xfId="25272" xr:uid="{00000000-0005-0000-0000-0000FB450000}"/>
    <cellStyle name="40% - Accent5 3 3 5" xfId="4523" xr:uid="{00000000-0005-0000-0000-0000FC450000}"/>
    <cellStyle name="40% - Accent5 3 3 5 2" xfId="12981" xr:uid="{00000000-0005-0000-0000-0000FD450000}"/>
    <cellStyle name="40% - Accent5 3 3 5 2 2" xfId="26693" xr:uid="{00000000-0005-0000-0000-0000FE450000}"/>
    <cellStyle name="40% - Accent5 3 3 5 3" xfId="22919" xr:uid="{00000000-0005-0000-0000-0000FF450000}"/>
    <cellStyle name="40% - Accent5 3 3 6" xfId="4524" xr:uid="{00000000-0005-0000-0000-000000460000}"/>
    <cellStyle name="40% - Accent5 3 3 6 2" xfId="13756" xr:uid="{00000000-0005-0000-0000-000001460000}"/>
    <cellStyle name="40% - Accent5 3 3 6 2 2" xfId="27305" xr:uid="{00000000-0005-0000-0000-000002460000}"/>
    <cellStyle name="40% - Accent5 3 3 6 3" xfId="24250" xr:uid="{00000000-0005-0000-0000-000003460000}"/>
    <cellStyle name="40% - Accent5 3 3 7" xfId="4525" xr:uid="{00000000-0005-0000-0000-000004460000}"/>
    <cellStyle name="40% - Accent5 3 3 7 2" xfId="14337" xr:uid="{00000000-0005-0000-0000-000005460000}"/>
    <cellStyle name="40% - Accent5 3 3 7 2 2" xfId="27886" xr:uid="{00000000-0005-0000-0000-000006460000}"/>
    <cellStyle name="40% - Accent5 3 3 7 3" xfId="25273" xr:uid="{00000000-0005-0000-0000-000007460000}"/>
    <cellStyle name="40% - Accent5 3 3 8" xfId="4526" xr:uid="{00000000-0005-0000-0000-000008460000}"/>
    <cellStyle name="40% - Accent5 3 3 8 2" xfId="15425" xr:uid="{00000000-0005-0000-0000-000009460000}"/>
    <cellStyle name="40% - Accent5 3 3 8 2 2" xfId="28974" xr:uid="{00000000-0005-0000-0000-00000A460000}"/>
    <cellStyle name="40% - Accent5 3 3 8 3" xfId="22918" xr:uid="{00000000-0005-0000-0000-00000B460000}"/>
    <cellStyle name="40% - Accent5 3 3 9" xfId="4527" xr:uid="{00000000-0005-0000-0000-00000C460000}"/>
    <cellStyle name="40% - Accent5 3 3 9 2" xfId="16223" xr:uid="{00000000-0005-0000-0000-00000D460000}"/>
    <cellStyle name="40% - Accent5 3 3 9 2 2" xfId="29630" xr:uid="{00000000-0005-0000-0000-00000E460000}"/>
    <cellStyle name="40% - Accent5 3 3 9 3" xfId="22917" xr:uid="{00000000-0005-0000-0000-00000F460000}"/>
    <cellStyle name="40% - Accent5 3 4" xfId="4528" xr:uid="{00000000-0005-0000-0000-000010460000}"/>
    <cellStyle name="40% - Accent5 3 4 2" xfId="4529" xr:uid="{00000000-0005-0000-0000-000011460000}"/>
    <cellStyle name="40% - Accent5 3 4 2 2" xfId="11198" xr:uid="{00000000-0005-0000-0000-000012460000}"/>
    <cellStyle name="40% - Accent5 3 4 2 2 2" xfId="25140" xr:uid="{00000000-0005-0000-0000-000013460000}"/>
    <cellStyle name="40% - Accent5 3 4 2 3" xfId="24247" xr:uid="{00000000-0005-0000-0000-000014460000}"/>
    <cellStyle name="40% - Accent5 3 4 3" xfId="4530" xr:uid="{00000000-0005-0000-0000-000015460000}"/>
    <cellStyle name="40% - Accent5 3 4 3 2" xfId="12983" xr:uid="{00000000-0005-0000-0000-000016460000}"/>
    <cellStyle name="40% - Accent5 3 4 3 2 2" xfId="26695" xr:uid="{00000000-0005-0000-0000-000017460000}"/>
    <cellStyle name="40% - Accent5 3 4 3 3" xfId="22915" xr:uid="{00000000-0005-0000-0000-000018460000}"/>
    <cellStyle name="40% - Accent5 3 4 4" xfId="4531" xr:uid="{00000000-0005-0000-0000-000019460000}"/>
    <cellStyle name="40% - Accent5 3 4 4 2" xfId="15428" xr:uid="{00000000-0005-0000-0000-00001A460000}"/>
    <cellStyle name="40% - Accent5 3 4 4 2 2" xfId="28977" xr:uid="{00000000-0005-0000-0000-00001B460000}"/>
    <cellStyle name="40% - Accent5 3 4 4 3" xfId="22914" xr:uid="{00000000-0005-0000-0000-00001C460000}"/>
    <cellStyle name="40% - Accent5 3 4 5" xfId="4532" xr:uid="{00000000-0005-0000-0000-00001D460000}"/>
    <cellStyle name="40% - Accent5 3 4 5 2" xfId="17151" xr:uid="{00000000-0005-0000-0000-00001E460000}"/>
    <cellStyle name="40% - Accent5 3 4 5 2 2" xfId="30510" xr:uid="{00000000-0005-0000-0000-00001F460000}"/>
    <cellStyle name="40% - Accent5 3 4 5 3" xfId="29149" xr:uid="{00000000-0005-0000-0000-000020460000}"/>
    <cellStyle name="40% - Accent5 3 4 6" xfId="9471" xr:uid="{00000000-0005-0000-0000-000021460000}"/>
    <cellStyle name="40% - Accent5 3 4 6 2" xfId="23946" xr:uid="{00000000-0005-0000-0000-000022460000}"/>
    <cellStyle name="40% - Accent5 3 4 7" xfId="22916" xr:uid="{00000000-0005-0000-0000-000023460000}"/>
    <cellStyle name="40% - Accent5 3 5" xfId="4533" xr:uid="{00000000-0005-0000-0000-000024460000}"/>
    <cellStyle name="40% - Accent5 3 5 2" xfId="4534" xr:uid="{00000000-0005-0000-0000-000025460000}"/>
    <cellStyle name="40% - Accent5 3 5 2 2" xfId="11199" xr:uid="{00000000-0005-0000-0000-000026460000}"/>
    <cellStyle name="40% - Accent5 3 5 2 2 2" xfId="25141" xr:uid="{00000000-0005-0000-0000-000027460000}"/>
    <cellStyle name="40% - Accent5 3 5 2 3" xfId="22912" xr:uid="{00000000-0005-0000-0000-000028460000}"/>
    <cellStyle name="40% - Accent5 3 5 3" xfId="4535" xr:uid="{00000000-0005-0000-0000-000029460000}"/>
    <cellStyle name="40% - Accent5 3 5 3 2" xfId="12984" xr:uid="{00000000-0005-0000-0000-00002A460000}"/>
    <cellStyle name="40% - Accent5 3 5 3 2 2" xfId="26696" xr:uid="{00000000-0005-0000-0000-00002B460000}"/>
    <cellStyle name="40% - Accent5 3 5 3 3" xfId="26843" xr:uid="{00000000-0005-0000-0000-00002C460000}"/>
    <cellStyle name="40% - Accent5 3 5 4" xfId="4536" xr:uid="{00000000-0005-0000-0000-00002D460000}"/>
    <cellStyle name="40% - Accent5 3 5 4 2" xfId="15429" xr:uid="{00000000-0005-0000-0000-00002E460000}"/>
    <cellStyle name="40% - Accent5 3 5 4 2 2" xfId="28978" xr:uid="{00000000-0005-0000-0000-00002F460000}"/>
    <cellStyle name="40% - Accent5 3 5 4 3" xfId="22911" xr:uid="{00000000-0005-0000-0000-000030460000}"/>
    <cellStyle name="40% - Accent5 3 5 5" xfId="4537" xr:uid="{00000000-0005-0000-0000-000031460000}"/>
    <cellStyle name="40% - Accent5 3 5 5 2" xfId="17240" xr:uid="{00000000-0005-0000-0000-000032460000}"/>
    <cellStyle name="40% - Accent5 3 5 5 2 2" xfId="30599" xr:uid="{00000000-0005-0000-0000-000033460000}"/>
    <cellStyle name="40% - Accent5 3 5 5 3" xfId="22910" xr:uid="{00000000-0005-0000-0000-000034460000}"/>
    <cellStyle name="40% - Accent5 3 5 6" xfId="9472" xr:uid="{00000000-0005-0000-0000-000035460000}"/>
    <cellStyle name="40% - Accent5 3 5 6 2" xfId="23947" xr:uid="{00000000-0005-0000-0000-000036460000}"/>
    <cellStyle name="40% - Accent5 3 5 7" xfId="22913" xr:uid="{00000000-0005-0000-0000-000037460000}"/>
    <cellStyle name="40% - Accent5 3 6" xfId="4538" xr:uid="{00000000-0005-0000-0000-000038460000}"/>
    <cellStyle name="40% - Accent5 3 6 2" xfId="4539" xr:uid="{00000000-0005-0000-0000-000039460000}"/>
    <cellStyle name="40% - Accent5 3 6 2 2" xfId="15430" xr:uid="{00000000-0005-0000-0000-00003A460000}"/>
    <cellStyle name="40% - Accent5 3 6 2 2 2" xfId="28979" xr:uid="{00000000-0005-0000-0000-00003B460000}"/>
    <cellStyle name="40% - Accent5 3 6 2 3" xfId="22909" xr:uid="{00000000-0005-0000-0000-00003C460000}"/>
    <cellStyle name="40% - Accent5 3 6 3" xfId="4540" xr:uid="{00000000-0005-0000-0000-00003D460000}"/>
    <cellStyle name="40% - Accent5 3 6 3 2" xfId="16515" xr:uid="{00000000-0005-0000-0000-00003E460000}"/>
    <cellStyle name="40% - Accent5 3 6 3 2 2" xfId="29922" xr:uid="{00000000-0005-0000-0000-00003F460000}"/>
    <cellStyle name="40% - Accent5 3 6 3 3" xfId="25271" xr:uid="{00000000-0005-0000-0000-000040460000}"/>
    <cellStyle name="40% - Accent5 3 6 4" xfId="11191" xr:uid="{00000000-0005-0000-0000-000041460000}"/>
    <cellStyle name="40% - Accent5 3 6 4 2" xfId="25133" xr:uid="{00000000-0005-0000-0000-000042460000}"/>
    <cellStyle name="40% - Accent5 3 6 5" xfId="24248" xr:uid="{00000000-0005-0000-0000-000043460000}"/>
    <cellStyle name="40% - Accent5 3 7" xfId="4541" xr:uid="{00000000-0005-0000-0000-000044460000}"/>
    <cellStyle name="40% - Accent5 3 7 2" xfId="11887" xr:uid="{00000000-0005-0000-0000-000045460000}"/>
    <cellStyle name="40% - Accent5 3 7 2 2" xfId="25602" xr:uid="{00000000-0005-0000-0000-000046460000}"/>
    <cellStyle name="40% - Accent5 3 7 3" xfId="22908" xr:uid="{00000000-0005-0000-0000-000047460000}"/>
    <cellStyle name="40% - Accent5 3 8" xfId="4542" xr:uid="{00000000-0005-0000-0000-000048460000}"/>
    <cellStyle name="40% - Accent5 3 8 2" xfId="12976" xr:uid="{00000000-0005-0000-0000-000049460000}"/>
    <cellStyle name="40% - Accent5 3 8 2 2" xfId="26688" xr:uid="{00000000-0005-0000-0000-00004A460000}"/>
    <cellStyle name="40% - Accent5 3 8 3" xfId="22907" xr:uid="{00000000-0005-0000-0000-00004B460000}"/>
    <cellStyle name="40% - Accent5 3 9" xfId="4543" xr:uid="{00000000-0005-0000-0000-00004C460000}"/>
    <cellStyle name="40% - Accent5 3 9 2" xfId="13467" xr:uid="{00000000-0005-0000-0000-00004D460000}"/>
    <cellStyle name="40% - Accent5 3 9 2 2" xfId="27016" xr:uid="{00000000-0005-0000-0000-00004E460000}"/>
    <cellStyle name="40% - Accent5 3 9 3" xfId="22906" xr:uid="{00000000-0005-0000-0000-00004F460000}"/>
    <cellStyle name="40% - Accent5 30" xfId="23260" xr:uid="{00000000-0005-0000-0000-000050460000}"/>
    <cellStyle name="40% - Accent5 4" xfId="4544" xr:uid="{00000000-0005-0000-0000-000051460000}"/>
    <cellStyle name="40% - Accent5 4 10" xfId="4545" xr:uid="{00000000-0005-0000-0000-000052460000}"/>
    <cellStyle name="40% - Accent5 4 10 2" xfId="15431" xr:uid="{00000000-0005-0000-0000-000053460000}"/>
    <cellStyle name="40% - Accent5 4 10 2 2" xfId="28980" xr:uid="{00000000-0005-0000-0000-000054460000}"/>
    <cellStyle name="40% - Accent5 4 10 3" xfId="22905" xr:uid="{00000000-0005-0000-0000-000055460000}"/>
    <cellStyle name="40% - Accent5 4 11" xfId="4546" xr:uid="{00000000-0005-0000-0000-000056460000}"/>
    <cellStyle name="40% - Accent5 4 11 2" xfId="15889" xr:uid="{00000000-0005-0000-0000-000057460000}"/>
    <cellStyle name="40% - Accent5 4 11 2 2" xfId="29296" xr:uid="{00000000-0005-0000-0000-000058460000}"/>
    <cellStyle name="40% - Accent5 4 11 3" xfId="22904" xr:uid="{00000000-0005-0000-0000-000059460000}"/>
    <cellStyle name="40% - Accent5 4 12" xfId="9473" xr:uid="{00000000-0005-0000-0000-00005A460000}"/>
    <cellStyle name="40% - Accent5 4 12 2" xfId="23948" xr:uid="{00000000-0005-0000-0000-00005B460000}"/>
    <cellStyle name="40% - Accent5 4 13" xfId="24243" xr:uid="{00000000-0005-0000-0000-00005C460000}"/>
    <cellStyle name="40% - Accent5 4 2" xfId="4547" xr:uid="{00000000-0005-0000-0000-00005D460000}"/>
    <cellStyle name="40% - Accent5 4 2 10" xfId="4548" xr:uid="{00000000-0005-0000-0000-00005E460000}"/>
    <cellStyle name="40% - Accent5 4 2 10 2" xfId="16032" xr:uid="{00000000-0005-0000-0000-00005F460000}"/>
    <cellStyle name="40% - Accent5 4 2 10 2 2" xfId="29439" xr:uid="{00000000-0005-0000-0000-000060460000}"/>
    <cellStyle name="40% - Accent5 4 2 10 3" xfId="22903" xr:uid="{00000000-0005-0000-0000-000061460000}"/>
    <cellStyle name="40% - Accent5 4 2 11" xfId="9474" xr:uid="{00000000-0005-0000-0000-000062460000}"/>
    <cellStyle name="40% - Accent5 4 2 11 2" xfId="23949" xr:uid="{00000000-0005-0000-0000-000063460000}"/>
    <cellStyle name="40% - Accent5 4 2 12" xfId="29148" xr:uid="{00000000-0005-0000-0000-000064460000}"/>
    <cellStyle name="40% - Accent5 4 2 2" xfId="4549" xr:uid="{00000000-0005-0000-0000-000065460000}"/>
    <cellStyle name="40% - Accent5 4 2 2 10" xfId="9475" xr:uid="{00000000-0005-0000-0000-000066460000}"/>
    <cellStyle name="40% - Accent5 4 2 2 10 2" xfId="23950" xr:uid="{00000000-0005-0000-0000-000067460000}"/>
    <cellStyle name="40% - Accent5 4 2 2 11" xfId="22902" xr:uid="{00000000-0005-0000-0000-000068460000}"/>
    <cellStyle name="40% - Accent5 4 2 2 2" xfId="4550" xr:uid="{00000000-0005-0000-0000-000069460000}"/>
    <cellStyle name="40% - Accent5 4 2 2 2 2" xfId="4551" xr:uid="{00000000-0005-0000-0000-00006A460000}"/>
    <cellStyle name="40% - Accent5 4 2 2 2 2 2" xfId="11203" xr:uid="{00000000-0005-0000-0000-00006B460000}"/>
    <cellStyle name="40% - Accent5 4 2 2 2 2 2 2" xfId="25145" xr:uid="{00000000-0005-0000-0000-00006C460000}"/>
    <cellStyle name="40% - Accent5 4 2 2 2 2 3" xfId="22901" xr:uid="{00000000-0005-0000-0000-00006D460000}"/>
    <cellStyle name="40% - Accent5 4 2 2 2 3" xfId="4552" xr:uid="{00000000-0005-0000-0000-00006E460000}"/>
    <cellStyle name="40% - Accent5 4 2 2 2 3 2" xfId="12988" xr:uid="{00000000-0005-0000-0000-00006F460000}"/>
    <cellStyle name="40% - Accent5 4 2 2 2 3 2 2" xfId="26700" xr:uid="{00000000-0005-0000-0000-000070460000}"/>
    <cellStyle name="40% - Accent5 4 2 2 2 3 3" xfId="22900" xr:uid="{00000000-0005-0000-0000-000071460000}"/>
    <cellStyle name="40% - Accent5 4 2 2 2 4" xfId="4553" xr:uid="{00000000-0005-0000-0000-000072460000}"/>
    <cellStyle name="40% - Accent5 4 2 2 2 4 2" xfId="15434" xr:uid="{00000000-0005-0000-0000-000073460000}"/>
    <cellStyle name="40% - Accent5 4 2 2 2 4 2 2" xfId="28983" xr:uid="{00000000-0005-0000-0000-000074460000}"/>
    <cellStyle name="40% - Accent5 4 2 2 2 4 3" xfId="24246" xr:uid="{00000000-0005-0000-0000-000075460000}"/>
    <cellStyle name="40% - Accent5 4 2 2 2 5" xfId="4554" xr:uid="{00000000-0005-0000-0000-000076460000}"/>
    <cellStyle name="40% - Accent5 4 2 2 2 5 2" xfId="16902" xr:uid="{00000000-0005-0000-0000-000077460000}"/>
    <cellStyle name="40% - Accent5 4 2 2 2 5 2 2" xfId="30309" xr:uid="{00000000-0005-0000-0000-000078460000}"/>
    <cellStyle name="40% - Accent5 4 2 2 2 5 3" xfId="22899" xr:uid="{00000000-0005-0000-0000-000079460000}"/>
    <cellStyle name="40% - Accent5 4 2 2 2 6" xfId="9476" xr:uid="{00000000-0005-0000-0000-00007A460000}"/>
    <cellStyle name="40% - Accent5 4 2 2 2 6 2" xfId="23951" xr:uid="{00000000-0005-0000-0000-00007B460000}"/>
    <cellStyle name="40% - Accent5 4 2 2 2 7" xfId="26842" xr:uid="{00000000-0005-0000-0000-00007C460000}"/>
    <cellStyle name="40% - Accent5 4 2 2 3" xfId="4555" xr:uid="{00000000-0005-0000-0000-00007D460000}"/>
    <cellStyle name="40% - Accent5 4 2 2 3 2" xfId="4556" xr:uid="{00000000-0005-0000-0000-00007E460000}"/>
    <cellStyle name="40% - Accent5 4 2 2 3 2 2" xfId="15435" xr:uid="{00000000-0005-0000-0000-00007F460000}"/>
    <cellStyle name="40% - Accent5 4 2 2 3 2 2 2" xfId="28984" xr:uid="{00000000-0005-0000-0000-000080460000}"/>
    <cellStyle name="40% - Accent5 4 2 2 3 2 3" xfId="22898" xr:uid="{00000000-0005-0000-0000-000081460000}"/>
    <cellStyle name="40% - Accent5 4 2 2 3 3" xfId="11202" xr:uid="{00000000-0005-0000-0000-000082460000}"/>
    <cellStyle name="40% - Accent5 4 2 2 3 3 2" xfId="25144" xr:uid="{00000000-0005-0000-0000-000083460000}"/>
    <cellStyle name="40% - Accent5 4 2 2 3 4" xfId="25270" xr:uid="{00000000-0005-0000-0000-000084460000}"/>
    <cellStyle name="40% - Accent5 4 2 2 4" xfId="4557" xr:uid="{00000000-0005-0000-0000-000085460000}"/>
    <cellStyle name="40% - Accent5 4 2 2 4 2" xfId="12290" xr:uid="{00000000-0005-0000-0000-000086460000}"/>
    <cellStyle name="40% - Accent5 4 2 2 4 2 2" xfId="26002" xr:uid="{00000000-0005-0000-0000-000087460000}"/>
    <cellStyle name="40% - Accent5 4 2 2 4 3" xfId="22897" xr:uid="{00000000-0005-0000-0000-000088460000}"/>
    <cellStyle name="40% - Accent5 4 2 2 5" xfId="4558" xr:uid="{00000000-0005-0000-0000-000089460000}"/>
    <cellStyle name="40% - Accent5 4 2 2 5 2" xfId="12987" xr:uid="{00000000-0005-0000-0000-00008A460000}"/>
    <cellStyle name="40% - Accent5 4 2 2 5 2 2" xfId="26699" xr:uid="{00000000-0005-0000-0000-00008B460000}"/>
    <cellStyle name="40% - Accent5 4 2 2 5 3" xfId="24244" xr:uid="{00000000-0005-0000-0000-00008C460000}"/>
    <cellStyle name="40% - Accent5 4 2 2 6" xfId="4559" xr:uid="{00000000-0005-0000-0000-00008D460000}"/>
    <cellStyle name="40% - Accent5 4 2 2 6 2" xfId="13854" xr:uid="{00000000-0005-0000-0000-00008E460000}"/>
    <cellStyle name="40% - Accent5 4 2 2 6 2 2" xfId="27403" xr:uid="{00000000-0005-0000-0000-00008F460000}"/>
    <cellStyle name="40% - Accent5 4 2 2 6 3" xfId="22896" xr:uid="{00000000-0005-0000-0000-000090460000}"/>
    <cellStyle name="40% - Accent5 4 2 2 7" xfId="4560" xr:uid="{00000000-0005-0000-0000-000091460000}"/>
    <cellStyle name="40% - Accent5 4 2 2 7 2" xfId="14435" xr:uid="{00000000-0005-0000-0000-000092460000}"/>
    <cellStyle name="40% - Accent5 4 2 2 7 2 2" xfId="27984" xr:uid="{00000000-0005-0000-0000-000093460000}"/>
    <cellStyle name="40% - Accent5 4 2 2 7 3" xfId="22895" xr:uid="{00000000-0005-0000-0000-000094460000}"/>
    <cellStyle name="40% - Accent5 4 2 2 8" xfId="4561" xr:uid="{00000000-0005-0000-0000-000095460000}"/>
    <cellStyle name="40% - Accent5 4 2 2 8 2" xfId="15433" xr:uid="{00000000-0005-0000-0000-000096460000}"/>
    <cellStyle name="40% - Accent5 4 2 2 8 2 2" xfId="28982" xr:uid="{00000000-0005-0000-0000-000097460000}"/>
    <cellStyle name="40% - Accent5 4 2 2 8 3" xfId="29147" xr:uid="{00000000-0005-0000-0000-000098460000}"/>
    <cellStyle name="40% - Accent5 4 2 2 9" xfId="4562" xr:uid="{00000000-0005-0000-0000-000099460000}"/>
    <cellStyle name="40% - Accent5 4 2 2 9 2" xfId="16321" xr:uid="{00000000-0005-0000-0000-00009A460000}"/>
    <cellStyle name="40% - Accent5 4 2 2 9 2 2" xfId="29728" xr:uid="{00000000-0005-0000-0000-00009B460000}"/>
    <cellStyle name="40% - Accent5 4 2 2 9 3" xfId="22894" xr:uid="{00000000-0005-0000-0000-00009C460000}"/>
    <cellStyle name="40% - Accent5 4 2 3" xfId="4563" xr:uid="{00000000-0005-0000-0000-00009D460000}"/>
    <cellStyle name="40% - Accent5 4 2 3 2" xfId="4564" xr:uid="{00000000-0005-0000-0000-00009E460000}"/>
    <cellStyle name="40% - Accent5 4 2 3 2 2" xfId="11204" xr:uid="{00000000-0005-0000-0000-00009F460000}"/>
    <cellStyle name="40% - Accent5 4 2 3 2 2 2" xfId="25146" xr:uid="{00000000-0005-0000-0000-0000A0460000}"/>
    <cellStyle name="40% - Accent5 4 2 3 2 3" xfId="26841" xr:uid="{00000000-0005-0000-0000-0000A1460000}"/>
    <cellStyle name="40% - Accent5 4 2 3 3" xfId="4565" xr:uid="{00000000-0005-0000-0000-0000A2460000}"/>
    <cellStyle name="40% - Accent5 4 2 3 3 2" xfId="12989" xr:uid="{00000000-0005-0000-0000-0000A3460000}"/>
    <cellStyle name="40% - Accent5 4 2 3 3 2 2" xfId="26701" xr:uid="{00000000-0005-0000-0000-0000A4460000}"/>
    <cellStyle name="40% - Accent5 4 2 3 3 3" xfId="22892" xr:uid="{00000000-0005-0000-0000-0000A5460000}"/>
    <cellStyle name="40% - Accent5 4 2 3 4" xfId="4566" xr:uid="{00000000-0005-0000-0000-0000A6460000}"/>
    <cellStyle name="40% - Accent5 4 2 3 4 2" xfId="15436" xr:uid="{00000000-0005-0000-0000-0000A7460000}"/>
    <cellStyle name="40% - Accent5 4 2 3 4 2 2" xfId="28985" xr:uid="{00000000-0005-0000-0000-0000A8460000}"/>
    <cellStyle name="40% - Accent5 4 2 3 4 3" xfId="22891" xr:uid="{00000000-0005-0000-0000-0000A9460000}"/>
    <cellStyle name="40% - Accent5 4 2 3 5" xfId="4567" xr:uid="{00000000-0005-0000-0000-0000AA460000}"/>
    <cellStyle name="40% - Accent5 4 2 3 5 2" xfId="16613" xr:uid="{00000000-0005-0000-0000-0000AB460000}"/>
    <cellStyle name="40% - Accent5 4 2 3 5 2 2" xfId="30020" xr:uid="{00000000-0005-0000-0000-0000AC460000}"/>
    <cellStyle name="40% - Accent5 4 2 3 5 3" xfId="24245" xr:uid="{00000000-0005-0000-0000-0000AD460000}"/>
    <cellStyle name="40% - Accent5 4 2 3 6" xfId="9477" xr:uid="{00000000-0005-0000-0000-0000AE460000}"/>
    <cellStyle name="40% - Accent5 4 2 3 6 2" xfId="23952" xr:uid="{00000000-0005-0000-0000-0000AF460000}"/>
    <cellStyle name="40% - Accent5 4 2 3 7" xfId="22893" xr:uid="{00000000-0005-0000-0000-0000B0460000}"/>
    <cellStyle name="40% - Accent5 4 2 4" xfId="4568" xr:uid="{00000000-0005-0000-0000-0000B1460000}"/>
    <cellStyle name="40% - Accent5 4 2 4 2" xfId="4569" xr:uid="{00000000-0005-0000-0000-0000B2460000}"/>
    <cellStyle name="40% - Accent5 4 2 4 2 2" xfId="15437" xr:uid="{00000000-0005-0000-0000-0000B3460000}"/>
    <cellStyle name="40% - Accent5 4 2 4 2 2 2" xfId="28986" xr:uid="{00000000-0005-0000-0000-0000B4460000}"/>
    <cellStyle name="40% - Accent5 4 2 4 2 3" xfId="25269" xr:uid="{00000000-0005-0000-0000-0000B5460000}"/>
    <cellStyle name="40% - Accent5 4 2 4 3" xfId="11201" xr:uid="{00000000-0005-0000-0000-0000B6460000}"/>
    <cellStyle name="40% - Accent5 4 2 4 3 2" xfId="25143" xr:uid="{00000000-0005-0000-0000-0000B7460000}"/>
    <cellStyle name="40% - Accent5 4 2 4 4" xfId="22890" xr:uid="{00000000-0005-0000-0000-0000B8460000}"/>
    <cellStyle name="40% - Accent5 4 2 5" xfId="4570" xr:uid="{00000000-0005-0000-0000-0000B9460000}"/>
    <cellStyle name="40% - Accent5 4 2 5 2" xfId="11990" xr:uid="{00000000-0005-0000-0000-0000BA460000}"/>
    <cellStyle name="40% - Accent5 4 2 5 2 2" xfId="25705" xr:uid="{00000000-0005-0000-0000-0000BB460000}"/>
    <cellStyle name="40% - Accent5 4 2 5 3" xfId="22889" xr:uid="{00000000-0005-0000-0000-0000BC460000}"/>
    <cellStyle name="40% - Accent5 4 2 6" xfId="4571" xr:uid="{00000000-0005-0000-0000-0000BD460000}"/>
    <cellStyle name="40% - Accent5 4 2 6 2" xfId="12986" xr:uid="{00000000-0005-0000-0000-0000BE460000}"/>
    <cellStyle name="40% - Accent5 4 2 6 2 2" xfId="26698" xr:uid="{00000000-0005-0000-0000-0000BF460000}"/>
    <cellStyle name="40% - Accent5 4 2 6 3" xfId="22888" xr:uid="{00000000-0005-0000-0000-0000C0460000}"/>
    <cellStyle name="40% - Accent5 4 2 7" xfId="4572" xr:uid="{00000000-0005-0000-0000-0000C1460000}"/>
    <cellStyle name="40% - Accent5 4 2 7 2" xfId="13565" xr:uid="{00000000-0005-0000-0000-0000C2460000}"/>
    <cellStyle name="40% - Accent5 4 2 7 2 2" xfId="27114" xr:uid="{00000000-0005-0000-0000-0000C3460000}"/>
    <cellStyle name="40% - Accent5 4 2 7 3" xfId="22887" xr:uid="{00000000-0005-0000-0000-0000C4460000}"/>
    <cellStyle name="40% - Accent5 4 2 8" xfId="4573" xr:uid="{00000000-0005-0000-0000-0000C5460000}"/>
    <cellStyle name="40% - Accent5 4 2 8 2" xfId="14146" xr:uid="{00000000-0005-0000-0000-0000C6460000}"/>
    <cellStyle name="40% - Accent5 4 2 8 2 2" xfId="27695" xr:uid="{00000000-0005-0000-0000-0000C7460000}"/>
    <cellStyle name="40% - Accent5 4 2 8 3" xfId="22886" xr:uid="{00000000-0005-0000-0000-0000C8460000}"/>
    <cellStyle name="40% - Accent5 4 2 9" xfId="4574" xr:uid="{00000000-0005-0000-0000-0000C9460000}"/>
    <cellStyle name="40% - Accent5 4 2 9 2" xfId="15432" xr:uid="{00000000-0005-0000-0000-0000CA460000}"/>
    <cellStyle name="40% - Accent5 4 2 9 2 2" xfId="28981" xr:uid="{00000000-0005-0000-0000-0000CB460000}"/>
    <cellStyle name="40% - Accent5 4 2 9 3" xfId="22885" xr:uid="{00000000-0005-0000-0000-0000CC460000}"/>
    <cellStyle name="40% - Accent5 4 3" xfId="4575" xr:uid="{00000000-0005-0000-0000-0000CD460000}"/>
    <cellStyle name="40% - Accent5 4 3 10" xfId="9478" xr:uid="{00000000-0005-0000-0000-0000CE460000}"/>
    <cellStyle name="40% - Accent5 4 3 10 2" xfId="23953" xr:uid="{00000000-0005-0000-0000-0000CF460000}"/>
    <cellStyle name="40% - Accent5 4 3 11" xfId="22884" xr:uid="{00000000-0005-0000-0000-0000D0460000}"/>
    <cellStyle name="40% - Accent5 4 3 2" xfId="4576" xr:uid="{00000000-0005-0000-0000-0000D1460000}"/>
    <cellStyle name="40% - Accent5 4 3 2 2" xfId="4577" xr:uid="{00000000-0005-0000-0000-0000D2460000}"/>
    <cellStyle name="40% - Accent5 4 3 2 2 2" xfId="11206" xr:uid="{00000000-0005-0000-0000-0000D3460000}"/>
    <cellStyle name="40% - Accent5 4 3 2 2 2 2" xfId="25148" xr:uid="{00000000-0005-0000-0000-0000D4460000}"/>
    <cellStyle name="40% - Accent5 4 3 2 2 3" xfId="22883" xr:uid="{00000000-0005-0000-0000-0000D5460000}"/>
    <cellStyle name="40% - Accent5 4 3 2 3" xfId="4578" xr:uid="{00000000-0005-0000-0000-0000D6460000}"/>
    <cellStyle name="40% - Accent5 4 3 2 3 2" xfId="12991" xr:uid="{00000000-0005-0000-0000-0000D7460000}"/>
    <cellStyle name="40% - Accent5 4 3 2 3 2 2" xfId="26703" xr:uid="{00000000-0005-0000-0000-0000D8460000}"/>
    <cellStyle name="40% - Accent5 4 3 2 3 3" xfId="22882" xr:uid="{00000000-0005-0000-0000-0000D9460000}"/>
    <cellStyle name="40% - Accent5 4 3 2 4" xfId="4579" xr:uid="{00000000-0005-0000-0000-0000DA460000}"/>
    <cellStyle name="40% - Accent5 4 3 2 4 2" xfId="15439" xr:uid="{00000000-0005-0000-0000-0000DB460000}"/>
    <cellStyle name="40% - Accent5 4 3 2 4 2 2" xfId="28988" xr:uid="{00000000-0005-0000-0000-0000DC460000}"/>
    <cellStyle name="40% - Accent5 4 3 2 4 3" xfId="22881" xr:uid="{00000000-0005-0000-0000-0000DD460000}"/>
    <cellStyle name="40% - Accent5 4 3 2 5" xfId="4580" xr:uid="{00000000-0005-0000-0000-0000DE460000}"/>
    <cellStyle name="40% - Accent5 4 3 2 5 2" xfId="16762" xr:uid="{00000000-0005-0000-0000-0000DF460000}"/>
    <cellStyle name="40% - Accent5 4 3 2 5 2 2" xfId="30169" xr:uid="{00000000-0005-0000-0000-0000E0460000}"/>
    <cellStyle name="40% - Accent5 4 3 2 5 3" xfId="26840" xr:uid="{00000000-0005-0000-0000-0000E1460000}"/>
    <cellStyle name="40% - Accent5 4 3 2 6" xfId="9479" xr:uid="{00000000-0005-0000-0000-0000E2460000}"/>
    <cellStyle name="40% - Accent5 4 3 2 6 2" xfId="23954" xr:uid="{00000000-0005-0000-0000-0000E3460000}"/>
    <cellStyle name="40% - Accent5 4 3 2 7" xfId="29146" xr:uid="{00000000-0005-0000-0000-0000E4460000}"/>
    <cellStyle name="40% - Accent5 4 3 3" xfId="4581" xr:uid="{00000000-0005-0000-0000-0000E5460000}"/>
    <cellStyle name="40% - Accent5 4 3 3 2" xfId="4582" xr:uid="{00000000-0005-0000-0000-0000E6460000}"/>
    <cellStyle name="40% - Accent5 4 3 3 2 2" xfId="15440" xr:uid="{00000000-0005-0000-0000-0000E7460000}"/>
    <cellStyle name="40% - Accent5 4 3 3 2 2 2" xfId="28989" xr:uid="{00000000-0005-0000-0000-0000E8460000}"/>
    <cellStyle name="40% - Accent5 4 3 3 2 3" xfId="22879" xr:uid="{00000000-0005-0000-0000-0000E9460000}"/>
    <cellStyle name="40% - Accent5 4 3 3 3" xfId="11205" xr:uid="{00000000-0005-0000-0000-0000EA460000}"/>
    <cellStyle name="40% - Accent5 4 3 3 3 2" xfId="25147" xr:uid="{00000000-0005-0000-0000-0000EB460000}"/>
    <cellStyle name="40% - Accent5 4 3 3 4" xfId="22880" xr:uid="{00000000-0005-0000-0000-0000EC460000}"/>
    <cellStyle name="40% - Accent5 4 3 4" xfId="4583" xr:uid="{00000000-0005-0000-0000-0000ED460000}"/>
    <cellStyle name="40% - Accent5 4 3 4 2" xfId="12150" xr:uid="{00000000-0005-0000-0000-0000EE460000}"/>
    <cellStyle name="40% - Accent5 4 3 4 2 2" xfId="25862" xr:uid="{00000000-0005-0000-0000-0000EF460000}"/>
    <cellStyle name="40% - Accent5 4 3 4 3" xfId="24242" xr:uid="{00000000-0005-0000-0000-0000F0460000}"/>
    <cellStyle name="40% - Accent5 4 3 5" xfId="4584" xr:uid="{00000000-0005-0000-0000-0000F1460000}"/>
    <cellStyle name="40% - Accent5 4 3 5 2" xfId="12990" xr:uid="{00000000-0005-0000-0000-0000F2460000}"/>
    <cellStyle name="40% - Accent5 4 3 5 2 2" xfId="26702" xr:uid="{00000000-0005-0000-0000-0000F3460000}"/>
    <cellStyle name="40% - Accent5 4 3 5 3" xfId="22878" xr:uid="{00000000-0005-0000-0000-0000F4460000}"/>
    <cellStyle name="40% - Accent5 4 3 6" xfId="4585" xr:uid="{00000000-0005-0000-0000-0000F5460000}"/>
    <cellStyle name="40% - Accent5 4 3 6 2" xfId="13714" xr:uid="{00000000-0005-0000-0000-0000F6460000}"/>
    <cellStyle name="40% - Accent5 4 3 6 2 2" xfId="27263" xr:uid="{00000000-0005-0000-0000-0000F7460000}"/>
    <cellStyle name="40% - Accent5 4 3 6 3" xfId="25268" xr:uid="{00000000-0005-0000-0000-0000F8460000}"/>
    <cellStyle name="40% - Accent5 4 3 7" xfId="4586" xr:uid="{00000000-0005-0000-0000-0000F9460000}"/>
    <cellStyle name="40% - Accent5 4 3 7 2" xfId="14295" xr:uid="{00000000-0005-0000-0000-0000FA460000}"/>
    <cellStyle name="40% - Accent5 4 3 7 2 2" xfId="27844" xr:uid="{00000000-0005-0000-0000-0000FB460000}"/>
    <cellStyle name="40% - Accent5 4 3 7 3" xfId="22877" xr:uid="{00000000-0005-0000-0000-0000FC460000}"/>
    <cellStyle name="40% - Accent5 4 3 8" xfId="4587" xr:uid="{00000000-0005-0000-0000-0000FD460000}"/>
    <cellStyle name="40% - Accent5 4 3 8 2" xfId="15438" xr:uid="{00000000-0005-0000-0000-0000FE460000}"/>
    <cellStyle name="40% - Accent5 4 3 8 2 2" xfId="28987" xr:uid="{00000000-0005-0000-0000-0000FF460000}"/>
    <cellStyle name="40% - Accent5 4 3 8 3" xfId="22876" xr:uid="{00000000-0005-0000-0000-000000470000}"/>
    <cellStyle name="40% - Accent5 4 3 9" xfId="4588" xr:uid="{00000000-0005-0000-0000-000001470000}"/>
    <cellStyle name="40% - Accent5 4 3 9 2" xfId="16181" xr:uid="{00000000-0005-0000-0000-000002470000}"/>
    <cellStyle name="40% - Accent5 4 3 9 2 2" xfId="29588" xr:uid="{00000000-0005-0000-0000-000003470000}"/>
    <cellStyle name="40% - Accent5 4 3 9 3" xfId="24241" xr:uid="{00000000-0005-0000-0000-000004470000}"/>
    <cellStyle name="40% - Accent5 4 4" xfId="4589" xr:uid="{00000000-0005-0000-0000-000005470000}"/>
    <cellStyle name="40% - Accent5 4 4 2" xfId="4590" xr:uid="{00000000-0005-0000-0000-000006470000}"/>
    <cellStyle name="40% - Accent5 4 4 2 2" xfId="11207" xr:uid="{00000000-0005-0000-0000-000007470000}"/>
    <cellStyle name="40% - Accent5 4 4 2 2 2" xfId="25149" xr:uid="{00000000-0005-0000-0000-000008470000}"/>
    <cellStyle name="40% - Accent5 4 4 2 3" xfId="22874" xr:uid="{00000000-0005-0000-0000-000009470000}"/>
    <cellStyle name="40% - Accent5 4 4 3" xfId="4591" xr:uid="{00000000-0005-0000-0000-00000A470000}"/>
    <cellStyle name="40% - Accent5 4 4 3 2" xfId="12992" xr:uid="{00000000-0005-0000-0000-00000B470000}"/>
    <cellStyle name="40% - Accent5 4 4 3 2 2" xfId="26704" xr:uid="{00000000-0005-0000-0000-00000C470000}"/>
    <cellStyle name="40% - Accent5 4 4 3 3" xfId="24239" xr:uid="{00000000-0005-0000-0000-00000D470000}"/>
    <cellStyle name="40% - Accent5 4 4 4" xfId="4592" xr:uid="{00000000-0005-0000-0000-00000E470000}"/>
    <cellStyle name="40% - Accent5 4 4 4 2" xfId="15441" xr:uid="{00000000-0005-0000-0000-00000F470000}"/>
    <cellStyle name="40% - Accent5 4 4 4 2 2" xfId="28990" xr:uid="{00000000-0005-0000-0000-000010470000}"/>
    <cellStyle name="40% - Accent5 4 4 4 3" xfId="22873" xr:uid="{00000000-0005-0000-0000-000011470000}"/>
    <cellStyle name="40% - Accent5 4 4 5" xfId="4593" xr:uid="{00000000-0005-0000-0000-000012470000}"/>
    <cellStyle name="40% - Accent5 4 4 5 2" xfId="16470" xr:uid="{00000000-0005-0000-0000-000013470000}"/>
    <cellStyle name="40% - Accent5 4 4 5 2 2" xfId="29877" xr:uid="{00000000-0005-0000-0000-000014470000}"/>
    <cellStyle name="40% - Accent5 4 4 5 3" xfId="22872" xr:uid="{00000000-0005-0000-0000-000015470000}"/>
    <cellStyle name="40% - Accent5 4 4 6" xfId="9480" xr:uid="{00000000-0005-0000-0000-000016470000}"/>
    <cellStyle name="40% - Accent5 4 4 6 2" xfId="23955" xr:uid="{00000000-0005-0000-0000-000017470000}"/>
    <cellStyle name="40% - Accent5 4 4 7" xfId="22875" xr:uid="{00000000-0005-0000-0000-000018470000}"/>
    <cellStyle name="40% - Accent5 4 5" xfId="4594" xr:uid="{00000000-0005-0000-0000-000019470000}"/>
    <cellStyle name="40% - Accent5 4 5 2" xfId="4595" xr:uid="{00000000-0005-0000-0000-00001A470000}"/>
    <cellStyle name="40% - Accent5 4 5 2 2" xfId="15442" xr:uid="{00000000-0005-0000-0000-00001B470000}"/>
    <cellStyle name="40% - Accent5 4 5 2 2 2" xfId="28991" xr:uid="{00000000-0005-0000-0000-00001C470000}"/>
    <cellStyle name="40% - Accent5 4 5 2 3" xfId="22871" xr:uid="{00000000-0005-0000-0000-00001D470000}"/>
    <cellStyle name="40% - Accent5 4 5 3" xfId="11200" xr:uid="{00000000-0005-0000-0000-00001E470000}"/>
    <cellStyle name="40% - Accent5 4 5 3 2" xfId="25142" xr:uid="{00000000-0005-0000-0000-00001F470000}"/>
    <cellStyle name="40% - Accent5 4 5 4" xfId="29145" xr:uid="{00000000-0005-0000-0000-000020470000}"/>
    <cellStyle name="40% - Accent5 4 6" xfId="4596" xr:uid="{00000000-0005-0000-0000-000021470000}"/>
    <cellStyle name="40% - Accent5 4 6 2" xfId="11821" xr:uid="{00000000-0005-0000-0000-000022470000}"/>
    <cellStyle name="40% - Accent5 4 6 2 2" xfId="25536" xr:uid="{00000000-0005-0000-0000-000023470000}"/>
    <cellStyle name="40% - Accent5 4 6 3" xfId="22870" xr:uid="{00000000-0005-0000-0000-000024470000}"/>
    <cellStyle name="40% - Accent5 4 7" xfId="4597" xr:uid="{00000000-0005-0000-0000-000025470000}"/>
    <cellStyle name="40% - Accent5 4 7 2" xfId="12985" xr:uid="{00000000-0005-0000-0000-000026470000}"/>
    <cellStyle name="40% - Accent5 4 7 2 2" xfId="26697" xr:uid="{00000000-0005-0000-0000-000027470000}"/>
    <cellStyle name="40% - Accent5 4 7 3" xfId="26839" xr:uid="{00000000-0005-0000-0000-000028470000}"/>
    <cellStyle name="40% - Accent5 4 8" xfId="4598" xr:uid="{00000000-0005-0000-0000-000029470000}"/>
    <cellStyle name="40% - Accent5 4 8 2" xfId="13422" xr:uid="{00000000-0005-0000-0000-00002A470000}"/>
    <cellStyle name="40% - Accent5 4 8 2 2" xfId="26971" xr:uid="{00000000-0005-0000-0000-00002B470000}"/>
    <cellStyle name="40% - Accent5 4 8 3" xfId="22869" xr:uid="{00000000-0005-0000-0000-00002C470000}"/>
    <cellStyle name="40% - Accent5 4 9" xfId="4599" xr:uid="{00000000-0005-0000-0000-00002D470000}"/>
    <cellStyle name="40% - Accent5 4 9 2" xfId="14003" xr:uid="{00000000-0005-0000-0000-00002E470000}"/>
    <cellStyle name="40% - Accent5 4 9 2 2" xfId="27552" xr:uid="{00000000-0005-0000-0000-00002F470000}"/>
    <cellStyle name="40% - Accent5 4 9 3" xfId="22868" xr:uid="{00000000-0005-0000-0000-000030470000}"/>
    <cellStyle name="40% - Accent5 5" xfId="4600" xr:uid="{00000000-0005-0000-0000-000031470000}"/>
    <cellStyle name="40% - Accent5 5 10" xfId="4601" xr:uid="{00000000-0005-0000-0000-000032470000}"/>
    <cellStyle name="40% - Accent5 5 10 2" xfId="15443" xr:uid="{00000000-0005-0000-0000-000033470000}"/>
    <cellStyle name="40% - Accent5 5 10 2 2" xfId="28992" xr:uid="{00000000-0005-0000-0000-000034470000}"/>
    <cellStyle name="40% - Accent5 5 10 3" xfId="22867" xr:uid="{00000000-0005-0000-0000-000035470000}"/>
    <cellStyle name="40% - Accent5 5 11" xfId="4602" xr:uid="{00000000-0005-0000-0000-000036470000}"/>
    <cellStyle name="40% - Accent5 5 11 2" xfId="15872" xr:uid="{00000000-0005-0000-0000-000037470000}"/>
    <cellStyle name="40% - Accent5 5 11 2 2" xfId="29279" xr:uid="{00000000-0005-0000-0000-000038470000}"/>
    <cellStyle name="40% - Accent5 5 11 3" xfId="25267" xr:uid="{00000000-0005-0000-0000-000039470000}"/>
    <cellStyle name="40% - Accent5 5 12" xfId="9481" xr:uid="{00000000-0005-0000-0000-00003A470000}"/>
    <cellStyle name="40% - Accent5 5 12 2" xfId="23956" xr:uid="{00000000-0005-0000-0000-00003B470000}"/>
    <cellStyle name="40% - Accent5 5 13" xfId="24240" xr:uid="{00000000-0005-0000-0000-00003C470000}"/>
    <cellStyle name="40% - Accent5 5 2" xfId="4603" xr:uid="{00000000-0005-0000-0000-00003D470000}"/>
    <cellStyle name="40% - Accent5 5 2 10" xfId="4604" xr:uid="{00000000-0005-0000-0000-00003E470000}"/>
    <cellStyle name="40% - Accent5 5 2 10 2" xfId="16015" xr:uid="{00000000-0005-0000-0000-00003F470000}"/>
    <cellStyle name="40% - Accent5 5 2 10 2 2" xfId="29422" xr:uid="{00000000-0005-0000-0000-000040470000}"/>
    <cellStyle name="40% - Accent5 5 2 10 3" xfId="22865" xr:uid="{00000000-0005-0000-0000-000041470000}"/>
    <cellStyle name="40% - Accent5 5 2 11" xfId="9482" xr:uid="{00000000-0005-0000-0000-000042470000}"/>
    <cellStyle name="40% - Accent5 5 2 11 2" xfId="23957" xr:uid="{00000000-0005-0000-0000-000043470000}"/>
    <cellStyle name="40% - Accent5 5 2 12" xfId="22866" xr:uid="{00000000-0005-0000-0000-000044470000}"/>
    <cellStyle name="40% - Accent5 5 2 2" xfId="4605" xr:uid="{00000000-0005-0000-0000-000045470000}"/>
    <cellStyle name="40% - Accent5 5 2 2 10" xfId="9483" xr:uid="{00000000-0005-0000-0000-000046470000}"/>
    <cellStyle name="40% - Accent5 5 2 2 10 2" xfId="23958" xr:uid="{00000000-0005-0000-0000-000047470000}"/>
    <cellStyle name="40% - Accent5 5 2 2 11" xfId="22864" xr:uid="{00000000-0005-0000-0000-000048470000}"/>
    <cellStyle name="40% - Accent5 5 2 2 2" xfId="4606" xr:uid="{00000000-0005-0000-0000-000049470000}"/>
    <cellStyle name="40% - Accent5 5 2 2 2 2" xfId="4607" xr:uid="{00000000-0005-0000-0000-00004A470000}"/>
    <cellStyle name="40% - Accent5 5 2 2 2 2 2" xfId="11211" xr:uid="{00000000-0005-0000-0000-00004B470000}"/>
    <cellStyle name="40% - Accent5 5 2 2 2 2 2 2" xfId="25153" xr:uid="{00000000-0005-0000-0000-00004C470000}"/>
    <cellStyle name="40% - Accent5 5 2 2 2 2 3" xfId="22863" xr:uid="{00000000-0005-0000-0000-00004D470000}"/>
    <cellStyle name="40% - Accent5 5 2 2 2 3" xfId="4608" xr:uid="{00000000-0005-0000-0000-00004E470000}"/>
    <cellStyle name="40% - Accent5 5 2 2 2 3 2" xfId="12996" xr:uid="{00000000-0005-0000-0000-00004F470000}"/>
    <cellStyle name="40% - Accent5 5 2 2 2 3 2 2" xfId="26708" xr:uid="{00000000-0005-0000-0000-000050470000}"/>
    <cellStyle name="40% - Accent5 5 2 2 2 3 3" xfId="22862" xr:uid="{00000000-0005-0000-0000-000051470000}"/>
    <cellStyle name="40% - Accent5 5 2 2 2 4" xfId="4609" xr:uid="{00000000-0005-0000-0000-000052470000}"/>
    <cellStyle name="40% - Accent5 5 2 2 2 4 2" xfId="15446" xr:uid="{00000000-0005-0000-0000-000053470000}"/>
    <cellStyle name="40% - Accent5 5 2 2 2 4 2 2" xfId="28995" xr:uid="{00000000-0005-0000-0000-000054470000}"/>
    <cellStyle name="40% - Accent5 5 2 2 2 4 3" xfId="29144" xr:uid="{00000000-0005-0000-0000-000055470000}"/>
    <cellStyle name="40% - Accent5 5 2 2 2 5" xfId="4610" xr:uid="{00000000-0005-0000-0000-000056470000}"/>
    <cellStyle name="40% - Accent5 5 2 2 2 5 2" xfId="16885" xr:uid="{00000000-0005-0000-0000-000057470000}"/>
    <cellStyle name="40% - Accent5 5 2 2 2 5 2 2" xfId="30292" xr:uid="{00000000-0005-0000-0000-000058470000}"/>
    <cellStyle name="40% - Accent5 5 2 2 2 5 3" xfId="22861" xr:uid="{00000000-0005-0000-0000-000059470000}"/>
    <cellStyle name="40% - Accent5 5 2 2 2 6" xfId="9484" xr:uid="{00000000-0005-0000-0000-00005A470000}"/>
    <cellStyle name="40% - Accent5 5 2 2 2 6 2" xfId="23959" xr:uid="{00000000-0005-0000-0000-00005B470000}"/>
    <cellStyle name="40% - Accent5 5 2 2 2 7" xfId="24235" xr:uid="{00000000-0005-0000-0000-00005C470000}"/>
    <cellStyle name="40% - Accent5 5 2 2 3" xfId="4611" xr:uid="{00000000-0005-0000-0000-00005D470000}"/>
    <cellStyle name="40% - Accent5 5 2 2 3 2" xfId="4612" xr:uid="{00000000-0005-0000-0000-00005E470000}"/>
    <cellStyle name="40% - Accent5 5 2 2 3 2 2" xfId="15447" xr:uid="{00000000-0005-0000-0000-00005F470000}"/>
    <cellStyle name="40% - Accent5 5 2 2 3 2 2 2" xfId="28996" xr:uid="{00000000-0005-0000-0000-000060470000}"/>
    <cellStyle name="40% - Accent5 5 2 2 3 2 3" xfId="26838" xr:uid="{00000000-0005-0000-0000-000061470000}"/>
    <cellStyle name="40% - Accent5 5 2 2 3 3" xfId="11210" xr:uid="{00000000-0005-0000-0000-000062470000}"/>
    <cellStyle name="40% - Accent5 5 2 2 3 3 2" xfId="25152" xr:uid="{00000000-0005-0000-0000-000063470000}"/>
    <cellStyle name="40% - Accent5 5 2 2 3 4" xfId="22860" xr:uid="{00000000-0005-0000-0000-000064470000}"/>
    <cellStyle name="40% - Accent5 5 2 2 4" xfId="4613" xr:uid="{00000000-0005-0000-0000-000065470000}"/>
    <cellStyle name="40% - Accent5 5 2 2 4 2" xfId="12273" xr:uid="{00000000-0005-0000-0000-000066470000}"/>
    <cellStyle name="40% - Accent5 5 2 2 4 2 2" xfId="25985" xr:uid="{00000000-0005-0000-0000-000067470000}"/>
    <cellStyle name="40% - Accent5 5 2 2 4 3" xfId="22859" xr:uid="{00000000-0005-0000-0000-000068470000}"/>
    <cellStyle name="40% - Accent5 5 2 2 5" xfId="4614" xr:uid="{00000000-0005-0000-0000-000069470000}"/>
    <cellStyle name="40% - Accent5 5 2 2 5 2" xfId="12995" xr:uid="{00000000-0005-0000-0000-00006A470000}"/>
    <cellStyle name="40% - Accent5 5 2 2 5 2 2" xfId="26707" xr:uid="{00000000-0005-0000-0000-00006B470000}"/>
    <cellStyle name="40% - Accent5 5 2 2 5 3" xfId="22858" xr:uid="{00000000-0005-0000-0000-00006C470000}"/>
    <cellStyle name="40% - Accent5 5 2 2 6" xfId="4615" xr:uid="{00000000-0005-0000-0000-00006D470000}"/>
    <cellStyle name="40% - Accent5 5 2 2 6 2" xfId="13837" xr:uid="{00000000-0005-0000-0000-00006E470000}"/>
    <cellStyle name="40% - Accent5 5 2 2 6 2 2" xfId="27386" xr:uid="{00000000-0005-0000-0000-00006F470000}"/>
    <cellStyle name="40% - Accent5 5 2 2 6 3" xfId="24238" xr:uid="{00000000-0005-0000-0000-000070470000}"/>
    <cellStyle name="40% - Accent5 5 2 2 7" xfId="4616" xr:uid="{00000000-0005-0000-0000-000071470000}"/>
    <cellStyle name="40% - Accent5 5 2 2 7 2" xfId="14418" xr:uid="{00000000-0005-0000-0000-000072470000}"/>
    <cellStyle name="40% - Accent5 5 2 2 7 2 2" xfId="27967" xr:uid="{00000000-0005-0000-0000-000073470000}"/>
    <cellStyle name="40% - Accent5 5 2 2 7 3" xfId="22857" xr:uid="{00000000-0005-0000-0000-000074470000}"/>
    <cellStyle name="40% - Accent5 5 2 2 8" xfId="4617" xr:uid="{00000000-0005-0000-0000-000075470000}"/>
    <cellStyle name="40% - Accent5 5 2 2 8 2" xfId="15445" xr:uid="{00000000-0005-0000-0000-000076470000}"/>
    <cellStyle name="40% - Accent5 5 2 2 8 2 2" xfId="28994" xr:uid="{00000000-0005-0000-0000-000077470000}"/>
    <cellStyle name="40% - Accent5 5 2 2 8 3" xfId="25266" xr:uid="{00000000-0005-0000-0000-000078470000}"/>
    <cellStyle name="40% - Accent5 5 2 2 9" xfId="4618" xr:uid="{00000000-0005-0000-0000-000079470000}"/>
    <cellStyle name="40% - Accent5 5 2 2 9 2" xfId="16304" xr:uid="{00000000-0005-0000-0000-00007A470000}"/>
    <cellStyle name="40% - Accent5 5 2 2 9 2 2" xfId="29711" xr:uid="{00000000-0005-0000-0000-00007B470000}"/>
    <cellStyle name="40% - Accent5 5 2 2 9 3" xfId="22856" xr:uid="{00000000-0005-0000-0000-00007C470000}"/>
    <cellStyle name="40% - Accent5 5 2 3" xfId="4619" xr:uid="{00000000-0005-0000-0000-00007D470000}"/>
    <cellStyle name="40% - Accent5 5 2 3 2" xfId="4620" xr:uid="{00000000-0005-0000-0000-00007E470000}"/>
    <cellStyle name="40% - Accent5 5 2 3 2 2" xfId="11212" xr:uid="{00000000-0005-0000-0000-00007F470000}"/>
    <cellStyle name="40% - Accent5 5 2 3 2 2 2" xfId="25154" xr:uid="{00000000-0005-0000-0000-000080470000}"/>
    <cellStyle name="40% - Accent5 5 2 3 2 3" xfId="24236" xr:uid="{00000000-0005-0000-0000-000081470000}"/>
    <cellStyle name="40% - Accent5 5 2 3 3" xfId="4621" xr:uid="{00000000-0005-0000-0000-000082470000}"/>
    <cellStyle name="40% - Accent5 5 2 3 3 2" xfId="12997" xr:uid="{00000000-0005-0000-0000-000083470000}"/>
    <cellStyle name="40% - Accent5 5 2 3 3 2 2" xfId="26709" xr:uid="{00000000-0005-0000-0000-000084470000}"/>
    <cellStyle name="40% - Accent5 5 2 3 3 3" xfId="22854" xr:uid="{00000000-0005-0000-0000-000085470000}"/>
    <cellStyle name="40% - Accent5 5 2 3 4" xfId="4622" xr:uid="{00000000-0005-0000-0000-000086470000}"/>
    <cellStyle name="40% - Accent5 5 2 3 4 2" xfId="15448" xr:uid="{00000000-0005-0000-0000-000087470000}"/>
    <cellStyle name="40% - Accent5 5 2 3 4 2 2" xfId="28997" xr:uid="{00000000-0005-0000-0000-000088470000}"/>
    <cellStyle name="40% - Accent5 5 2 3 4 3" xfId="22853" xr:uid="{00000000-0005-0000-0000-000089470000}"/>
    <cellStyle name="40% - Accent5 5 2 3 5" xfId="4623" xr:uid="{00000000-0005-0000-0000-00008A470000}"/>
    <cellStyle name="40% - Accent5 5 2 3 5 2" xfId="16596" xr:uid="{00000000-0005-0000-0000-00008B470000}"/>
    <cellStyle name="40% - Accent5 5 2 3 5 2 2" xfId="30003" xr:uid="{00000000-0005-0000-0000-00008C470000}"/>
    <cellStyle name="40% - Accent5 5 2 3 5 3" xfId="29143" xr:uid="{00000000-0005-0000-0000-00008D470000}"/>
    <cellStyle name="40% - Accent5 5 2 3 6" xfId="9485" xr:uid="{00000000-0005-0000-0000-00008E470000}"/>
    <cellStyle name="40% - Accent5 5 2 3 6 2" xfId="23960" xr:uid="{00000000-0005-0000-0000-00008F470000}"/>
    <cellStyle name="40% - Accent5 5 2 3 7" xfId="22855" xr:uid="{00000000-0005-0000-0000-000090470000}"/>
    <cellStyle name="40% - Accent5 5 2 4" xfId="4624" xr:uid="{00000000-0005-0000-0000-000091470000}"/>
    <cellStyle name="40% - Accent5 5 2 4 2" xfId="4625" xr:uid="{00000000-0005-0000-0000-000092470000}"/>
    <cellStyle name="40% - Accent5 5 2 4 2 2" xfId="15449" xr:uid="{00000000-0005-0000-0000-000093470000}"/>
    <cellStyle name="40% - Accent5 5 2 4 2 2 2" xfId="28998" xr:uid="{00000000-0005-0000-0000-000094470000}"/>
    <cellStyle name="40% - Accent5 5 2 4 2 3" xfId="22851" xr:uid="{00000000-0005-0000-0000-000095470000}"/>
    <cellStyle name="40% - Accent5 5 2 4 3" xfId="11209" xr:uid="{00000000-0005-0000-0000-000096470000}"/>
    <cellStyle name="40% - Accent5 5 2 4 3 2" xfId="25151" xr:uid="{00000000-0005-0000-0000-000097470000}"/>
    <cellStyle name="40% - Accent5 5 2 4 4" xfId="22852" xr:uid="{00000000-0005-0000-0000-000098470000}"/>
    <cellStyle name="40% - Accent5 5 2 5" xfId="4626" xr:uid="{00000000-0005-0000-0000-000099470000}"/>
    <cellStyle name="40% - Accent5 5 2 5 2" xfId="11973" xr:uid="{00000000-0005-0000-0000-00009A470000}"/>
    <cellStyle name="40% - Accent5 5 2 5 2 2" xfId="25688" xr:uid="{00000000-0005-0000-0000-00009B470000}"/>
    <cellStyle name="40% - Accent5 5 2 5 3" xfId="26837" xr:uid="{00000000-0005-0000-0000-00009C470000}"/>
    <cellStyle name="40% - Accent5 5 2 6" xfId="4627" xr:uid="{00000000-0005-0000-0000-00009D470000}"/>
    <cellStyle name="40% - Accent5 5 2 6 2" xfId="12994" xr:uid="{00000000-0005-0000-0000-00009E470000}"/>
    <cellStyle name="40% - Accent5 5 2 6 2 2" xfId="26706" xr:uid="{00000000-0005-0000-0000-00009F470000}"/>
    <cellStyle name="40% - Accent5 5 2 6 3" xfId="22850" xr:uid="{00000000-0005-0000-0000-0000A0470000}"/>
    <cellStyle name="40% - Accent5 5 2 7" xfId="4628" xr:uid="{00000000-0005-0000-0000-0000A1470000}"/>
    <cellStyle name="40% - Accent5 5 2 7 2" xfId="13548" xr:uid="{00000000-0005-0000-0000-0000A2470000}"/>
    <cellStyle name="40% - Accent5 5 2 7 2 2" xfId="27097" xr:uid="{00000000-0005-0000-0000-0000A3470000}"/>
    <cellStyle name="40% - Accent5 5 2 7 3" xfId="22849" xr:uid="{00000000-0005-0000-0000-0000A4470000}"/>
    <cellStyle name="40% - Accent5 5 2 8" xfId="4629" xr:uid="{00000000-0005-0000-0000-0000A5470000}"/>
    <cellStyle name="40% - Accent5 5 2 8 2" xfId="14129" xr:uid="{00000000-0005-0000-0000-0000A6470000}"/>
    <cellStyle name="40% - Accent5 5 2 8 2 2" xfId="27678" xr:uid="{00000000-0005-0000-0000-0000A7470000}"/>
    <cellStyle name="40% - Accent5 5 2 8 3" xfId="24237" xr:uid="{00000000-0005-0000-0000-0000A8470000}"/>
    <cellStyle name="40% - Accent5 5 2 9" xfId="4630" xr:uid="{00000000-0005-0000-0000-0000A9470000}"/>
    <cellStyle name="40% - Accent5 5 2 9 2" xfId="15444" xr:uid="{00000000-0005-0000-0000-0000AA470000}"/>
    <cellStyle name="40% - Accent5 5 2 9 2 2" xfId="28993" xr:uid="{00000000-0005-0000-0000-0000AB470000}"/>
    <cellStyle name="40% - Accent5 5 2 9 3" xfId="22848" xr:uid="{00000000-0005-0000-0000-0000AC470000}"/>
    <cellStyle name="40% - Accent5 5 3" xfId="4631" xr:uid="{00000000-0005-0000-0000-0000AD470000}"/>
    <cellStyle name="40% - Accent5 5 3 10" xfId="9486" xr:uid="{00000000-0005-0000-0000-0000AE470000}"/>
    <cellStyle name="40% - Accent5 5 3 10 2" xfId="23961" xr:uid="{00000000-0005-0000-0000-0000AF470000}"/>
    <cellStyle name="40% - Accent5 5 3 11" xfId="25265" xr:uid="{00000000-0005-0000-0000-0000B0470000}"/>
    <cellStyle name="40% - Accent5 5 3 2" xfId="4632" xr:uid="{00000000-0005-0000-0000-0000B1470000}"/>
    <cellStyle name="40% - Accent5 5 3 2 2" xfId="4633" xr:uid="{00000000-0005-0000-0000-0000B2470000}"/>
    <cellStyle name="40% - Accent5 5 3 2 2 2" xfId="11214" xr:uid="{00000000-0005-0000-0000-0000B3470000}"/>
    <cellStyle name="40% - Accent5 5 3 2 2 2 2" xfId="25156" xr:uid="{00000000-0005-0000-0000-0000B4470000}"/>
    <cellStyle name="40% - Accent5 5 3 2 2 3" xfId="22846" xr:uid="{00000000-0005-0000-0000-0000B5470000}"/>
    <cellStyle name="40% - Accent5 5 3 2 3" xfId="4634" xr:uid="{00000000-0005-0000-0000-0000B6470000}"/>
    <cellStyle name="40% - Accent5 5 3 2 3 2" xfId="12999" xr:uid="{00000000-0005-0000-0000-0000B7470000}"/>
    <cellStyle name="40% - Accent5 5 3 2 3 2 2" xfId="26711" xr:uid="{00000000-0005-0000-0000-0000B8470000}"/>
    <cellStyle name="40% - Accent5 5 3 2 3 3" xfId="22845" xr:uid="{00000000-0005-0000-0000-0000B9470000}"/>
    <cellStyle name="40% - Accent5 5 3 2 4" xfId="4635" xr:uid="{00000000-0005-0000-0000-0000BA470000}"/>
    <cellStyle name="40% - Accent5 5 3 2 4 2" xfId="15451" xr:uid="{00000000-0005-0000-0000-0000BB470000}"/>
    <cellStyle name="40% - Accent5 5 3 2 4 2 2" xfId="29000" xr:uid="{00000000-0005-0000-0000-0000BC470000}"/>
    <cellStyle name="40% - Accent5 5 3 2 4 3" xfId="22844" xr:uid="{00000000-0005-0000-0000-0000BD470000}"/>
    <cellStyle name="40% - Accent5 5 3 2 5" xfId="4636" xr:uid="{00000000-0005-0000-0000-0000BE470000}"/>
    <cellStyle name="40% - Accent5 5 3 2 5 2" xfId="16745" xr:uid="{00000000-0005-0000-0000-0000BF470000}"/>
    <cellStyle name="40% - Accent5 5 3 2 5 2 2" xfId="30152" xr:uid="{00000000-0005-0000-0000-0000C0470000}"/>
    <cellStyle name="40% - Accent5 5 3 2 5 3" xfId="24234" xr:uid="{00000000-0005-0000-0000-0000C1470000}"/>
    <cellStyle name="40% - Accent5 5 3 2 6" xfId="9487" xr:uid="{00000000-0005-0000-0000-0000C2470000}"/>
    <cellStyle name="40% - Accent5 5 3 2 6 2" xfId="23962" xr:uid="{00000000-0005-0000-0000-0000C3470000}"/>
    <cellStyle name="40% - Accent5 5 3 2 7" xfId="22847" xr:uid="{00000000-0005-0000-0000-0000C4470000}"/>
    <cellStyle name="40% - Accent5 5 3 3" xfId="4637" xr:uid="{00000000-0005-0000-0000-0000C5470000}"/>
    <cellStyle name="40% - Accent5 5 3 3 2" xfId="4638" xr:uid="{00000000-0005-0000-0000-0000C6470000}"/>
    <cellStyle name="40% - Accent5 5 3 3 2 2" xfId="15452" xr:uid="{00000000-0005-0000-0000-0000C7470000}"/>
    <cellStyle name="40% - Accent5 5 3 3 2 2 2" xfId="29001" xr:uid="{00000000-0005-0000-0000-0000C8470000}"/>
    <cellStyle name="40% - Accent5 5 3 3 2 3" xfId="23231" xr:uid="{00000000-0005-0000-0000-0000C9470000}"/>
    <cellStyle name="40% - Accent5 5 3 3 3" xfId="11213" xr:uid="{00000000-0005-0000-0000-0000CA470000}"/>
    <cellStyle name="40% - Accent5 5 3 3 3 2" xfId="25155" xr:uid="{00000000-0005-0000-0000-0000CB470000}"/>
    <cellStyle name="40% - Accent5 5 3 3 4" xfId="22843" xr:uid="{00000000-0005-0000-0000-0000CC470000}"/>
    <cellStyle name="40% - Accent5 5 3 4" xfId="4639" xr:uid="{00000000-0005-0000-0000-0000CD470000}"/>
    <cellStyle name="40% - Accent5 5 3 4 2" xfId="12133" xr:uid="{00000000-0005-0000-0000-0000CE470000}"/>
    <cellStyle name="40% - Accent5 5 3 4 2 2" xfId="25845" xr:uid="{00000000-0005-0000-0000-0000CF470000}"/>
    <cellStyle name="40% - Accent5 5 3 4 3" xfId="24233" xr:uid="{00000000-0005-0000-0000-0000D0470000}"/>
    <cellStyle name="40% - Accent5 5 3 5" xfId="4640" xr:uid="{00000000-0005-0000-0000-0000D1470000}"/>
    <cellStyle name="40% - Accent5 5 3 5 2" xfId="12998" xr:uid="{00000000-0005-0000-0000-0000D2470000}"/>
    <cellStyle name="40% - Accent5 5 3 5 2 2" xfId="26710" xr:uid="{00000000-0005-0000-0000-0000D3470000}"/>
    <cellStyle name="40% - Accent5 5 3 5 3" xfId="22842" xr:uid="{00000000-0005-0000-0000-0000D4470000}"/>
    <cellStyle name="40% - Accent5 5 3 6" xfId="4641" xr:uid="{00000000-0005-0000-0000-0000D5470000}"/>
    <cellStyle name="40% - Accent5 5 3 6 2" xfId="13697" xr:uid="{00000000-0005-0000-0000-0000D6470000}"/>
    <cellStyle name="40% - Accent5 5 3 6 2 2" xfId="27246" xr:uid="{00000000-0005-0000-0000-0000D7470000}"/>
    <cellStyle name="40% - Accent5 5 3 6 3" xfId="22841" xr:uid="{00000000-0005-0000-0000-0000D8470000}"/>
    <cellStyle name="40% - Accent5 5 3 7" xfId="4642" xr:uid="{00000000-0005-0000-0000-0000D9470000}"/>
    <cellStyle name="40% - Accent5 5 3 7 2" xfId="14278" xr:uid="{00000000-0005-0000-0000-0000DA470000}"/>
    <cellStyle name="40% - Accent5 5 3 7 2 2" xfId="27827" xr:uid="{00000000-0005-0000-0000-0000DB470000}"/>
    <cellStyle name="40% - Accent5 5 3 7 3" xfId="22840" xr:uid="{00000000-0005-0000-0000-0000DC470000}"/>
    <cellStyle name="40% - Accent5 5 3 8" xfId="4643" xr:uid="{00000000-0005-0000-0000-0000DD470000}"/>
    <cellStyle name="40% - Accent5 5 3 8 2" xfId="15450" xr:uid="{00000000-0005-0000-0000-0000DE470000}"/>
    <cellStyle name="40% - Accent5 5 3 8 2 2" xfId="28999" xr:uid="{00000000-0005-0000-0000-0000DF470000}"/>
    <cellStyle name="40% - Accent5 5 3 8 3" xfId="22839" xr:uid="{00000000-0005-0000-0000-0000E0470000}"/>
    <cellStyle name="40% - Accent5 5 3 9" xfId="4644" xr:uid="{00000000-0005-0000-0000-0000E1470000}"/>
    <cellStyle name="40% - Accent5 5 3 9 2" xfId="16164" xr:uid="{00000000-0005-0000-0000-0000E2470000}"/>
    <cellStyle name="40% - Accent5 5 3 9 2 2" xfId="29571" xr:uid="{00000000-0005-0000-0000-0000E3470000}"/>
    <cellStyle name="40% - Accent5 5 3 9 3" xfId="22838" xr:uid="{00000000-0005-0000-0000-0000E4470000}"/>
    <cellStyle name="40% - Accent5 5 4" xfId="4645" xr:uid="{00000000-0005-0000-0000-0000E5470000}"/>
    <cellStyle name="40% - Accent5 5 4 2" xfId="4646" xr:uid="{00000000-0005-0000-0000-0000E6470000}"/>
    <cellStyle name="40% - Accent5 5 4 2 2" xfId="11215" xr:uid="{00000000-0005-0000-0000-0000E7470000}"/>
    <cellStyle name="40% - Accent5 5 4 2 2 2" xfId="25157" xr:uid="{00000000-0005-0000-0000-0000E8470000}"/>
    <cellStyle name="40% - Accent5 5 4 2 3" xfId="29142" xr:uid="{00000000-0005-0000-0000-0000E9470000}"/>
    <cellStyle name="40% - Accent5 5 4 3" xfId="4647" xr:uid="{00000000-0005-0000-0000-0000EA470000}"/>
    <cellStyle name="40% - Accent5 5 4 3 2" xfId="13000" xr:uid="{00000000-0005-0000-0000-0000EB470000}"/>
    <cellStyle name="40% - Accent5 5 4 3 2 2" xfId="26712" xr:uid="{00000000-0005-0000-0000-0000EC470000}"/>
    <cellStyle name="40% - Accent5 5 4 3 3" xfId="22837" xr:uid="{00000000-0005-0000-0000-0000ED470000}"/>
    <cellStyle name="40% - Accent5 5 4 4" xfId="4648" xr:uid="{00000000-0005-0000-0000-0000EE470000}"/>
    <cellStyle name="40% - Accent5 5 4 4 2" xfId="15453" xr:uid="{00000000-0005-0000-0000-0000EF470000}"/>
    <cellStyle name="40% - Accent5 5 4 4 2 2" xfId="29002" xr:uid="{00000000-0005-0000-0000-0000F0470000}"/>
    <cellStyle name="40% - Accent5 5 4 4 3" xfId="22836" xr:uid="{00000000-0005-0000-0000-0000F1470000}"/>
    <cellStyle name="40% - Accent5 5 4 5" xfId="4649" xr:uid="{00000000-0005-0000-0000-0000F2470000}"/>
    <cellStyle name="40% - Accent5 5 4 5 2" xfId="16453" xr:uid="{00000000-0005-0000-0000-0000F3470000}"/>
    <cellStyle name="40% - Accent5 5 4 5 2 2" xfId="29860" xr:uid="{00000000-0005-0000-0000-0000F4470000}"/>
    <cellStyle name="40% - Accent5 5 4 5 3" xfId="22835" xr:uid="{00000000-0005-0000-0000-0000F5470000}"/>
    <cellStyle name="40% - Accent5 5 4 6" xfId="9488" xr:uid="{00000000-0005-0000-0000-0000F6470000}"/>
    <cellStyle name="40% - Accent5 5 4 6 2" xfId="23963" xr:uid="{00000000-0005-0000-0000-0000F7470000}"/>
    <cellStyle name="40% - Accent5 5 4 7" xfId="25451" xr:uid="{00000000-0005-0000-0000-0000F8470000}"/>
    <cellStyle name="40% - Accent5 5 5" xfId="4650" xr:uid="{00000000-0005-0000-0000-0000F9470000}"/>
    <cellStyle name="40% - Accent5 5 5 2" xfId="4651" xr:uid="{00000000-0005-0000-0000-0000FA470000}"/>
    <cellStyle name="40% - Accent5 5 5 2 2" xfId="15454" xr:uid="{00000000-0005-0000-0000-0000FB470000}"/>
    <cellStyle name="40% - Accent5 5 5 2 2 2" xfId="29003" xr:uid="{00000000-0005-0000-0000-0000FC470000}"/>
    <cellStyle name="40% - Accent5 5 5 2 3" xfId="22834" xr:uid="{00000000-0005-0000-0000-0000FD470000}"/>
    <cellStyle name="40% - Accent5 5 5 3" xfId="11208" xr:uid="{00000000-0005-0000-0000-0000FE470000}"/>
    <cellStyle name="40% - Accent5 5 5 3 2" xfId="25150" xr:uid="{00000000-0005-0000-0000-0000FF470000}"/>
    <cellStyle name="40% - Accent5 5 5 4" xfId="25264" xr:uid="{00000000-0005-0000-0000-000000480000}"/>
    <cellStyle name="40% - Accent5 5 6" xfId="4652" xr:uid="{00000000-0005-0000-0000-000001480000}"/>
    <cellStyle name="40% - Accent5 5 6 2" xfId="11804" xr:uid="{00000000-0005-0000-0000-000002480000}"/>
    <cellStyle name="40% - Accent5 5 6 2 2" xfId="25519" xr:uid="{00000000-0005-0000-0000-000003480000}"/>
    <cellStyle name="40% - Accent5 5 6 3" xfId="22833" xr:uid="{00000000-0005-0000-0000-000004480000}"/>
    <cellStyle name="40% - Accent5 5 7" xfId="4653" xr:uid="{00000000-0005-0000-0000-000005480000}"/>
    <cellStyle name="40% - Accent5 5 7 2" xfId="12993" xr:uid="{00000000-0005-0000-0000-000006480000}"/>
    <cellStyle name="40% - Accent5 5 7 2 2" xfId="26705" xr:uid="{00000000-0005-0000-0000-000007480000}"/>
    <cellStyle name="40% - Accent5 5 7 3" xfId="24232" xr:uid="{00000000-0005-0000-0000-000008480000}"/>
    <cellStyle name="40% - Accent5 5 8" xfId="4654" xr:uid="{00000000-0005-0000-0000-000009480000}"/>
    <cellStyle name="40% - Accent5 5 8 2" xfId="13405" xr:uid="{00000000-0005-0000-0000-00000A480000}"/>
    <cellStyle name="40% - Accent5 5 8 2 2" xfId="26954" xr:uid="{00000000-0005-0000-0000-00000B480000}"/>
    <cellStyle name="40% - Accent5 5 8 3" xfId="25263" xr:uid="{00000000-0005-0000-0000-00000C480000}"/>
    <cellStyle name="40% - Accent5 5 9" xfId="4655" xr:uid="{00000000-0005-0000-0000-00000D480000}"/>
    <cellStyle name="40% - Accent5 5 9 2" xfId="13986" xr:uid="{00000000-0005-0000-0000-00000E480000}"/>
    <cellStyle name="40% - Accent5 5 9 2 2" xfId="27535" xr:uid="{00000000-0005-0000-0000-00000F480000}"/>
    <cellStyle name="40% - Accent5 5 9 3" xfId="22832" xr:uid="{00000000-0005-0000-0000-000010480000}"/>
    <cellStyle name="40% - Accent5 6" xfId="4656" xr:uid="{00000000-0005-0000-0000-000011480000}"/>
    <cellStyle name="40% - Accent5 6 10" xfId="4657" xr:uid="{00000000-0005-0000-0000-000012480000}"/>
    <cellStyle name="40% - Accent5 6 10 2" xfId="15455" xr:uid="{00000000-0005-0000-0000-000013480000}"/>
    <cellStyle name="40% - Accent5 6 10 2 2" xfId="29004" xr:uid="{00000000-0005-0000-0000-000014480000}"/>
    <cellStyle name="40% - Accent5 6 10 3" xfId="24231" xr:uid="{00000000-0005-0000-0000-000015480000}"/>
    <cellStyle name="40% - Accent5 6 11" xfId="4658" xr:uid="{00000000-0005-0000-0000-000016480000}"/>
    <cellStyle name="40% - Accent5 6 11 2" xfId="15978" xr:uid="{00000000-0005-0000-0000-000017480000}"/>
    <cellStyle name="40% - Accent5 6 11 2 2" xfId="29385" xr:uid="{00000000-0005-0000-0000-000018480000}"/>
    <cellStyle name="40% - Accent5 6 11 3" xfId="25262" xr:uid="{00000000-0005-0000-0000-000019480000}"/>
    <cellStyle name="40% - Accent5 6 12" xfId="9489" xr:uid="{00000000-0005-0000-0000-00001A480000}"/>
    <cellStyle name="40% - Accent5 6 12 2" xfId="23964" xr:uid="{00000000-0005-0000-0000-00001B480000}"/>
    <cellStyle name="40% - Accent5 6 13" xfId="22831" xr:uid="{00000000-0005-0000-0000-00001C480000}"/>
    <cellStyle name="40% - Accent5 6 2" xfId="4659" xr:uid="{00000000-0005-0000-0000-00001D480000}"/>
    <cellStyle name="40% - Accent5 6 2 10" xfId="4660" xr:uid="{00000000-0005-0000-0000-00001E480000}"/>
    <cellStyle name="40% - Accent5 6 2 10 2" xfId="16121" xr:uid="{00000000-0005-0000-0000-00001F480000}"/>
    <cellStyle name="40% - Accent5 6 2 10 2 2" xfId="29528" xr:uid="{00000000-0005-0000-0000-000020480000}"/>
    <cellStyle name="40% - Accent5 6 2 10 3" xfId="22829" xr:uid="{00000000-0005-0000-0000-000021480000}"/>
    <cellStyle name="40% - Accent5 6 2 11" xfId="9490" xr:uid="{00000000-0005-0000-0000-000022480000}"/>
    <cellStyle name="40% - Accent5 6 2 11 2" xfId="23965" xr:uid="{00000000-0005-0000-0000-000023480000}"/>
    <cellStyle name="40% - Accent5 6 2 12" xfId="22830" xr:uid="{00000000-0005-0000-0000-000024480000}"/>
    <cellStyle name="40% - Accent5 6 2 2" xfId="4661" xr:uid="{00000000-0005-0000-0000-000025480000}"/>
    <cellStyle name="40% - Accent5 6 2 2 10" xfId="9491" xr:uid="{00000000-0005-0000-0000-000026480000}"/>
    <cellStyle name="40% - Accent5 6 2 2 10 2" xfId="23966" xr:uid="{00000000-0005-0000-0000-000027480000}"/>
    <cellStyle name="40% - Accent5 6 2 2 11" xfId="24230" xr:uid="{00000000-0005-0000-0000-000028480000}"/>
    <cellStyle name="40% - Accent5 6 2 2 2" xfId="4662" xr:uid="{00000000-0005-0000-0000-000029480000}"/>
    <cellStyle name="40% - Accent5 6 2 2 2 2" xfId="4663" xr:uid="{00000000-0005-0000-0000-00002A480000}"/>
    <cellStyle name="40% - Accent5 6 2 2 2 2 2" xfId="11219" xr:uid="{00000000-0005-0000-0000-00002B480000}"/>
    <cellStyle name="40% - Accent5 6 2 2 2 2 2 2" xfId="25161" xr:uid="{00000000-0005-0000-0000-00002C480000}"/>
    <cellStyle name="40% - Accent5 6 2 2 2 2 3" xfId="22828" xr:uid="{00000000-0005-0000-0000-00002D480000}"/>
    <cellStyle name="40% - Accent5 6 2 2 2 3" xfId="4664" xr:uid="{00000000-0005-0000-0000-00002E480000}"/>
    <cellStyle name="40% - Accent5 6 2 2 2 3 2" xfId="13004" xr:uid="{00000000-0005-0000-0000-00002F480000}"/>
    <cellStyle name="40% - Accent5 6 2 2 2 3 2 2" xfId="26716" xr:uid="{00000000-0005-0000-0000-000030480000}"/>
    <cellStyle name="40% - Accent5 6 2 2 2 3 3" xfId="22827" xr:uid="{00000000-0005-0000-0000-000031480000}"/>
    <cellStyle name="40% - Accent5 6 2 2 2 4" xfId="4665" xr:uid="{00000000-0005-0000-0000-000032480000}"/>
    <cellStyle name="40% - Accent5 6 2 2 2 4 2" xfId="15458" xr:uid="{00000000-0005-0000-0000-000033480000}"/>
    <cellStyle name="40% - Accent5 6 2 2 2 4 2 2" xfId="29007" xr:uid="{00000000-0005-0000-0000-000034480000}"/>
    <cellStyle name="40% - Accent5 6 2 2 2 4 3" xfId="24229" xr:uid="{00000000-0005-0000-0000-000035480000}"/>
    <cellStyle name="40% - Accent5 6 2 2 2 5" xfId="4666" xr:uid="{00000000-0005-0000-0000-000036480000}"/>
    <cellStyle name="40% - Accent5 6 2 2 2 5 2" xfId="16991" xr:uid="{00000000-0005-0000-0000-000037480000}"/>
    <cellStyle name="40% - Accent5 6 2 2 2 5 2 2" xfId="30398" xr:uid="{00000000-0005-0000-0000-000038480000}"/>
    <cellStyle name="40% - Accent5 6 2 2 2 5 3" xfId="25260" xr:uid="{00000000-0005-0000-0000-000039480000}"/>
    <cellStyle name="40% - Accent5 6 2 2 2 6" xfId="9492" xr:uid="{00000000-0005-0000-0000-00003A480000}"/>
    <cellStyle name="40% - Accent5 6 2 2 2 6 2" xfId="23967" xr:uid="{00000000-0005-0000-0000-00003B480000}"/>
    <cellStyle name="40% - Accent5 6 2 2 2 7" xfId="25261" xr:uid="{00000000-0005-0000-0000-00003C480000}"/>
    <cellStyle name="40% - Accent5 6 2 2 3" xfId="4667" xr:uid="{00000000-0005-0000-0000-00003D480000}"/>
    <cellStyle name="40% - Accent5 6 2 2 3 2" xfId="4668" xr:uid="{00000000-0005-0000-0000-00003E480000}"/>
    <cellStyle name="40% - Accent5 6 2 2 3 2 2" xfId="15459" xr:uid="{00000000-0005-0000-0000-00003F480000}"/>
    <cellStyle name="40% - Accent5 6 2 2 3 2 2 2" xfId="29008" xr:uid="{00000000-0005-0000-0000-000040480000}"/>
    <cellStyle name="40% - Accent5 6 2 2 3 2 3" xfId="22825" xr:uid="{00000000-0005-0000-0000-000041480000}"/>
    <cellStyle name="40% - Accent5 6 2 2 3 3" xfId="11218" xr:uid="{00000000-0005-0000-0000-000042480000}"/>
    <cellStyle name="40% - Accent5 6 2 2 3 3 2" xfId="25160" xr:uid="{00000000-0005-0000-0000-000043480000}"/>
    <cellStyle name="40% - Accent5 6 2 2 3 4" xfId="22826" xr:uid="{00000000-0005-0000-0000-000044480000}"/>
    <cellStyle name="40% - Accent5 6 2 2 4" xfId="4669" xr:uid="{00000000-0005-0000-0000-000045480000}"/>
    <cellStyle name="40% - Accent5 6 2 2 4 2" xfId="12379" xr:uid="{00000000-0005-0000-0000-000046480000}"/>
    <cellStyle name="40% - Accent5 6 2 2 4 2 2" xfId="26091" xr:uid="{00000000-0005-0000-0000-000047480000}"/>
    <cellStyle name="40% - Accent5 6 2 2 4 3" xfId="24228" xr:uid="{00000000-0005-0000-0000-000048480000}"/>
    <cellStyle name="40% - Accent5 6 2 2 5" xfId="4670" xr:uid="{00000000-0005-0000-0000-000049480000}"/>
    <cellStyle name="40% - Accent5 6 2 2 5 2" xfId="13003" xr:uid="{00000000-0005-0000-0000-00004A480000}"/>
    <cellStyle name="40% - Accent5 6 2 2 5 2 2" xfId="26715" xr:uid="{00000000-0005-0000-0000-00004B480000}"/>
    <cellStyle name="40% - Accent5 6 2 2 5 3" xfId="22824" xr:uid="{00000000-0005-0000-0000-00004C480000}"/>
    <cellStyle name="40% - Accent5 6 2 2 6" xfId="4671" xr:uid="{00000000-0005-0000-0000-00004D480000}"/>
    <cellStyle name="40% - Accent5 6 2 2 6 2" xfId="13943" xr:uid="{00000000-0005-0000-0000-00004E480000}"/>
    <cellStyle name="40% - Accent5 6 2 2 6 2 2" xfId="27492" xr:uid="{00000000-0005-0000-0000-00004F480000}"/>
    <cellStyle name="40% - Accent5 6 2 2 6 3" xfId="25259" xr:uid="{00000000-0005-0000-0000-000050480000}"/>
    <cellStyle name="40% - Accent5 6 2 2 7" xfId="4672" xr:uid="{00000000-0005-0000-0000-000051480000}"/>
    <cellStyle name="40% - Accent5 6 2 2 7 2" xfId="14524" xr:uid="{00000000-0005-0000-0000-000052480000}"/>
    <cellStyle name="40% - Accent5 6 2 2 7 2 2" xfId="28073" xr:uid="{00000000-0005-0000-0000-000053480000}"/>
    <cellStyle name="40% - Accent5 6 2 2 7 3" xfId="22823" xr:uid="{00000000-0005-0000-0000-000054480000}"/>
    <cellStyle name="40% - Accent5 6 2 2 8" xfId="4673" xr:uid="{00000000-0005-0000-0000-000055480000}"/>
    <cellStyle name="40% - Accent5 6 2 2 8 2" xfId="15457" xr:uid="{00000000-0005-0000-0000-000056480000}"/>
    <cellStyle name="40% - Accent5 6 2 2 8 2 2" xfId="29006" xr:uid="{00000000-0005-0000-0000-000057480000}"/>
    <cellStyle name="40% - Accent5 6 2 2 8 3" xfId="22822" xr:uid="{00000000-0005-0000-0000-000058480000}"/>
    <cellStyle name="40% - Accent5 6 2 2 9" xfId="4674" xr:uid="{00000000-0005-0000-0000-000059480000}"/>
    <cellStyle name="40% - Accent5 6 2 2 9 2" xfId="16410" xr:uid="{00000000-0005-0000-0000-00005A480000}"/>
    <cellStyle name="40% - Accent5 6 2 2 9 2 2" xfId="29817" xr:uid="{00000000-0005-0000-0000-00005B480000}"/>
    <cellStyle name="40% - Accent5 6 2 2 9 3" xfId="24226" xr:uid="{00000000-0005-0000-0000-00005C480000}"/>
    <cellStyle name="40% - Accent5 6 2 3" xfId="4675" xr:uid="{00000000-0005-0000-0000-00005D480000}"/>
    <cellStyle name="40% - Accent5 6 2 3 2" xfId="4676" xr:uid="{00000000-0005-0000-0000-00005E480000}"/>
    <cellStyle name="40% - Accent5 6 2 3 2 2" xfId="11220" xr:uid="{00000000-0005-0000-0000-00005F480000}"/>
    <cellStyle name="40% - Accent5 6 2 3 2 2 2" xfId="25162" xr:uid="{00000000-0005-0000-0000-000060480000}"/>
    <cellStyle name="40% - Accent5 6 2 3 2 3" xfId="25257" xr:uid="{00000000-0005-0000-0000-000061480000}"/>
    <cellStyle name="40% - Accent5 6 2 3 3" xfId="4677" xr:uid="{00000000-0005-0000-0000-000062480000}"/>
    <cellStyle name="40% - Accent5 6 2 3 3 2" xfId="13005" xr:uid="{00000000-0005-0000-0000-000063480000}"/>
    <cellStyle name="40% - Accent5 6 2 3 3 2 2" xfId="26717" xr:uid="{00000000-0005-0000-0000-000064480000}"/>
    <cellStyle name="40% - Accent5 6 2 3 3 3" xfId="22820" xr:uid="{00000000-0005-0000-0000-000065480000}"/>
    <cellStyle name="40% - Accent5 6 2 3 4" xfId="4678" xr:uid="{00000000-0005-0000-0000-000066480000}"/>
    <cellStyle name="40% - Accent5 6 2 3 4 2" xfId="15460" xr:uid="{00000000-0005-0000-0000-000067480000}"/>
    <cellStyle name="40% - Accent5 6 2 3 4 2 2" xfId="29009" xr:uid="{00000000-0005-0000-0000-000068480000}"/>
    <cellStyle name="40% - Accent5 6 2 3 4 3" xfId="24227" xr:uid="{00000000-0005-0000-0000-000069480000}"/>
    <cellStyle name="40% - Accent5 6 2 3 5" xfId="4679" xr:uid="{00000000-0005-0000-0000-00006A480000}"/>
    <cellStyle name="40% - Accent5 6 2 3 5 2" xfId="16702" xr:uid="{00000000-0005-0000-0000-00006B480000}"/>
    <cellStyle name="40% - Accent5 6 2 3 5 2 2" xfId="30109" xr:uid="{00000000-0005-0000-0000-00006C480000}"/>
    <cellStyle name="40% - Accent5 6 2 3 5 3" xfId="25258" xr:uid="{00000000-0005-0000-0000-00006D480000}"/>
    <cellStyle name="40% - Accent5 6 2 3 6" xfId="9493" xr:uid="{00000000-0005-0000-0000-00006E480000}"/>
    <cellStyle name="40% - Accent5 6 2 3 6 2" xfId="23968" xr:uid="{00000000-0005-0000-0000-00006F480000}"/>
    <cellStyle name="40% - Accent5 6 2 3 7" xfId="22821" xr:uid="{00000000-0005-0000-0000-000070480000}"/>
    <cellStyle name="40% - Accent5 6 2 4" xfId="4680" xr:uid="{00000000-0005-0000-0000-000071480000}"/>
    <cellStyle name="40% - Accent5 6 2 4 2" xfId="4681" xr:uid="{00000000-0005-0000-0000-000072480000}"/>
    <cellStyle name="40% - Accent5 6 2 4 2 2" xfId="15461" xr:uid="{00000000-0005-0000-0000-000073480000}"/>
    <cellStyle name="40% - Accent5 6 2 4 2 2 2" xfId="29010" xr:uid="{00000000-0005-0000-0000-000074480000}"/>
    <cellStyle name="40% - Accent5 6 2 4 2 3" xfId="22818" xr:uid="{00000000-0005-0000-0000-000075480000}"/>
    <cellStyle name="40% - Accent5 6 2 4 3" xfId="11217" xr:uid="{00000000-0005-0000-0000-000076480000}"/>
    <cellStyle name="40% - Accent5 6 2 4 3 2" xfId="25159" xr:uid="{00000000-0005-0000-0000-000077480000}"/>
    <cellStyle name="40% - Accent5 6 2 4 4" xfId="22819" xr:uid="{00000000-0005-0000-0000-000078480000}"/>
    <cellStyle name="40% - Accent5 6 2 5" xfId="4682" xr:uid="{00000000-0005-0000-0000-000079480000}"/>
    <cellStyle name="40% - Accent5 6 2 5 2" xfId="12079" xr:uid="{00000000-0005-0000-0000-00007A480000}"/>
    <cellStyle name="40% - Accent5 6 2 5 2 2" xfId="25794" xr:uid="{00000000-0005-0000-0000-00007B480000}"/>
    <cellStyle name="40% - Accent5 6 2 5 3" xfId="22817" xr:uid="{00000000-0005-0000-0000-00007C480000}"/>
    <cellStyle name="40% - Accent5 6 2 6" xfId="4683" xr:uid="{00000000-0005-0000-0000-00007D480000}"/>
    <cellStyle name="40% - Accent5 6 2 6 2" xfId="13002" xr:uid="{00000000-0005-0000-0000-00007E480000}"/>
    <cellStyle name="40% - Accent5 6 2 6 2 2" xfId="26714" xr:uid="{00000000-0005-0000-0000-00007F480000}"/>
    <cellStyle name="40% - Accent5 6 2 6 3" xfId="24225" xr:uid="{00000000-0005-0000-0000-000080480000}"/>
    <cellStyle name="40% - Accent5 6 2 7" xfId="4684" xr:uid="{00000000-0005-0000-0000-000081480000}"/>
    <cellStyle name="40% - Accent5 6 2 7 2" xfId="13654" xr:uid="{00000000-0005-0000-0000-000082480000}"/>
    <cellStyle name="40% - Accent5 6 2 7 2 2" xfId="27203" xr:uid="{00000000-0005-0000-0000-000083480000}"/>
    <cellStyle name="40% - Accent5 6 2 7 3" xfId="22816" xr:uid="{00000000-0005-0000-0000-000084480000}"/>
    <cellStyle name="40% - Accent5 6 2 8" xfId="4685" xr:uid="{00000000-0005-0000-0000-000085480000}"/>
    <cellStyle name="40% - Accent5 6 2 8 2" xfId="14235" xr:uid="{00000000-0005-0000-0000-000086480000}"/>
    <cellStyle name="40% - Accent5 6 2 8 2 2" xfId="27784" xr:uid="{00000000-0005-0000-0000-000087480000}"/>
    <cellStyle name="40% - Accent5 6 2 8 3" xfId="22815" xr:uid="{00000000-0005-0000-0000-000088480000}"/>
    <cellStyle name="40% - Accent5 6 2 9" xfId="4686" xr:uid="{00000000-0005-0000-0000-000089480000}"/>
    <cellStyle name="40% - Accent5 6 2 9 2" xfId="15456" xr:uid="{00000000-0005-0000-0000-00008A480000}"/>
    <cellStyle name="40% - Accent5 6 2 9 2 2" xfId="29005" xr:uid="{00000000-0005-0000-0000-00008B480000}"/>
    <cellStyle name="40% - Accent5 6 2 9 3" xfId="24224" xr:uid="{00000000-0005-0000-0000-00008C480000}"/>
    <cellStyle name="40% - Accent5 6 3" xfId="4687" xr:uid="{00000000-0005-0000-0000-00008D480000}"/>
    <cellStyle name="40% - Accent5 6 3 10" xfId="9494" xr:uid="{00000000-0005-0000-0000-00008E480000}"/>
    <cellStyle name="40% - Accent5 6 3 10 2" xfId="23969" xr:uid="{00000000-0005-0000-0000-00008F480000}"/>
    <cellStyle name="40% - Accent5 6 3 11" xfId="22814" xr:uid="{00000000-0005-0000-0000-000090480000}"/>
    <cellStyle name="40% - Accent5 6 3 2" xfId="4688" xr:uid="{00000000-0005-0000-0000-000091480000}"/>
    <cellStyle name="40% - Accent5 6 3 2 2" xfId="4689" xr:uid="{00000000-0005-0000-0000-000092480000}"/>
    <cellStyle name="40% - Accent5 6 3 2 2 2" xfId="11222" xr:uid="{00000000-0005-0000-0000-000093480000}"/>
    <cellStyle name="40% - Accent5 6 3 2 2 2 2" xfId="25164" xr:uid="{00000000-0005-0000-0000-000094480000}"/>
    <cellStyle name="40% - Accent5 6 3 2 2 3" xfId="26835" xr:uid="{00000000-0005-0000-0000-000095480000}"/>
    <cellStyle name="40% - Accent5 6 3 2 3" xfId="4690" xr:uid="{00000000-0005-0000-0000-000096480000}"/>
    <cellStyle name="40% - Accent5 6 3 2 3 2" xfId="13007" xr:uid="{00000000-0005-0000-0000-000097480000}"/>
    <cellStyle name="40% - Accent5 6 3 2 3 2 2" xfId="26719" xr:uid="{00000000-0005-0000-0000-000098480000}"/>
    <cellStyle name="40% - Accent5 6 3 2 3 3" xfId="22812" xr:uid="{00000000-0005-0000-0000-000099480000}"/>
    <cellStyle name="40% - Accent5 6 3 2 4" xfId="4691" xr:uid="{00000000-0005-0000-0000-00009A480000}"/>
    <cellStyle name="40% - Accent5 6 3 2 4 2" xfId="15463" xr:uid="{00000000-0005-0000-0000-00009B480000}"/>
    <cellStyle name="40% - Accent5 6 3 2 4 2 2" xfId="29012" xr:uid="{00000000-0005-0000-0000-00009C480000}"/>
    <cellStyle name="40% - Accent5 6 3 2 4 3" xfId="22811" xr:uid="{00000000-0005-0000-0000-00009D480000}"/>
    <cellStyle name="40% - Accent5 6 3 2 5" xfId="4692" xr:uid="{00000000-0005-0000-0000-00009E480000}"/>
    <cellStyle name="40% - Accent5 6 3 2 5 2" xfId="16848" xr:uid="{00000000-0005-0000-0000-00009F480000}"/>
    <cellStyle name="40% - Accent5 6 3 2 5 2 2" xfId="30255" xr:uid="{00000000-0005-0000-0000-0000A0480000}"/>
    <cellStyle name="40% - Accent5 6 3 2 5 3" xfId="24223" xr:uid="{00000000-0005-0000-0000-0000A1480000}"/>
    <cellStyle name="40% - Accent5 6 3 2 6" xfId="9495" xr:uid="{00000000-0005-0000-0000-0000A2480000}"/>
    <cellStyle name="40% - Accent5 6 3 2 6 2" xfId="23970" xr:uid="{00000000-0005-0000-0000-0000A3480000}"/>
    <cellStyle name="40% - Accent5 6 3 2 7" xfId="22813" xr:uid="{00000000-0005-0000-0000-0000A4480000}"/>
    <cellStyle name="40% - Accent5 6 3 3" xfId="4693" xr:uid="{00000000-0005-0000-0000-0000A5480000}"/>
    <cellStyle name="40% - Accent5 6 3 3 2" xfId="4694" xr:uid="{00000000-0005-0000-0000-0000A6480000}"/>
    <cellStyle name="40% - Accent5 6 3 3 2 2" xfId="15464" xr:uid="{00000000-0005-0000-0000-0000A7480000}"/>
    <cellStyle name="40% - Accent5 6 3 3 2 2 2" xfId="29013" xr:uid="{00000000-0005-0000-0000-0000A8480000}"/>
    <cellStyle name="40% - Accent5 6 3 3 2 3" xfId="26833" xr:uid="{00000000-0005-0000-0000-0000A9480000}"/>
    <cellStyle name="40% - Accent5 6 3 3 3" xfId="11221" xr:uid="{00000000-0005-0000-0000-0000AA480000}"/>
    <cellStyle name="40% - Accent5 6 3 3 3 2" xfId="25163" xr:uid="{00000000-0005-0000-0000-0000AB480000}"/>
    <cellStyle name="40% - Accent5 6 3 3 4" xfId="22810" xr:uid="{00000000-0005-0000-0000-0000AC480000}"/>
    <cellStyle name="40% - Accent5 6 3 4" xfId="4695" xr:uid="{00000000-0005-0000-0000-0000AD480000}"/>
    <cellStyle name="40% - Accent5 6 3 4 2" xfId="12236" xr:uid="{00000000-0005-0000-0000-0000AE480000}"/>
    <cellStyle name="40% - Accent5 6 3 4 2 2" xfId="25948" xr:uid="{00000000-0005-0000-0000-0000AF480000}"/>
    <cellStyle name="40% - Accent5 6 3 4 3" xfId="22809" xr:uid="{00000000-0005-0000-0000-0000B0480000}"/>
    <cellStyle name="40% - Accent5 6 3 5" xfId="4696" xr:uid="{00000000-0005-0000-0000-0000B1480000}"/>
    <cellStyle name="40% - Accent5 6 3 5 2" xfId="13006" xr:uid="{00000000-0005-0000-0000-0000B2480000}"/>
    <cellStyle name="40% - Accent5 6 3 5 2 2" xfId="26718" xr:uid="{00000000-0005-0000-0000-0000B3480000}"/>
    <cellStyle name="40% - Accent5 6 3 5 3" xfId="22808" xr:uid="{00000000-0005-0000-0000-0000B4480000}"/>
    <cellStyle name="40% - Accent5 6 3 6" xfId="4697" xr:uid="{00000000-0005-0000-0000-0000B5480000}"/>
    <cellStyle name="40% - Accent5 6 3 6 2" xfId="13800" xr:uid="{00000000-0005-0000-0000-0000B6480000}"/>
    <cellStyle name="40% - Accent5 6 3 6 2 2" xfId="27349" xr:uid="{00000000-0005-0000-0000-0000B7480000}"/>
    <cellStyle name="40% - Accent5 6 3 6 3" xfId="24222" xr:uid="{00000000-0005-0000-0000-0000B8480000}"/>
    <cellStyle name="40% - Accent5 6 3 7" xfId="4698" xr:uid="{00000000-0005-0000-0000-0000B9480000}"/>
    <cellStyle name="40% - Accent5 6 3 7 2" xfId="14381" xr:uid="{00000000-0005-0000-0000-0000BA480000}"/>
    <cellStyle name="40% - Accent5 6 3 7 2 2" xfId="27930" xr:uid="{00000000-0005-0000-0000-0000BB480000}"/>
    <cellStyle name="40% - Accent5 6 3 7 3" xfId="22807" xr:uid="{00000000-0005-0000-0000-0000BC480000}"/>
    <cellStyle name="40% - Accent5 6 3 8" xfId="4699" xr:uid="{00000000-0005-0000-0000-0000BD480000}"/>
    <cellStyle name="40% - Accent5 6 3 8 2" xfId="15462" xr:uid="{00000000-0005-0000-0000-0000BE480000}"/>
    <cellStyle name="40% - Accent5 6 3 8 2 2" xfId="29011" xr:uid="{00000000-0005-0000-0000-0000BF480000}"/>
    <cellStyle name="40% - Accent5 6 3 8 3" xfId="22806" xr:uid="{00000000-0005-0000-0000-0000C0480000}"/>
    <cellStyle name="40% - Accent5 6 3 9" xfId="4700" xr:uid="{00000000-0005-0000-0000-0000C1480000}"/>
    <cellStyle name="40% - Accent5 6 3 9 2" xfId="16267" xr:uid="{00000000-0005-0000-0000-0000C2480000}"/>
    <cellStyle name="40% - Accent5 6 3 9 2 2" xfId="29674" xr:uid="{00000000-0005-0000-0000-0000C3480000}"/>
    <cellStyle name="40% - Accent5 6 3 9 3" xfId="23203" xr:uid="{00000000-0005-0000-0000-0000C4480000}"/>
    <cellStyle name="40% - Accent5 6 4" xfId="4701" xr:uid="{00000000-0005-0000-0000-0000C5480000}"/>
    <cellStyle name="40% - Accent5 6 4 2" xfId="4702" xr:uid="{00000000-0005-0000-0000-0000C6480000}"/>
    <cellStyle name="40% - Accent5 6 4 2 2" xfId="11223" xr:uid="{00000000-0005-0000-0000-0000C7480000}"/>
    <cellStyle name="40% - Accent5 6 4 2 2 2" xfId="25165" xr:uid="{00000000-0005-0000-0000-0000C8480000}"/>
    <cellStyle name="40% - Accent5 6 4 2 3" xfId="30686" xr:uid="{00000000-0005-0000-0000-0000C9480000}"/>
    <cellStyle name="40% - Accent5 6 4 3" xfId="4703" xr:uid="{00000000-0005-0000-0000-0000CA480000}"/>
    <cellStyle name="40% - Accent5 6 4 3 2" xfId="13008" xr:uid="{00000000-0005-0000-0000-0000CB480000}"/>
    <cellStyle name="40% - Accent5 6 4 3 2 2" xfId="26720" xr:uid="{00000000-0005-0000-0000-0000CC480000}"/>
    <cellStyle name="40% - Accent5 6 4 3 3" xfId="22805" xr:uid="{00000000-0005-0000-0000-0000CD480000}"/>
    <cellStyle name="40% - Accent5 6 4 4" xfId="4704" xr:uid="{00000000-0005-0000-0000-0000CE480000}"/>
    <cellStyle name="40% - Accent5 6 4 4 2" xfId="15465" xr:uid="{00000000-0005-0000-0000-0000CF480000}"/>
    <cellStyle name="40% - Accent5 6 4 4 2 2" xfId="29014" xr:uid="{00000000-0005-0000-0000-0000D0480000}"/>
    <cellStyle name="40% - Accent5 6 4 4 3" xfId="26832" xr:uid="{00000000-0005-0000-0000-0000D1480000}"/>
    <cellStyle name="40% - Accent5 6 4 5" xfId="4705" xr:uid="{00000000-0005-0000-0000-0000D2480000}"/>
    <cellStyle name="40% - Accent5 6 4 5 2" xfId="16559" xr:uid="{00000000-0005-0000-0000-0000D3480000}"/>
    <cellStyle name="40% - Accent5 6 4 5 2 2" xfId="29966" xr:uid="{00000000-0005-0000-0000-0000D4480000}"/>
    <cellStyle name="40% - Accent5 6 4 5 3" xfId="22804" xr:uid="{00000000-0005-0000-0000-0000D5480000}"/>
    <cellStyle name="40% - Accent5 6 4 6" xfId="9496" xr:uid="{00000000-0005-0000-0000-0000D6480000}"/>
    <cellStyle name="40% - Accent5 6 4 6 2" xfId="23971" xr:uid="{00000000-0005-0000-0000-0000D7480000}"/>
    <cellStyle name="40% - Accent5 6 4 7" xfId="23237" xr:uid="{00000000-0005-0000-0000-0000D8480000}"/>
    <cellStyle name="40% - Accent5 6 5" xfId="4706" xr:uid="{00000000-0005-0000-0000-0000D9480000}"/>
    <cellStyle name="40% - Accent5 6 5 2" xfId="4707" xr:uid="{00000000-0005-0000-0000-0000DA480000}"/>
    <cellStyle name="40% - Accent5 6 5 2 2" xfId="15466" xr:uid="{00000000-0005-0000-0000-0000DB480000}"/>
    <cellStyle name="40% - Accent5 6 5 2 2 2" xfId="29015" xr:uid="{00000000-0005-0000-0000-0000DC480000}"/>
    <cellStyle name="40% - Accent5 6 5 2 3" xfId="23208" xr:uid="{00000000-0005-0000-0000-0000DD480000}"/>
    <cellStyle name="40% - Accent5 6 5 3" xfId="11216" xr:uid="{00000000-0005-0000-0000-0000DE480000}"/>
    <cellStyle name="40% - Accent5 6 5 3 2" xfId="25158" xr:uid="{00000000-0005-0000-0000-0000DF480000}"/>
    <cellStyle name="40% - Accent5 6 5 4" xfId="22803" xr:uid="{00000000-0005-0000-0000-0000E0480000}"/>
    <cellStyle name="40% - Accent5 6 6" xfId="4708" xr:uid="{00000000-0005-0000-0000-0000E1480000}"/>
    <cellStyle name="40% - Accent5 6 6 2" xfId="11934" xr:uid="{00000000-0005-0000-0000-0000E2480000}"/>
    <cellStyle name="40% - Accent5 6 6 2 2" xfId="25649" xr:uid="{00000000-0005-0000-0000-0000E3480000}"/>
    <cellStyle name="40% - Accent5 6 6 3" xfId="26831" xr:uid="{00000000-0005-0000-0000-0000E4480000}"/>
    <cellStyle name="40% - Accent5 6 7" xfId="4709" xr:uid="{00000000-0005-0000-0000-0000E5480000}"/>
    <cellStyle name="40% - Accent5 6 7 2" xfId="13001" xr:uid="{00000000-0005-0000-0000-0000E6480000}"/>
    <cellStyle name="40% - Accent5 6 7 2 2" xfId="26713" xr:uid="{00000000-0005-0000-0000-0000E7480000}"/>
    <cellStyle name="40% - Accent5 6 7 3" xfId="22802" xr:uid="{00000000-0005-0000-0000-0000E8480000}"/>
    <cellStyle name="40% - Accent5 6 8" xfId="4710" xr:uid="{00000000-0005-0000-0000-0000E9480000}"/>
    <cellStyle name="40% - Accent5 6 8 2" xfId="13511" xr:uid="{00000000-0005-0000-0000-0000EA480000}"/>
    <cellStyle name="40% - Accent5 6 8 2 2" xfId="27060" xr:uid="{00000000-0005-0000-0000-0000EB480000}"/>
    <cellStyle name="40% - Accent5 6 8 3" xfId="24220" xr:uid="{00000000-0005-0000-0000-0000EC480000}"/>
    <cellStyle name="40% - Accent5 6 9" xfId="4711" xr:uid="{00000000-0005-0000-0000-0000ED480000}"/>
    <cellStyle name="40% - Accent5 6 9 2" xfId="14092" xr:uid="{00000000-0005-0000-0000-0000EE480000}"/>
    <cellStyle name="40% - Accent5 6 9 2 2" xfId="27641" xr:uid="{00000000-0005-0000-0000-0000EF480000}"/>
    <cellStyle name="40% - Accent5 6 9 3" xfId="22801" xr:uid="{00000000-0005-0000-0000-0000F0480000}"/>
    <cellStyle name="40% - Accent5 7" xfId="4712" xr:uid="{00000000-0005-0000-0000-0000F1480000}"/>
    <cellStyle name="40% - Accent5 7 10" xfId="4713" xr:uid="{00000000-0005-0000-0000-0000F2480000}"/>
    <cellStyle name="40% - Accent5 7 10 2" xfId="15997" xr:uid="{00000000-0005-0000-0000-0000F3480000}"/>
    <cellStyle name="40% - Accent5 7 10 2 2" xfId="29404" xr:uid="{00000000-0005-0000-0000-0000F4480000}"/>
    <cellStyle name="40% - Accent5 7 10 3" xfId="23230" xr:uid="{00000000-0005-0000-0000-0000F5480000}"/>
    <cellStyle name="40% - Accent5 7 11" xfId="9497" xr:uid="{00000000-0005-0000-0000-0000F6480000}"/>
    <cellStyle name="40% - Accent5 7 11 2" xfId="23972" xr:uid="{00000000-0005-0000-0000-0000F7480000}"/>
    <cellStyle name="40% - Accent5 7 12" xfId="22800" xr:uid="{00000000-0005-0000-0000-0000F8480000}"/>
    <cellStyle name="40% - Accent5 7 2" xfId="4714" xr:uid="{00000000-0005-0000-0000-0000F9480000}"/>
    <cellStyle name="40% - Accent5 7 2 10" xfId="9498" xr:uid="{00000000-0005-0000-0000-0000FA480000}"/>
    <cellStyle name="40% - Accent5 7 2 10 2" xfId="23973" xr:uid="{00000000-0005-0000-0000-0000FB480000}"/>
    <cellStyle name="40% - Accent5 7 2 11" xfId="24219" xr:uid="{00000000-0005-0000-0000-0000FC480000}"/>
    <cellStyle name="40% - Accent5 7 2 2" xfId="4715" xr:uid="{00000000-0005-0000-0000-0000FD480000}"/>
    <cellStyle name="40% - Accent5 7 2 2 2" xfId="4716" xr:uid="{00000000-0005-0000-0000-0000FE480000}"/>
    <cellStyle name="40% - Accent5 7 2 2 2 2" xfId="11226" xr:uid="{00000000-0005-0000-0000-0000FF480000}"/>
    <cellStyle name="40% - Accent5 7 2 2 2 2 2" xfId="25168" xr:uid="{00000000-0005-0000-0000-000000490000}"/>
    <cellStyle name="40% - Accent5 7 2 2 2 3" xfId="24218" xr:uid="{00000000-0005-0000-0000-000001490000}"/>
    <cellStyle name="40% - Accent5 7 2 2 3" xfId="4717" xr:uid="{00000000-0005-0000-0000-000002490000}"/>
    <cellStyle name="40% - Accent5 7 2 2 3 2" xfId="13011" xr:uid="{00000000-0005-0000-0000-000003490000}"/>
    <cellStyle name="40% - Accent5 7 2 2 3 2 2" xfId="26723" xr:uid="{00000000-0005-0000-0000-000004490000}"/>
    <cellStyle name="40% - Accent5 7 2 2 3 3" xfId="22798" xr:uid="{00000000-0005-0000-0000-000005490000}"/>
    <cellStyle name="40% - Accent5 7 2 2 4" xfId="4718" xr:uid="{00000000-0005-0000-0000-000006490000}"/>
    <cellStyle name="40% - Accent5 7 2 2 4 2" xfId="15469" xr:uid="{00000000-0005-0000-0000-000007490000}"/>
    <cellStyle name="40% - Accent5 7 2 2 4 2 2" xfId="29018" xr:uid="{00000000-0005-0000-0000-000008490000}"/>
    <cellStyle name="40% - Accent5 7 2 2 4 3" xfId="22797" xr:uid="{00000000-0005-0000-0000-000009490000}"/>
    <cellStyle name="40% - Accent5 7 2 2 5" xfId="4719" xr:uid="{00000000-0005-0000-0000-00000A490000}"/>
    <cellStyle name="40% - Accent5 7 2 2 5 2" xfId="16867" xr:uid="{00000000-0005-0000-0000-00000B490000}"/>
    <cellStyle name="40% - Accent5 7 2 2 5 2 2" xfId="30274" xr:uid="{00000000-0005-0000-0000-00000C490000}"/>
    <cellStyle name="40% - Accent5 7 2 2 5 3" xfId="22796" xr:uid="{00000000-0005-0000-0000-00000D490000}"/>
    <cellStyle name="40% - Accent5 7 2 2 6" xfId="9499" xr:uid="{00000000-0005-0000-0000-00000E490000}"/>
    <cellStyle name="40% - Accent5 7 2 2 6 2" xfId="23974" xr:uid="{00000000-0005-0000-0000-00000F490000}"/>
    <cellStyle name="40% - Accent5 7 2 2 7" xfId="22799" xr:uid="{00000000-0005-0000-0000-000010490000}"/>
    <cellStyle name="40% - Accent5 7 2 3" xfId="4720" xr:uid="{00000000-0005-0000-0000-000011490000}"/>
    <cellStyle name="40% - Accent5 7 2 3 2" xfId="4721" xr:uid="{00000000-0005-0000-0000-000012490000}"/>
    <cellStyle name="40% - Accent5 7 2 3 2 2" xfId="15470" xr:uid="{00000000-0005-0000-0000-000013490000}"/>
    <cellStyle name="40% - Accent5 7 2 3 2 2 2" xfId="29019" xr:uid="{00000000-0005-0000-0000-000014490000}"/>
    <cellStyle name="40% - Accent5 7 2 3 2 3" xfId="26830" xr:uid="{00000000-0005-0000-0000-000015490000}"/>
    <cellStyle name="40% - Accent5 7 2 3 3" xfId="11225" xr:uid="{00000000-0005-0000-0000-000016490000}"/>
    <cellStyle name="40% - Accent5 7 2 3 3 2" xfId="25167" xr:uid="{00000000-0005-0000-0000-000017490000}"/>
    <cellStyle name="40% - Accent5 7 2 3 4" xfId="24463" xr:uid="{00000000-0005-0000-0000-000018490000}"/>
    <cellStyle name="40% - Accent5 7 2 4" xfId="4722" xr:uid="{00000000-0005-0000-0000-000019490000}"/>
    <cellStyle name="40% - Accent5 7 2 4 2" xfId="12255" xr:uid="{00000000-0005-0000-0000-00001A490000}"/>
    <cellStyle name="40% - Accent5 7 2 4 2 2" xfId="25967" xr:uid="{00000000-0005-0000-0000-00001B490000}"/>
    <cellStyle name="40% - Accent5 7 2 4 3" xfId="22795" xr:uid="{00000000-0005-0000-0000-00001C490000}"/>
    <cellStyle name="40% - Accent5 7 2 5" xfId="4723" xr:uid="{00000000-0005-0000-0000-00001D490000}"/>
    <cellStyle name="40% - Accent5 7 2 5 2" xfId="13010" xr:uid="{00000000-0005-0000-0000-00001E490000}"/>
    <cellStyle name="40% - Accent5 7 2 5 2 2" xfId="26722" xr:uid="{00000000-0005-0000-0000-00001F490000}"/>
    <cellStyle name="40% - Accent5 7 2 5 3" xfId="22794" xr:uid="{00000000-0005-0000-0000-000020490000}"/>
    <cellStyle name="40% - Accent5 7 2 6" xfId="4724" xr:uid="{00000000-0005-0000-0000-000021490000}"/>
    <cellStyle name="40% - Accent5 7 2 6 2" xfId="13819" xr:uid="{00000000-0005-0000-0000-000022490000}"/>
    <cellStyle name="40% - Accent5 7 2 6 2 2" xfId="27368" xr:uid="{00000000-0005-0000-0000-000023490000}"/>
    <cellStyle name="40% - Accent5 7 2 6 3" xfId="23242" xr:uid="{00000000-0005-0000-0000-000024490000}"/>
    <cellStyle name="40% - Accent5 7 2 7" xfId="4725" xr:uid="{00000000-0005-0000-0000-000025490000}"/>
    <cellStyle name="40% - Accent5 7 2 7 2" xfId="14400" xr:uid="{00000000-0005-0000-0000-000026490000}"/>
    <cellStyle name="40% - Accent5 7 2 7 2 2" xfId="27949" xr:uid="{00000000-0005-0000-0000-000027490000}"/>
    <cellStyle name="40% - Accent5 7 2 7 3" xfId="23291" xr:uid="{00000000-0005-0000-0000-000028490000}"/>
    <cellStyle name="40% - Accent5 7 2 8" xfId="4726" xr:uid="{00000000-0005-0000-0000-000029490000}"/>
    <cellStyle name="40% - Accent5 7 2 8 2" xfId="15468" xr:uid="{00000000-0005-0000-0000-00002A490000}"/>
    <cellStyle name="40% - Accent5 7 2 8 2 2" xfId="29017" xr:uid="{00000000-0005-0000-0000-00002B490000}"/>
    <cellStyle name="40% - Accent5 7 2 8 3" xfId="22793" xr:uid="{00000000-0005-0000-0000-00002C490000}"/>
    <cellStyle name="40% - Accent5 7 2 9" xfId="4727" xr:uid="{00000000-0005-0000-0000-00002D490000}"/>
    <cellStyle name="40% - Accent5 7 2 9 2" xfId="16286" xr:uid="{00000000-0005-0000-0000-00002E490000}"/>
    <cellStyle name="40% - Accent5 7 2 9 2 2" xfId="29693" xr:uid="{00000000-0005-0000-0000-00002F490000}"/>
    <cellStyle name="40% - Accent5 7 2 9 3" xfId="24217" xr:uid="{00000000-0005-0000-0000-000030490000}"/>
    <cellStyle name="40% - Accent5 7 3" xfId="4728" xr:uid="{00000000-0005-0000-0000-000031490000}"/>
    <cellStyle name="40% - Accent5 7 3 2" xfId="4729" xr:uid="{00000000-0005-0000-0000-000032490000}"/>
    <cellStyle name="40% - Accent5 7 3 2 2" xfId="11227" xr:uid="{00000000-0005-0000-0000-000033490000}"/>
    <cellStyle name="40% - Accent5 7 3 2 2 2" xfId="25169" xr:uid="{00000000-0005-0000-0000-000034490000}"/>
    <cellStyle name="40% - Accent5 7 3 2 3" xfId="24216" xr:uid="{00000000-0005-0000-0000-000035490000}"/>
    <cellStyle name="40% - Accent5 7 3 3" xfId="4730" xr:uid="{00000000-0005-0000-0000-000036490000}"/>
    <cellStyle name="40% - Accent5 7 3 3 2" xfId="13012" xr:uid="{00000000-0005-0000-0000-000037490000}"/>
    <cellStyle name="40% - Accent5 7 3 3 2 2" xfId="26724" xr:uid="{00000000-0005-0000-0000-000038490000}"/>
    <cellStyle name="40% - Accent5 7 3 3 3" xfId="22791" xr:uid="{00000000-0005-0000-0000-000039490000}"/>
    <cellStyle name="40% - Accent5 7 3 4" xfId="4731" xr:uid="{00000000-0005-0000-0000-00003A490000}"/>
    <cellStyle name="40% - Accent5 7 3 4 2" xfId="15471" xr:uid="{00000000-0005-0000-0000-00003B490000}"/>
    <cellStyle name="40% - Accent5 7 3 4 2 2" xfId="29020" xr:uid="{00000000-0005-0000-0000-00003C490000}"/>
    <cellStyle name="40% - Accent5 7 3 4 3" xfId="24215" xr:uid="{00000000-0005-0000-0000-00003D490000}"/>
    <cellStyle name="40% - Accent5 7 3 5" xfId="4732" xr:uid="{00000000-0005-0000-0000-00003E490000}"/>
    <cellStyle name="40% - Accent5 7 3 5 2" xfId="16578" xr:uid="{00000000-0005-0000-0000-00003F490000}"/>
    <cellStyle name="40% - Accent5 7 3 5 2 2" xfId="29985" xr:uid="{00000000-0005-0000-0000-000040490000}"/>
    <cellStyle name="40% - Accent5 7 3 5 3" xfId="22790" xr:uid="{00000000-0005-0000-0000-000041490000}"/>
    <cellStyle name="40% - Accent5 7 3 6" xfId="9500" xr:uid="{00000000-0005-0000-0000-000042490000}"/>
    <cellStyle name="40% - Accent5 7 3 6 2" xfId="23975" xr:uid="{00000000-0005-0000-0000-000043490000}"/>
    <cellStyle name="40% - Accent5 7 3 7" xfId="22792" xr:uid="{00000000-0005-0000-0000-000044490000}"/>
    <cellStyle name="40% - Accent5 7 4" xfId="4733" xr:uid="{00000000-0005-0000-0000-000045490000}"/>
    <cellStyle name="40% - Accent5 7 4 2" xfId="4734" xr:uid="{00000000-0005-0000-0000-000046490000}"/>
    <cellStyle name="40% - Accent5 7 4 2 2" xfId="15472" xr:uid="{00000000-0005-0000-0000-000047490000}"/>
    <cellStyle name="40% - Accent5 7 4 2 2 2" xfId="29021" xr:uid="{00000000-0005-0000-0000-000048490000}"/>
    <cellStyle name="40% - Accent5 7 4 2 3" xfId="22789" xr:uid="{00000000-0005-0000-0000-000049490000}"/>
    <cellStyle name="40% - Accent5 7 4 3" xfId="11224" xr:uid="{00000000-0005-0000-0000-00004A490000}"/>
    <cellStyle name="40% - Accent5 7 4 3 2" xfId="25166" xr:uid="{00000000-0005-0000-0000-00004B490000}"/>
    <cellStyle name="40% - Accent5 7 4 4" xfId="24214" xr:uid="{00000000-0005-0000-0000-00004C490000}"/>
    <cellStyle name="40% - Accent5 7 5" xfId="4735" xr:uid="{00000000-0005-0000-0000-00004D490000}"/>
    <cellStyle name="40% - Accent5 7 5 2" xfId="11953" xr:uid="{00000000-0005-0000-0000-00004E490000}"/>
    <cellStyle name="40% - Accent5 7 5 2 2" xfId="25668" xr:uid="{00000000-0005-0000-0000-00004F490000}"/>
    <cellStyle name="40% - Accent5 7 5 3" xfId="24212" xr:uid="{00000000-0005-0000-0000-000050490000}"/>
    <cellStyle name="40% - Accent5 7 6" xfId="4736" xr:uid="{00000000-0005-0000-0000-000051490000}"/>
    <cellStyle name="40% - Accent5 7 6 2" xfId="13009" xr:uid="{00000000-0005-0000-0000-000052490000}"/>
    <cellStyle name="40% - Accent5 7 6 2 2" xfId="26721" xr:uid="{00000000-0005-0000-0000-000053490000}"/>
    <cellStyle name="40% - Accent5 7 6 3" xfId="24213" xr:uid="{00000000-0005-0000-0000-000054490000}"/>
    <cellStyle name="40% - Accent5 7 7" xfId="4737" xr:uid="{00000000-0005-0000-0000-000055490000}"/>
    <cellStyle name="40% - Accent5 7 7 2" xfId="13530" xr:uid="{00000000-0005-0000-0000-000056490000}"/>
    <cellStyle name="40% - Accent5 7 7 2 2" xfId="27079" xr:uid="{00000000-0005-0000-0000-000057490000}"/>
    <cellStyle name="40% - Accent5 7 7 3" xfId="22788" xr:uid="{00000000-0005-0000-0000-000058490000}"/>
    <cellStyle name="40% - Accent5 7 8" xfId="4738" xr:uid="{00000000-0005-0000-0000-000059490000}"/>
    <cellStyle name="40% - Accent5 7 8 2" xfId="14111" xr:uid="{00000000-0005-0000-0000-00005A490000}"/>
    <cellStyle name="40% - Accent5 7 8 2 2" xfId="27660" xr:uid="{00000000-0005-0000-0000-00005B490000}"/>
    <cellStyle name="40% - Accent5 7 8 3" xfId="22787" xr:uid="{00000000-0005-0000-0000-00005C490000}"/>
    <cellStyle name="40% - Accent5 7 9" xfId="4739" xr:uid="{00000000-0005-0000-0000-00005D490000}"/>
    <cellStyle name="40% - Accent5 7 9 2" xfId="15467" xr:uid="{00000000-0005-0000-0000-00005E490000}"/>
    <cellStyle name="40% - Accent5 7 9 2 2" xfId="29016" xr:uid="{00000000-0005-0000-0000-00005F490000}"/>
    <cellStyle name="40% - Accent5 7 9 3" xfId="24211" xr:uid="{00000000-0005-0000-0000-000060490000}"/>
    <cellStyle name="40% - Accent5 8" xfId="4740" xr:uid="{00000000-0005-0000-0000-000061490000}"/>
    <cellStyle name="40% - Accent5 8 10" xfId="9501" xr:uid="{00000000-0005-0000-0000-000062490000}"/>
    <cellStyle name="40% - Accent5 8 10 2" xfId="23976" xr:uid="{00000000-0005-0000-0000-000063490000}"/>
    <cellStyle name="40% - Accent5 8 11" xfId="26828" xr:uid="{00000000-0005-0000-0000-000064490000}"/>
    <cellStyle name="40% - Accent5 8 2" xfId="4741" xr:uid="{00000000-0005-0000-0000-000065490000}"/>
    <cellStyle name="40% - Accent5 8 2 2" xfId="4742" xr:uid="{00000000-0005-0000-0000-000066490000}"/>
    <cellStyle name="40% - Accent5 8 2 2 2" xfId="11229" xr:uid="{00000000-0005-0000-0000-000067490000}"/>
    <cellStyle name="40% - Accent5 8 2 2 2 2" xfId="25171" xr:uid="{00000000-0005-0000-0000-000068490000}"/>
    <cellStyle name="40% - Accent5 8 2 2 3" xfId="26829" xr:uid="{00000000-0005-0000-0000-000069490000}"/>
    <cellStyle name="40% - Accent5 8 2 3" xfId="4743" xr:uid="{00000000-0005-0000-0000-00006A490000}"/>
    <cellStyle name="40% - Accent5 8 2 3 2" xfId="13014" xr:uid="{00000000-0005-0000-0000-00006B490000}"/>
    <cellStyle name="40% - Accent5 8 2 3 2 2" xfId="26726" xr:uid="{00000000-0005-0000-0000-00006C490000}"/>
    <cellStyle name="40% - Accent5 8 2 3 3" xfId="22785" xr:uid="{00000000-0005-0000-0000-00006D490000}"/>
    <cellStyle name="40% - Accent5 8 2 4" xfId="4744" xr:uid="{00000000-0005-0000-0000-00006E490000}"/>
    <cellStyle name="40% - Accent5 8 2 4 2" xfId="15474" xr:uid="{00000000-0005-0000-0000-00006F490000}"/>
    <cellStyle name="40% - Accent5 8 2 4 2 2" xfId="29023" xr:uid="{00000000-0005-0000-0000-000070490000}"/>
    <cellStyle name="40% - Accent5 8 2 4 3" xfId="22784" xr:uid="{00000000-0005-0000-0000-000071490000}"/>
    <cellStyle name="40% - Accent5 8 2 5" xfId="4745" xr:uid="{00000000-0005-0000-0000-000072490000}"/>
    <cellStyle name="40% - Accent5 8 2 5 2" xfId="16722" xr:uid="{00000000-0005-0000-0000-000073490000}"/>
    <cellStyle name="40% - Accent5 8 2 5 2 2" xfId="30129" xr:uid="{00000000-0005-0000-0000-000074490000}"/>
    <cellStyle name="40% - Accent5 8 2 5 3" xfId="24209" xr:uid="{00000000-0005-0000-0000-000075490000}"/>
    <cellStyle name="40% - Accent5 8 2 6" xfId="9502" xr:uid="{00000000-0005-0000-0000-000076490000}"/>
    <cellStyle name="40% - Accent5 8 2 6 2" xfId="23977" xr:uid="{00000000-0005-0000-0000-000077490000}"/>
    <cellStyle name="40% - Accent5 8 2 7" xfId="22786" xr:uid="{00000000-0005-0000-0000-000078490000}"/>
    <cellStyle name="40% - Accent5 8 3" xfId="4746" xr:uid="{00000000-0005-0000-0000-000079490000}"/>
    <cellStyle name="40% - Accent5 8 3 2" xfId="4747" xr:uid="{00000000-0005-0000-0000-00007A490000}"/>
    <cellStyle name="40% - Accent5 8 3 2 2" xfId="15475" xr:uid="{00000000-0005-0000-0000-00007B490000}"/>
    <cellStyle name="40% - Accent5 8 3 2 2 2" xfId="29024" xr:uid="{00000000-0005-0000-0000-00007C490000}"/>
    <cellStyle name="40% - Accent5 8 3 2 3" xfId="22783" xr:uid="{00000000-0005-0000-0000-00007D490000}"/>
    <cellStyle name="40% - Accent5 8 3 3" xfId="11228" xr:uid="{00000000-0005-0000-0000-00007E490000}"/>
    <cellStyle name="40% - Accent5 8 3 3 2" xfId="25170" xr:uid="{00000000-0005-0000-0000-00007F490000}"/>
    <cellStyle name="40% - Accent5 8 3 4" xfId="24210" xr:uid="{00000000-0005-0000-0000-000080490000}"/>
    <cellStyle name="40% - Accent5 8 4" xfId="4748" xr:uid="{00000000-0005-0000-0000-000081490000}"/>
    <cellStyle name="40% - Accent5 8 4 2" xfId="12100" xr:uid="{00000000-0005-0000-0000-000082490000}"/>
    <cellStyle name="40% - Accent5 8 4 2 2" xfId="25814" xr:uid="{00000000-0005-0000-0000-000083490000}"/>
    <cellStyle name="40% - Accent5 8 4 3" xfId="22782" xr:uid="{00000000-0005-0000-0000-000084490000}"/>
    <cellStyle name="40% - Accent5 8 5" xfId="4749" xr:uid="{00000000-0005-0000-0000-000085490000}"/>
    <cellStyle name="40% - Accent5 8 5 2" xfId="13013" xr:uid="{00000000-0005-0000-0000-000086490000}"/>
    <cellStyle name="40% - Accent5 8 5 2 2" xfId="26725" xr:uid="{00000000-0005-0000-0000-000087490000}"/>
    <cellStyle name="40% - Accent5 8 5 3" xfId="24208" xr:uid="{00000000-0005-0000-0000-000088490000}"/>
    <cellStyle name="40% - Accent5 8 6" xfId="4750" xr:uid="{00000000-0005-0000-0000-000089490000}"/>
    <cellStyle name="40% - Accent5 8 6 2" xfId="13674" xr:uid="{00000000-0005-0000-0000-00008A490000}"/>
    <cellStyle name="40% - Accent5 8 6 2 2" xfId="27223" xr:uid="{00000000-0005-0000-0000-00008B490000}"/>
    <cellStyle name="40% - Accent5 8 6 3" xfId="22781" xr:uid="{00000000-0005-0000-0000-00008C490000}"/>
    <cellStyle name="40% - Accent5 8 7" xfId="4751" xr:uid="{00000000-0005-0000-0000-00008D490000}"/>
    <cellStyle name="40% - Accent5 8 7 2" xfId="14255" xr:uid="{00000000-0005-0000-0000-00008E490000}"/>
    <cellStyle name="40% - Accent5 8 7 2 2" xfId="27804" xr:uid="{00000000-0005-0000-0000-00008F490000}"/>
    <cellStyle name="40% - Accent5 8 7 3" xfId="24205" xr:uid="{00000000-0005-0000-0000-000090490000}"/>
    <cellStyle name="40% - Accent5 8 8" xfId="4752" xr:uid="{00000000-0005-0000-0000-000091490000}"/>
    <cellStyle name="40% - Accent5 8 8 2" xfId="15473" xr:uid="{00000000-0005-0000-0000-000092490000}"/>
    <cellStyle name="40% - Accent5 8 8 2 2" xfId="29022" xr:uid="{00000000-0005-0000-0000-000093490000}"/>
    <cellStyle name="40% - Accent5 8 8 3" xfId="22780" xr:uid="{00000000-0005-0000-0000-000094490000}"/>
    <cellStyle name="40% - Accent5 8 9" xfId="4753" xr:uid="{00000000-0005-0000-0000-000095490000}"/>
    <cellStyle name="40% - Accent5 8 9 2" xfId="16141" xr:uid="{00000000-0005-0000-0000-000096490000}"/>
    <cellStyle name="40% - Accent5 8 9 2 2" xfId="29548" xr:uid="{00000000-0005-0000-0000-000097490000}"/>
    <cellStyle name="40% - Accent5 8 9 3" xfId="25255" xr:uid="{00000000-0005-0000-0000-000098490000}"/>
    <cellStyle name="40% - Accent5 9" xfId="4754" xr:uid="{00000000-0005-0000-0000-000099490000}"/>
    <cellStyle name="40% - Accent5 9 2" xfId="4755" xr:uid="{00000000-0005-0000-0000-00009A490000}"/>
    <cellStyle name="40% - Accent5 9 2 2" xfId="11230" xr:uid="{00000000-0005-0000-0000-00009B490000}"/>
    <cellStyle name="40% - Accent5 9 2 2 2" xfId="25172" xr:uid="{00000000-0005-0000-0000-00009C490000}"/>
    <cellStyle name="40% - Accent5 9 2 3" xfId="24445" xr:uid="{00000000-0005-0000-0000-00009D490000}"/>
    <cellStyle name="40% - Accent5 9 3" xfId="4756" xr:uid="{00000000-0005-0000-0000-00009E490000}"/>
    <cellStyle name="40% - Accent5 9 3 2" xfId="13015" xr:uid="{00000000-0005-0000-0000-00009F490000}"/>
    <cellStyle name="40% - Accent5 9 3 2 2" xfId="26727" xr:uid="{00000000-0005-0000-0000-0000A0490000}"/>
    <cellStyle name="40% - Accent5 9 3 3" xfId="29141" xr:uid="{00000000-0005-0000-0000-0000A1490000}"/>
    <cellStyle name="40% - Accent5 9 4" xfId="4757" xr:uid="{00000000-0005-0000-0000-0000A2490000}"/>
    <cellStyle name="40% - Accent5 9 4 2" xfId="15476" xr:uid="{00000000-0005-0000-0000-0000A3490000}"/>
    <cellStyle name="40% - Accent5 9 4 2 2" xfId="29025" xr:uid="{00000000-0005-0000-0000-0000A4490000}"/>
    <cellStyle name="40% - Accent5 9 4 3" xfId="22778" xr:uid="{00000000-0005-0000-0000-0000A5490000}"/>
    <cellStyle name="40% - Accent5 9 5" xfId="4758" xr:uid="{00000000-0005-0000-0000-0000A6490000}"/>
    <cellStyle name="40% - Accent5 9 5 2" xfId="17106" xr:uid="{00000000-0005-0000-0000-0000A7490000}"/>
    <cellStyle name="40% - Accent5 9 5 2 2" xfId="30465" xr:uid="{00000000-0005-0000-0000-0000A8490000}"/>
    <cellStyle name="40% - Accent5 9 5 3" xfId="22777" xr:uid="{00000000-0005-0000-0000-0000A9490000}"/>
    <cellStyle name="40% - Accent5 9 6" xfId="9503" xr:uid="{00000000-0005-0000-0000-0000AA490000}"/>
    <cellStyle name="40% - Accent5 9 6 2" xfId="23978" xr:uid="{00000000-0005-0000-0000-0000AB490000}"/>
    <cellStyle name="40% - Accent5 9 7" xfId="22779" xr:uid="{00000000-0005-0000-0000-0000AC490000}"/>
    <cellStyle name="40% - Accent6" xfId="48" builtinId="51" customBuiltin="1"/>
    <cellStyle name="40% - Accent6 10" xfId="4759" xr:uid="{00000000-0005-0000-0000-0000AE490000}"/>
    <cellStyle name="40% - Accent6 10 2" xfId="4760" xr:uid="{00000000-0005-0000-0000-0000AF490000}"/>
    <cellStyle name="40% - Accent6 10 2 2" xfId="4761" xr:uid="{00000000-0005-0000-0000-0000B0490000}"/>
    <cellStyle name="40% - Accent6 10 2 2 2" xfId="13018" xr:uid="{00000000-0005-0000-0000-0000B1490000}"/>
    <cellStyle name="40% - Accent6 10 2 2 2 2" xfId="26730" xr:uid="{00000000-0005-0000-0000-0000B2490000}"/>
    <cellStyle name="40% - Accent6 10 2 2 3" xfId="24206" xr:uid="{00000000-0005-0000-0000-0000B3490000}"/>
    <cellStyle name="40% - Accent6 10 2 3" xfId="4762" xr:uid="{00000000-0005-0000-0000-0000B4490000}"/>
    <cellStyle name="40% - Accent6 10 2 3 2" xfId="15479" xr:uid="{00000000-0005-0000-0000-0000B5490000}"/>
    <cellStyle name="40% - Accent6 10 2 3 2 2" xfId="29028" xr:uid="{00000000-0005-0000-0000-0000B6490000}"/>
    <cellStyle name="40% - Accent6 10 2 3 3" xfId="22775" xr:uid="{00000000-0005-0000-0000-0000B7490000}"/>
    <cellStyle name="40% - Accent6 10 2 4" xfId="11232" xr:uid="{00000000-0005-0000-0000-0000B8490000}"/>
    <cellStyle name="40% - Accent6 10 2 4 2" xfId="25174" xr:uid="{00000000-0005-0000-0000-0000B9490000}"/>
    <cellStyle name="40% - Accent6 10 2 5" xfId="22776" xr:uid="{00000000-0005-0000-0000-0000BA490000}"/>
    <cellStyle name="40% - Accent6 10 3" xfId="4763" xr:uid="{00000000-0005-0000-0000-0000BB490000}"/>
    <cellStyle name="40% - Accent6 10 3 2" xfId="13017" xr:uid="{00000000-0005-0000-0000-0000BC490000}"/>
    <cellStyle name="40% - Accent6 10 3 2 2" xfId="26729" xr:uid="{00000000-0005-0000-0000-0000BD490000}"/>
    <cellStyle name="40% - Accent6 10 3 3" xfId="23244" xr:uid="{00000000-0005-0000-0000-0000BE490000}"/>
    <cellStyle name="40% - Accent6 10 4" xfId="4764" xr:uid="{00000000-0005-0000-0000-0000BF490000}"/>
    <cellStyle name="40% - Accent6 10 4 2" xfId="15478" xr:uid="{00000000-0005-0000-0000-0000C0490000}"/>
    <cellStyle name="40% - Accent6 10 4 2 2" xfId="29027" xr:uid="{00000000-0005-0000-0000-0000C1490000}"/>
    <cellStyle name="40% - Accent6 10 4 3" xfId="24204" xr:uid="{00000000-0005-0000-0000-0000C2490000}"/>
    <cellStyle name="40% - Accent6 10 5" xfId="4765" xr:uid="{00000000-0005-0000-0000-0000C3490000}"/>
    <cellStyle name="40% - Accent6 10 5 2" xfId="17196" xr:uid="{00000000-0005-0000-0000-0000C4490000}"/>
    <cellStyle name="40% - Accent6 10 5 2 2" xfId="30555" xr:uid="{00000000-0005-0000-0000-0000C5490000}"/>
    <cellStyle name="40% - Accent6 10 5 3" xfId="22774" xr:uid="{00000000-0005-0000-0000-0000C6490000}"/>
    <cellStyle name="40% - Accent6 10 6" xfId="9505" xr:uid="{00000000-0005-0000-0000-0000C7490000}"/>
    <cellStyle name="40% - Accent6 10 6 2" xfId="23980" xr:uid="{00000000-0005-0000-0000-0000C8490000}"/>
    <cellStyle name="40% - Accent6 10 7" xfId="24207" xr:uid="{00000000-0005-0000-0000-0000C9490000}"/>
    <cellStyle name="40% - Accent6 11" xfId="4766" xr:uid="{00000000-0005-0000-0000-0000CA490000}"/>
    <cellStyle name="40% - Accent6 11 2" xfId="4767" xr:uid="{00000000-0005-0000-0000-0000CB490000}"/>
    <cellStyle name="40% - Accent6 11 2 2" xfId="11233" xr:uid="{00000000-0005-0000-0000-0000CC490000}"/>
    <cellStyle name="40% - Accent6 11 2 2 2" xfId="25175" xr:uid="{00000000-0005-0000-0000-0000CD490000}"/>
    <cellStyle name="40% - Accent6 11 2 3" xfId="22773" xr:uid="{00000000-0005-0000-0000-0000CE490000}"/>
    <cellStyle name="40% - Accent6 11 3" xfId="4768" xr:uid="{00000000-0005-0000-0000-0000CF490000}"/>
    <cellStyle name="40% - Accent6 11 3 2" xfId="13019" xr:uid="{00000000-0005-0000-0000-0000D0490000}"/>
    <cellStyle name="40% - Accent6 11 3 2 2" xfId="26731" xr:uid="{00000000-0005-0000-0000-0000D1490000}"/>
    <cellStyle name="40% - Accent6 11 3 3" xfId="24202" xr:uid="{00000000-0005-0000-0000-0000D2490000}"/>
    <cellStyle name="40% - Accent6 11 4" xfId="4769" xr:uid="{00000000-0005-0000-0000-0000D3490000}"/>
    <cellStyle name="40% - Accent6 11 4 2" xfId="15480" xr:uid="{00000000-0005-0000-0000-0000D4490000}"/>
    <cellStyle name="40% - Accent6 11 4 2 2" xfId="29029" xr:uid="{00000000-0005-0000-0000-0000D5490000}"/>
    <cellStyle name="40% - Accent6 11 4 3" xfId="22772" xr:uid="{00000000-0005-0000-0000-0000D6490000}"/>
    <cellStyle name="40% - Accent6 11 5" xfId="4770" xr:uid="{00000000-0005-0000-0000-0000D7490000}"/>
    <cellStyle name="40% - Accent6 11 5 2" xfId="17285" xr:uid="{00000000-0005-0000-0000-0000D8490000}"/>
    <cellStyle name="40% - Accent6 11 5 2 2" xfId="30644" xr:uid="{00000000-0005-0000-0000-0000D9490000}"/>
    <cellStyle name="40% - Accent6 11 5 3" xfId="24201" xr:uid="{00000000-0005-0000-0000-0000DA490000}"/>
    <cellStyle name="40% - Accent6 11 6" xfId="9506" xr:uid="{00000000-0005-0000-0000-0000DB490000}"/>
    <cellStyle name="40% - Accent6 11 6 2" xfId="23981" xr:uid="{00000000-0005-0000-0000-0000DC490000}"/>
    <cellStyle name="40% - Accent6 11 7" xfId="24203" xr:uid="{00000000-0005-0000-0000-0000DD490000}"/>
    <cellStyle name="40% - Accent6 12" xfId="4771" xr:uid="{00000000-0005-0000-0000-0000DE490000}"/>
    <cellStyle name="40% - Accent6 12 2" xfId="4772" xr:uid="{00000000-0005-0000-0000-0000DF490000}"/>
    <cellStyle name="40% - Accent6 12 2 2" xfId="4773" xr:uid="{00000000-0005-0000-0000-0000E0490000}"/>
    <cellStyle name="40% - Accent6 12 2 2 2" xfId="11235" xr:uid="{00000000-0005-0000-0000-0000E1490000}"/>
    <cellStyle name="40% - Accent6 12 2 2 2 2" xfId="25177" xr:uid="{00000000-0005-0000-0000-0000E2490000}"/>
    <cellStyle name="40% - Accent6 12 2 2 3" xfId="24200" xr:uid="{00000000-0005-0000-0000-0000E3490000}"/>
    <cellStyle name="40% - Accent6 12 2 3" xfId="4774" xr:uid="{00000000-0005-0000-0000-0000E4490000}"/>
    <cellStyle name="40% - Accent6 12 2 3 2" xfId="13021" xr:uid="{00000000-0005-0000-0000-0000E5490000}"/>
    <cellStyle name="40% - Accent6 12 2 3 2 2" xfId="26733" xr:uid="{00000000-0005-0000-0000-0000E6490000}"/>
    <cellStyle name="40% - Accent6 12 2 3 3" xfId="22770" xr:uid="{00000000-0005-0000-0000-0000E7490000}"/>
    <cellStyle name="40% - Accent6 12 2 4" xfId="4775" xr:uid="{00000000-0005-0000-0000-0000E8490000}"/>
    <cellStyle name="40% - Accent6 12 2 4 2" xfId="15482" xr:uid="{00000000-0005-0000-0000-0000E9490000}"/>
    <cellStyle name="40% - Accent6 12 2 4 2 2" xfId="29031" xr:uid="{00000000-0005-0000-0000-0000EA490000}"/>
    <cellStyle name="40% - Accent6 12 2 4 3" xfId="22769" xr:uid="{00000000-0005-0000-0000-0000EB490000}"/>
    <cellStyle name="40% - Accent6 12 2 5" xfId="9508" xr:uid="{00000000-0005-0000-0000-0000EC490000}"/>
    <cellStyle name="40% - Accent6 12 2 5 2" xfId="23983" xr:uid="{00000000-0005-0000-0000-0000ED490000}"/>
    <cellStyle name="40% - Accent6 12 2 6" xfId="24199" xr:uid="{00000000-0005-0000-0000-0000EE490000}"/>
    <cellStyle name="40% - Accent6 12 3" xfId="4776" xr:uid="{00000000-0005-0000-0000-0000EF490000}"/>
    <cellStyle name="40% - Accent6 12 3 2" xfId="11234" xr:uid="{00000000-0005-0000-0000-0000F0490000}"/>
    <cellStyle name="40% - Accent6 12 3 2 2" xfId="25176" xr:uid="{00000000-0005-0000-0000-0000F1490000}"/>
    <cellStyle name="40% - Accent6 12 3 3" xfId="24198" xr:uid="{00000000-0005-0000-0000-0000F2490000}"/>
    <cellStyle name="40% - Accent6 12 4" xfId="4777" xr:uid="{00000000-0005-0000-0000-0000F3490000}"/>
    <cellStyle name="40% - Accent6 12 4 2" xfId="13020" xr:uid="{00000000-0005-0000-0000-0000F4490000}"/>
    <cellStyle name="40% - Accent6 12 4 2 2" xfId="26732" xr:uid="{00000000-0005-0000-0000-0000F5490000}"/>
    <cellStyle name="40% - Accent6 12 4 3" xfId="26826" xr:uid="{00000000-0005-0000-0000-0000F6490000}"/>
    <cellStyle name="40% - Accent6 12 5" xfId="4778" xr:uid="{00000000-0005-0000-0000-0000F7490000}"/>
    <cellStyle name="40% - Accent6 12 5 2" xfId="15481" xr:uid="{00000000-0005-0000-0000-0000F8490000}"/>
    <cellStyle name="40% - Accent6 12 5 2 2" xfId="29030" xr:uid="{00000000-0005-0000-0000-0000F9490000}"/>
    <cellStyle name="40% - Accent6 12 5 3" xfId="22768" xr:uid="{00000000-0005-0000-0000-0000FA490000}"/>
    <cellStyle name="40% - Accent6 12 6" xfId="4779" xr:uid="{00000000-0005-0000-0000-0000FB490000}"/>
    <cellStyle name="40% - Accent6 12 6 2" xfId="16437" xr:uid="{00000000-0005-0000-0000-0000FC490000}"/>
    <cellStyle name="40% - Accent6 12 6 2 2" xfId="29844" xr:uid="{00000000-0005-0000-0000-0000FD490000}"/>
    <cellStyle name="40% - Accent6 12 6 3" xfId="26827" xr:uid="{00000000-0005-0000-0000-0000FE490000}"/>
    <cellStyle name="40% - Accent6 12 7" xfId="9507" xr:uid="{00000000-0005-0000-0000-0000FF490000}"/>
    <cellStyle name="40% - Accent6 12 7 2" xfId="23982" xr:uid="{00000000-0005-0000-0000-0000004A0000}"/>
    <cellStyle name="40% - Accent6 12 8" xfId="22771" xr:uid="{00000000-0005-0000-0000-0000014A0000}"/>
    <cellStyle name="40% - Accent6 13" xfId="4780" xr:uid="{00000000-0005-0000-0000-0000024A0000}"/>
    <cellStyle name="40% - Accent6 13 2" xfId="4781" xr:uid="{00000000-0005-0000-0000-0000034A0000}"/>
    <cellStyle name="40% - Accent6 13 2 2" xfId="11236" xr:uid="{00000000-0005-0000-0000-0000044A0000}"/>
    <cellStyle name="40% - Accent6 13 2 2 2" xfId="25178" xr:uid="{00000000-0005-0000-0000-0000054A0000}"/>
    <cellStyle name="40% - Accent6 13 2 3" xfId="22766" xr:uid="{00000000-0005-0000-0000-0000064A0000}"/>
    <cellStyle name="40% - Accent6 13 3" xfId="4782" xr:uid="{00000000-0005-0000-0000-0000074A0000}"/>
    <cellStyle name="40% - Accent6 13 3 2" xfId="13022" xr:uid="{00000000-0005-0000-0000-0000084A0000}"/>
    <cellStyle name="40% - Accent6 13 3 2 2" xfId="26734" xr:uid="{00000000-0005-0000-0000-0000094A0000}"/>
    <cellStyle name="40% - Accent6 13 3 3" xfId="24196" xr:uid="{00000000-0005-0000-0000-00000A4A0000}"/>
    <cellStyle name="40% - Accent6 13 4" xfId="4783" xr:uid="{00000000-0005-0000-0000-00000B4A0000}"/>
    <cellStyle name="40% - Accent6 13 4 2" xfId="15483" xr:uid="{00000000-0005-0000-0000-00000C4A0000}"/>
    <cellStyle name="40% - Accent6 13 4 2 2" xfId="29032" xr:uid="{00000000-0005-0000-0000-00000D4A0000}"/>
    <cellStyle name="40% - Accent6 13 4 3" xfId="24197" xr:uid="{00000000-0005-0000-0000-00000E4A0000}"/>
    <cellStyle name="40% - Accent6 13 5" xfId="9509" xr:uid="{00000000-0005-0000-0000-00000F4A0000}"/>
    <cellStyle name="40% - Accent6 13 5 2" xfId="23984" xr:uid="{00000000-0005-0000-0000-0000104A0000}"/>
    <cellStyle name="40% - Accent6 13 6" xfId="22767" xr:uid="{00000000-0005-0000-0000-0000114A0000}"/>
    <cellStyle name="40% - Accent6 14" xfId="4784" xr:uid="{00000000-0005-0000-0000-0000124A0000}"/>
    <cellStyle name="40% - Accent6 14 2" xfId="4785" xr:uid="{00000000-0005-0000-0000-0000134A0000}"/>
    <cellStyle name="40% - Accent6 14 2 2" xfId="11237" xr:uid="{00000000-0005-0000-0000-0000144A0000}"/>
    <cellStyle name="40% - Accent6 14 2 2 2" xfId="25179" xr:uid="{00000000-0005-0000-0000-0000154A0000}"/>
    <cellStyle name="40% - Accent6 14 2 3" xfId="22764" xr:uid="{00000000-0005-0000-0000-0000164A0000}"/>
    <cellStyle name="40% - Accent6 14 3" xfId="4786" xr:uid="{00000000-0005-0000-0000-0000174A0000}"/>
    <cellStyle name="40% - Accent6 14 3 2" xfId="13023" xr:uid="{00000000-0005-0000-0000-0000184A0000}"/>
    <cellStyle name="40% - Accent6 14 3 2 2" xfId="26735" xr:uid="{00000000-0005-0000-0000-0000194A0000}"/>
    <cellStyle name="40% - Accent6 14 3 3" xfId="24195" xr:uid="{00000000-0005-0000-0000-00001A4A0000}"/>
    <cellStyle name="40% - Accent6 14 4" xfId="4787" xr:uid="{00000000-0005-0000-0000-00001B4A0000}"/>
    <cellStyle name="40% - Accent6 14 4 2" xfId="15484" xr:uid="{00000000-0005-0000-0000-00001C4A0000}"/>
    <cellStyle name="40% - Accent6 14 4 2 2" xfId="29033" xr:uid="{00000000-0005-0000-0000-00001D4A0000}"/>
    <cellStyle name="40% - Accent6 14 4 3" xfId="22763" xr:uid="{00000000-0005-0000-0000-00001E4A0000}"/>
    <cellStyle name="40% - Accent6 14 5" xfId="9510" xr:uid="{00000000-0005-0000-0000-00001F4A0000}"/>
    <cellStyle name="40% - Accent6 14 5 2" xfId="23985" xr:uid="{00000000-0005-0000-0000-0000204A0000}"/>
    <cellStyle name="40% - Accent6 14 6" xfId="22765" xr:uid="{00000000-0005-0000-0000-0000214A0000}"/>
    <cellStyle name="40% - Accent6 15" xfId="4788" xr:uid="{00000000-0005-0000-0000-0000224A0000}"/>
    <cellStyle name="40% - Accent6 15 2" xfId="4789" xr:uid="{00000000-0005-0000-0000-0000234A0000}"/>
    <cellStyle name="40% - Accent6 15 2 2" xfId="11238" xr:uid="{00000000-0005-0000-0000-0000244A0000}"/>
    <cellStyle name="40% - Accent6 15 2 2 2" xfId="25180" xr:uid="{00000000-0005-0000-0000-0000254A0000}"/>
    <cellStyle name="40% - Accent6 15 2 3" xfId="22762" xr:uid="{00000000-0005-0000-0000-0000264A0000}"/>
    <cellStyle name="40% - Accent6 15 3" xfId="4790" xr:uid="{00000000-0005-0000-0000-0000274A0000}"/>
    <cellStyle name="40% - Accent6 15 3 2" xfId="13024" xr:uid="{00000000-0005-0000-0000-0000284A0000}"/>
    <cellStyle name="40% - Accent6 15 3 2 2" xfId="26736" xr:uid="{00000000-0005-0000-0000-0000294A0000}"/>
    <cellStyle name="40% - Accent6 15 3 3" xfId="25254" xr:uid="{00000000-0005-0000-0000-00002A4A0000}"/>
    <cellStyle name="40% - Accent6 15 4" xfId="4791" xr:uid="{00000000-0005-0000-0000-00002B4A0000}"/>
    <cellStyle name="40% - Accent6 15 4 2" xfId="15485" xr:uid="{00000000-0005-0000-0000-00002C4A0000}"/>
    <cellStyle name="40% - Accent6 15 4 2 2" xfId="29034" xr:uid="{00000000-0005-0000-0000-00002D4A0000}"/>
    <cellStyle name="40% - Accent6 15 4 3" xfId="22761" xr:uid="{00000000-0005-0000-0000-00002E4A0000}"/>
    <cellStyle name="40% - Accent6 15 5" xfId="9511" xr:uid="{00000000-0005-0000-0000-00002F4A0000}"/>
    <cellStyle name="40% - Accent6 15 5 2" xfId="23986" xr:uid="{00000000-0005-0000-0000-0000304A0000}"/>
    <cellStyle name="40% - Accent6 15 6" xfId="24192" xr:uid="{00000000-0005-0000-0000-0000314A0000}"/>
    <cellStyle name="40% - Accent6 16" xfId="4792" xr:uid="{00000000-0005-0000-0000-0000324A0000}"/>
    <cellStyle name="40% - Accent6 16 2" xfId="4793" xr:uid="{00000000-0005-0000-0000-0000334A0000}"/>
    <cellStyle name="40% - Accent6 16 2 2" xfId="11239" xr:uid="{00000000-0005-0000-0000-0000344A0000}"/>
    <cellStyle name="40% - Accent6 16 2 2 2" xfId="25181" xr:uid="{00000000-0005-0000-0000-0000354A0000}"/>
    <cellStyle name="40% - Accent6 16 2 3" xfId="29140" xr:uid="{00000000-0005-0000-0000-0000364A0000}"/>
    <cellStyle name="40% - Accent6 16 3" xfId="4794" xr:uid="{00000000-0005-0000-0000-0000374A0000}"/>
    <cellStyle name="40% - Accent6 16 3 2" xfId="13025" xr:uid="{00000000-0005-0000-0000-0000384A0000}"/>
    <cellStyle name="40% - Accent6 16 3 2 2" xfId="26737" xr:uid="{00000000-0005-0000-0000-0000394A0000}"/>
    <cellStyle name="40% - Accent6 16 3 3" xfId="22760" xr:uid="{00000000-0005-0000-0000-00003A4A0000}"/>
    <cellStyle name="40% - Accent6 16 4" xfId="4795" xr:uid="{00000000-0005-0000-0000-00003B4A0000}"/>
    <cellStyle name="40% - Accent6 16 4 2" xfId="15486" xr:uid="{00000000-0005-0000-0000-00003C4A0000}"/>
    <cellStyle name="40% - Accent6 16 4 2 2" xfId="29035" xr:uid="{00000000-0005-0000-0000-00003D4A0000}"/>
    <cellStyle name="40% - Accent6 16 4 3" xfId="22759" xr:uid="{00000000-0005-0000-0000-00003E4A0000}"/>
    <cellStyle name="40% - Accent6 16 5" xfId="9512" xr:uid="{00000000-0005-0000-0000-00003F4A0000}"/>
    <cellStyle name="40% - Accent6 16 5 2" xfId="23987" xr:uid="{00000000-0005-0000-0000-0000404A0000}"/>
    <cellStyle name="40% - Accent6 16 6" xfId="24444" xr:uid="{00000000-0005-0000-0000-0000414A0000}"/>
    <cellStyle name="40% - Accent6 17" xfId="4796" xr:uid="{00000000-0005-0000-0000-0000424A0000}"/>
    <cellStyle name="40% - Accent6 17 2" xfId="4797" xr:uid="{00000000-0005-0000-0000-0000434A0000}"/>
    <cellStyle name="40% - Accent6 17 2 2" xfId="11240" xr:uid="{00000000-0005-0000-0000-0000444A0000}"/>
    <cellStyle name="40% - Accent6 17 2 2 2" xfId="25182" xr:uid="{00000000-0005-0000-0000-0000454A0000}"/>
    <cellStyle name="40% - Accent6 17 2 3" xfId="22758" xr:uid="{00000000-0005-0000-0000-0000464A0000}"/>
    <cellStyle name="40% - Accent6 17 3" xfId="4798" xr:uid="{00000000-0005-0000-0000-0000474A0000}"/>
    <cellStyle name="40% - Accent6 17 3 2" xfId="13026" xr:uid="{00000000-0005-0000-0000-0000484A0000}"/>
    <cellStyle name="40% - Accent6 17 3 2 2" xfId="26738" xr:uid="{00000000-0005-0000-0000-0000494A0000}"/>
    <cellStyle name="40% - Accent6 17 3 3" xfId="24193" xr:uid="{00000000-0005-0000-0000-00004A4A0000}"/>
    <cellStyle name="40% - Accent6 17 4" xfId="4799" xr:uid="{00000000-0005-0000-0000-00004B4A0000}"/>
    <cellStyle name="40% - Accent6 17 4 2" xfId="15487" xr:uid="{00000000-0005-0000-0000-00004C4A0000}"/>
    <cellStyle name="40% - Accent6 17 4 2 2" xfId="29036" xr:uid="{00000000-0005-0000-0000-00004D4A0000}"/>
    <cellStyle name="40% - Accent6 17 4 3" xfId="22757" xr:uid="{00000000-0005-0000-0000-00004E4A0000}"/>
    <cellStyle name="40% - Accent6 17 5" xfId="9513" xr:uid="{00000000-0005-0000-0000-00004F4A0000}"/>
    <cellStyle name="40% - Accent6 17 5 2" xfId="23988" xr:uid="{00000000-0005-0000-0000-0000504A0000}"/>
    <cellStyle name="40% - Accent6 17 6" xfId="24194" xr:uid="{00000000-0005-0000-0000-0000514A0000}"/>
    <cellStyle name="40% - Accent6 18" xfId="4800" xr:uid="{00000000-0005-0000-0000-0000524A0000}"/>
    <cellStyle name="40% - Accent6 18 2" xfId="4801" xr:uid="{00000000-0005-0000-0000-0000534A0000}"/>
    <cellStyle name="40% - Accent6 18 2 2" xfId="11241" xr:uid="{00000000-0005-0000-0000-0000544A0000}"/>
    <cellStyle name="40% - Accent6 18 2 2 2" xfId="25183" xr:uid="{00000000-0005-0000-0000-0000554A0000}"/>
    <cellStyle name="40% - Accent6 18 2 3" xfId="24191" xr:uid="{00000000-0005-0000-0000-0000564A0000}"/>
    <cellStyle name="40% - Accent6 18 3" xfId="4802" xr:uid="{00000000-0005-0000-0000-0000574A0000}"/>
    <cellStyle name="40% - Accent6 18 3 2" xfId="13027" xr:uid="{00000000-0005-0000-0000-0000584A0000}"/>
    <cellStyle name="40% - Accent6 18 3 2 2" xfId="26739" xr:uid="{00000000-0005-0000-0000-0000594A0000}"/>
    <cellStyle name="40% - Accent6 18 3 3" xfId="22756" xr:uid="{00000000-0005-0000-0000-00005A4A0000}"/>
    <cellStyle name="40% - Accent6 18 4" xfId="4803" xr:uid="{00000000-0005-0000-0000-00005B4A0000}"/>
    <cellStyle name="40% - Accent6 18 4 2" xfId="15488" xr:uid="{00000000-0005-0000-0000-00005C4A0000}"/>
    <cellStyle name="40% - Accent6 18 4 2 2" xfId="29037" xr:uid="{00000000-0005-0000-0000-00005D4A0000}"/>
    <cellStyle name="40% - Accent6 18 4 3" xfId="24190" xr:uid="{00000000-0005-0000-0000-00005E4A0000}"/>
    <cellStyle name="40% - Accent6 18 5" xfId="9514" xr:uid="{00000000-0005-0000-0000-00005F4A0000}"/>
    <cellStyle name="40% - Accent6 18 5 2" xfId="23989" xr:uid="{00000000-0005-0000-0000-0000604A0000}"/>
    <cellStyle name="40% - Accent6 18 6" xfId="23243" xr:uid="{00000000-0005-0000-0000-0000614A0000}"/>
    <cellStyle name="40% - Accent6 19" xfId="4804" xr:uid="{00000000-0005-0000-0000-0000624A0000}"/>
    <cellStyle name="40% - Accent6 19 2" xfId="4805" xr:uid="{00000000-0005-0000-0000-0000634A0000}"/>
    <cellStyle name="40% - Accent6 19 2 2" xfId="11721" xr:uid="{00000000-0005-0000-0000-0000644A0000}"/>
    <cellStyle name="40% - Accent6 19 2 2 2" xfId="25441" xr:uid="{00000000-0005-0000-0000-0000654A0000}"/>
    <cellStyle name="40% - Accent6 19 2 3" xfId="24189" xr:uid="{00000000-0005-0000-0000-0000664A0000}"/>
    <cellStyle name="40% - Accent6 19 3" xfId="4806" xr:uid="{00000000-0005-0000-0000-0000674A0000}"/>
    <cellStyle name="40% - Accent6 19 3 2" xfId="13028" xr:uid="{00000000-0005-0000-0000-0000684A0000}"/>
    <cellStyle name="40% - Accent6 19 3 2 2" xfId="26740" xr:uid="{00000000-0005-0000-0000-0000694A0000}"/>
    <cellStyle name="40% - Accent6 19 3 3" xfId="22754" xr:uid="{00000000-0005-0000-0000-00006A4A0000}"/>
    <cellStyle name="40% - Accent6 19 4" xfId="4807" xr:uid="{00000000-0005-0000-0000-00006B4A0000}"/>
    <cellStyle name="40% - Accent6 19 4 2" xfId="15489" xr:uid="{00000000-0005-0000-0000-00006C4A0000}"/>
    <cellStyle name="40% - Accent6 19 4 2 2" xfId="29038" xr:uid="{00000000-0005-0000-0000-00006D4A0000}"/>
    <cellStyle name="40% - Accent6 19 4 3" xfId="24188" xr:uid="{00000000-0005-0000-0000-00006E4A0000}"/>
    <cellStyle name="40% - Accent6 19 5" xfId="10473" xr:uid="{00000000-0005-0000-0000-00006F4A0000}"/>
    <cellStyle name="40% - Accent6 19 5 2" xfId="24432" xr:uid="{00000000-0005-0000-0000-0000704A0000}"/>
    <cellStyle name="40% - Accent6 19 6" xfId="22755" xr:uid="{00000000-0005-0000-0000-0000714A0000}"/>
    <cellStyle name="40% - Accent6 2" xfId="4808" xr:uid="{00000000-0005-0000-0000-0000724A0000}"/>
    <cellStyle name="40% - Accent6 2 10" xfId="4809" xr:uid="{00000000-0005-0000-0000-0000734A0000}"/>
    <cellStyle name="40% - Accent6 2 10 2" xfId="4810" xr:uid="{00000000-0005-0000-0000-0000744A0000}"/>
    <cellStyle name="40% - Accent6 2 10 2 2" xfId="15491" xr:uid="{00000000-0005-0000-0000-0000754A0000}"/>
    <cellStyle name="40% - Accent6 2 10 2 2 2" xfId="29040" xr:uid="{00000000-0005-0000-0000-0000764A0000}"/>
    <cellStyle name="40% - Accent6 2 10 2 3" xfId="24187" xr:uid="{00000000-0005-0000-0000-0000774A0000}"/>
    <cellStyle name="40% - Accent6 2 10 3" xfId="11849" xr:uid="{00000000-0005-0000-0000-0000784A0000}"/>
    <cellStyle name="40% - Accent6 2 10 3 2" xfId="25564" xr:uid="{00000000-0005-0000-0000-0000794A0000}"/>
    <cellStyle name="40% - Accent6 2 10 4" xfId="24186" xr:uid="{00000000-0005-0000-0000-00007A4A0000}"/>
    <cellStyle name="40% - Accent6 2 11" xfId="4811" xr:uid="{00000000-0005-0000-0000-00007B4A0000}"/>
    <cellStyle name="40% - Accent6 2 11 2" xfId="13029" xr:uid="{00000000-0005-0000-0000-00007C4A0000}"/>
    <cellStyle name="40% - Accent6 2 11 2 2" xfId="26741" xr:uid="{00000000-0005-0000-0000-00007D4A0000}"/>
    <cellStyle name="40% - Accent6 2 11 3" xfId="22752" xr:uid="{00000000-0005-0000-0000-00007E4A0000}"/>
    <cellStyle name="40% - Accent6 2 12" xfId="4812" xr:uid="{00000000-0005-0000-0000-00007F4A0000}"/>
    <cellStyle name="40% - Accent6 2 12 2" xfId="13446" xr:uid="{00000000-0005-0000-0000-0000804A0000}"/>
    <cellStyle name="40% - Accent6 2 12 2 2" xfId="26995" xr:uid="{00000000-0005-0000-0000-0000814A0000}"/>
    <cellStyle name="40% - Accent6 2 12 3" xfId="22751" xr:uid="{00000000-0005-0000-0000-0000824A0000}"/>
    <cellStyle name="40% - Accent6 2 13" xfId="4813" xr:uid="{00000000-0005-0000-0000-0000834A0000}"/>
    <cellStyle name="40% - Accent6 2 13 2" xfId="14027" xr:uid="{00000000-0005-0000-0000-0000844A0000}"/>
    <cellStyle name="40% - Accent6 2 13 2 2" xfId="27576" xr:uid="{00000000-0005-0000-0000-0000854A0000}"/>
    <cellStyle name="40% - Accent6 2 13 3" xfId="24185" xr:uid="{00000000-0005-0000-0000-0000864A0000}"/>
    <cellStyle name="40% - Accent6 2 14" xfId="4814" xr:uid="{00000000-0005-0000-0000-0000874A0000}"/>
    <cellStyle name="40% - Accent6 2 14 2" xfId="15490" xr:uid="{00000000-0005-0000-0000-0000884A0000}"/>
    <cellStyle name="40% - Accent6 2 14 2 2" xfId="29039" xr:uid="{00000000-0005-0000-0000-0000894A0000}"/>
    <cellStyle name="40% - Accent6 2 14 3" xfId="26824" xr:uid="{00000000-0005-0000-0000-00008A4A0000}"/>
    <cellStyle name="40% - Accent6 2 15" xfId="4815" xr:uid="{00000000-0005-0000-0000-00008B4A0000}"/>
    <cellStyle name="40% - Accent6 2 15 2" xfId="15913" xr:uid="{00000000-0005-0000-0000-00008C4A0000}"/>
    <cellStyle name="40% - Accent6 2 15 2 2" xfId="29320" xr:uid="{00000000-0005-0000-0000-00008D4A0000}"/>
    <cellStyle name="40% - Accent6 2 15 3" xfId="22750" xr:uid="{00000000-0005-0000-0000-00008E4A0000}"/>
    <cellStyle name="40% - Accent6 2 16" xfId="9515" xr:uid="{00000000-0005-0000-0000-00008F4A0000}"/>
    <cellStyle name="40% - Accent6 2 16 2" xfId="23990" xr:uid="{00000000-0005-0000-0000-0000904A0000}"/>
    <cellStyle name="40% - Accent6 2 17" xfId="22753" xr:uid="{00000000-0005-0000-0000-0000914A0000}"/>
    <cellStyle name="40% - Accent6 2 18" xfId="33083" xr:uid="{00000000-0005-0000-0000-0000924A0000}"/>
    <cellStyle name="40% - Accent6 2 2" xfId="4816" xr:uid="{00000000-0005-0000-0000-0000934A0000}"/>
    <cellStyle name="40% - Accent6 2 2 10" xfId="4817" xr:uid="{00000000-0005-0000-0000-0000944A0000}"/>
    <cellStyle name="40% - Accent6 2 2 10 2" xfId="15492" xr:uid="{00000000-0005-0000-0000-0000954A0000}"/>
    <cellStyle name="40% - Accent6 2 2 10 2 2" xfId="29041" xr:uid="{00000000-0005-0000-0000-0000964A0000}"/>
    <cellStyle name="40% - Accent6 2 2 10 3" xfId="22749" xr:uid="{00000000-0005-0000-0000-0000974A0000}"/>
    <cellStyle name="40% - Accent6 2 2 11" xfId="4818" xr:uid="{00000000-0005-0000-0000-0000984A0000}"/>
    <cellStyle name="40% - Accent6 2 2 11 2" xfId="15959" xr:uid="{00000000-0005-0000-0000-0000994A0000}"/>
    <cellStyle name="40% - Accent6 2 2 11 2 2" xfId="29366" xr:uid="{00000000-0005-0000-0000-00009A4A0000}"/>
    <cellStyle name="40% - Accent6 2 2 11 3" xfId="22748" xr:uid="{00000000-0005-0000-0000-00009B4A0000}"/>
    <cellStyle name="40% - Accent6 2 2 12" xfId="9516" xr:uid="{00000000-0005-0000-0000-00009C4A0000}"/>
    <cellStyle name="40% - Accent6 2 2 12 2" xfId="23991" xr:uid="{00000000-0005-0000-0000-00009D4A0000}"/>
    <cellStyle name="40% - Accent6 2 2 13" xfId="26825" xr:uid="{00000000-0005-0000-0000-00009E4A0000}"/>
    <cellStyle name="40% - Accent6 2 2 2" xfId="4819" xr:uid="{00000000-0005-0000-0000-00009F4A0000}"/>
    <cellStyle name="40% - Accent6 2 2 2 10" xfId="4820" xr:uid="{00000000-0005-0000-0000-0000A04A0000}"/>
    <cellStyle name="40% - Accent6 2 2 2 10 2" xfId="16102" xr:uid="{00000000-0005-0000-0000-0000A14A0000}"/>
    <cellStyle name="40% - Accent6 2 2 2 10 2 2" xfId="29509" xr:uid="{00000000-0005-0000-0000-0000A24A0000}"/>
    <cellStyle name="40% - Accent6 2 2 2 10 3" xfId="24184" xr:uid="{00000000-0005-0000-0000-0000A34A0000}"/>
    <cellStyle name="40% - Accent6 2 2 2 11" xfId="9517" xr:uid="{00000000-0005-0000-0000-0000A44A0000}"/>
    <cellStyle name="40% - Accent6 2 2 2 11 2" xfId="23992" xr:uid="{00000000-0005-0000-0000-0000A54A0000}"/>
    <cellStyle name="40% - Accent6 2 2 2 12" xfId="24183" xr:uid="{00000000-0005-0000-0000-0000A64A0000}"/>
    <cellStyle name="40% - Accent6 2 2 2 2" xfId="4821" xr:uid="{00000000-0005-0000-0000-0000A74A0000}"/>
    <cellStyle name="40% - Accent6 2 2 2 2 10" xfId="9518" xr:uid="{00000000-0005-0000-0000-0000A84A0000}"/>
    <cellStyle name="40% - Accent6 2 2 2 2 10 2" xfId="23993" xr:uid="{00000000-0005-0000-0000-0000A94A0000}"/>
    <cellStyle name="40% - Accent6 2 2 2 2 11" xfId="22747" xr:uid="{00000000-0005-0000-0000-0000AA4A0000}"/>
    <cellStyle name="40% - Accent6 2 2 2 2 2" xfId="4822" xr:uid="{00000000-0005-0000-0000-0000AB4A0000}"/>
    <cellStyle name="40% - Accent6 2 2 2 2 2 2" xfId="4823" xr:uid="{00000000-0005-0000-0000-0000AC4A0000}"/>
    <cellStyle name="40% - Accent6 2 2 2 2 2 2 2" xfId="11246" xr:uid="{00000000-0005-0000-0000-0000AD4A0000}"/>
    <cellStyle name="40% - Accent6 2 2 2 2 2 2 2 2" xfId="25188" xr:uid="{00000000-0005-0000-0000-0000AE4A0000}"/>
    <cellStyle name="40% - Accent6 2 2 2 2 2 2 3" xfId="24182" xr:uid="{00000000-0005-0000-0000-0000AF4A0000}"/>
    <cellStyle name="40% - Accent6 2 2 2 2 2 3" xfId="4824" xr:uid="{00000000-0005-0000-0000-0000B04A0000}"/>
    <cellStyle name="40% - Accent6 2 2 2 2 2 3 2" xfId="13033" xr:uid="{00000000-0005-0000-0000-0000B14A0000}"/>
    <cellStyle name="40% - Accent6 2 2 2 2 2 3 2 2" xfId="26745" xr:uid="{00000000-0005-0000-0000-0000B24A0000}"/>
    <cellStyle name="40% - Accent6 2 2 2 2 2 3 3" xfId="22745" xr:uid="{00000000-0005-0000-0000-0000B34A0000}"/>
    <cellStyle name="40% - Accent6 2 2 2 2 2 4" xfId="4825" xr:uid="{00000000-0005-0000-0000-0000B44A0000}"/>
    <cellStyle name="40% - Accent6 2 2 2 2 2 4 2" xfId="15495" xr:uid="{00000000-0005-0000-0000-0000B54A0000}"/>
    <cellStyle name="40% - Accent6 2 2 2 2 2 4 2 2" xfId="29044" xr:uid="{00000000-0005-0000-0000-0000B64A0000}"/>
    <cellStyle name="40% - Accent6 2 2 2 2 2 4 3" xfId="24179" xr:uid="{00000000-0005-0000-0000-0000B74A0000}"/>
    <cellStyle name="40% - Accent6 2 2 2 2 2 5" xfId="4826" xr:uid="{00000000-0005-0000-0000-0000B84A0000}"/>
    <cellStyle name="40% - Accent6 2 2 2 2 2 5 2" xfId="16972" xr:uid="{00000000-0005-0000-0000-0000B94A0000}"/>
    <cellStyle name="40% - Accent6 2 2 2 2 2 5 2 2" xfId="30379" xr:uid="{00000000-0005-0000-0000-0000BA4A0000}"/>
    <cellStyle name="40% - Accent6 2 2 2 2 2 5 3" xfId="22744" xr:uid="{00000000-0005-0000-0000-0000BB4A0000}"/>
    <cellStyle name="40% - Accent6 2 2 2 2 2 6" xfId="9519" xr:uid="{00000000-0005-0000-0000-0000BC4A0000}"/>
    <cellStyle name="40% - Accent6 2 2 2 2 2 6 2" xfId="23994" xr:uid="{00000000-0005-0000-0000-0000BD4A0000}"/>
    <cellStyle name="40% - Accent6 2 2 2 2 2 7" xfId="22746" xr:uid="{00000000-0005-0000-0000-0000BE4A0000}"/>
    <cellStyle name="40% - Accent6 2 2 2 2 3" xfId="4827" xr:uid="{00000000-0005-0000-0000-0000BF4A0000}"/>
    <cellStyle name="40% - Accent6 2 2 2 2 3 2" xfId="4828" xr:uid="{00000000-0005-0000-0000-0000C04A0000}"/>
    <cellStyle name="40% - Accent6 2 2 2 2 3 2 2" xfId="15496" xr:uid="{00000000-0005-0000-0000-0000C14A0000}"/>
    <cellStyle name="40% - Accent6 2 2 2 2 3 2 2 2" xfId="29045" xr:uid="{00000000-0005-0000-0000-0000C24A0000}"/>
    <cellStyle name="40% - Accent6 2 2 2 2 3 2 3" xfId="22743" xr:uid="{00000000-0005-0000-0000-0000C34A0000}"/>
    <cellStyle name="40% - Accent6 2 2 2 2 3 3" xfId="11245" xr:uid="{00000000-0005-0000-0000-0000C44A0000}"/>
    <cellStyle name="40% - Accent6 2 2 2 2 3 3 2" xfId="25187" xr:uid="{00000000-0005-0000-0000-0000C54A0000}"/>
    <cellStyle name="40% - Accent6 2 2 2 2 3 4" xfId="25253" xr:uid="{00000000-0005-0000-0000-0000C64A0000}"/>
    <cellStyle name="40% - Accent6 2 2 2 2 4" xfId="4829" xr:uid="{00000000-0005-0000-0000-0000C74A0000}"/>
    <cellStyle name="40% - Accent6 2 2 2 2 4 2" xfId="12360" xr:uid="{00000000-0005-0000-0000-0000C84A0000}"/>
    <cellStyle name="40% - Accent6 2 2 2 2 4 2 2" xfId="26072" xr:uid="{00000000-0005-0000-0000-0000C94A0000}"/>
    <cellStyle name="40% - Accent6 2 2 2 2 4 3" xfId="24443" xr:uid="{00000000-0005-0000-0000-0000CA4A0000}"/>
    <cellStyle name="40% - Accent6 2 2 2 2 5" xfId="4830" xr:uid="{00000000-0005-0000-0000-0000CB4A0000}"/>
    <cellStyle name="40% - Accent6 2 2 2 2 5 2" xfId="13032" xr:uid="{00000000-0005-0000-0000-0000CC4A0000}"/>
    <cellStyle name="40% - Accent6 2 2 2 2 5 2 2" xfId="26744" xr:uid="{00000000-0005-0000-0000-0000CD4A0000}"/>
    <cellStyle name="40% - Accent6 2 2 2 2 5 3" xfId="29139" xr:uid="{00000000-0005-0000-0000-0000CE4A0000}"/>
    <cellStyle name="40% - Accent6 2 2 2 2 6" xfId="4831" xr:uid="{00000000-0005-0000-0000-0000CF4A0000}"/>
    <cellStyle name="40% - Accent6 2 2 2 2 6 2" xfId="13924" xr:uid="{00000000-0005-0000-0000-0000D04A0000}"/>
    <cellStyle name="40% - Accent6 2 2 2 2 6 2 2" xfId="27473" xr:uid="{00000000-0005-0000-0000-0000D14A0000}"/>
    <cellStyle name="40% - Accent6 2 2 2 2 6 3" xfId="22742" xr:uid="{00000000-0005-0000-0000-0000D24A0000}"/>
    <cellStyle name="40% - Accent6 2 2 2 2 7" xfId="4832" xr:uid="{00000000-0005-0000-0000-0000D34A0000}"/>
    <cellStyle name="40% - Accent6 2 2 2 2 7 2" xfId="14505" xr:uid="{00000000-0005-0000-0000-0000D44A0000}"/>
    <cellStyle name="40% - Accent6 2 2 2 2 7 2 2" xfId="28054" xr:uid="{00000000-0005-0000-0000-0000D54A0000}"/>
    <cellStyle name="40% - Accent6 2 2 2 2 7 3" xfId="22741" xr:uid="{00000000-0005-0000-0000-0000D64A0000}"/>
    <cellStyle name="40% - Accent6 2 2 2 2 8" xfId="4833" xr:uid="{00000000-0005-0000-0000-0000D74A0000}"/>
    <cellStyle name="40% - Accent6 2 2 2 2 8 2" xfId="15494" xr:uid="{00000000-0005-0000-0000-0000D84A0000}"/>
    <cellStyle name="40% - Accent6 2 2 2 2 8 2 2" xfId="29043" xr:uid="{00000000-0005-0000-0000-0000D94A0000}"/>
    <cellStyle name="40% - Accent6 2 2 2 2 8 3" xfId="24181" xr:uid="{00000000-0005-0000-0000-0000DA4A0000}"/>
    <cellStyle name="40% - Accent6 2 2 2 2 9" xfId="4834" xr:uid="{00000000-0005-0000-0000-0000DB4A0000}"/>
    <cellStyle name="40% - Accent6 2 2 2 2 9 2" xfId="16391" xr:uid="{00000000-0005-0000-0000-0000DC4A0000}"/>
    <cellStyle name="40% - Accent6 2 2 2 2 9 2 2" xfId="29798" xr:uid="{00000000-0005-0000-0000-0000DD4A0000}"/>
    <cellStyle name="40% - Accent6 2 2 2 2 9 3" xfId="22740" xr:uid="{00000000-0005-0000-0000-0000DE4A0000}"/>
    <cellStyle name="40% - Accent6 2 2 2 3" xfId="4835" xr:uid="{00000000-0005-0000-0000-0000DF4A0000}"/>
    <cellStyle name="40% - Accent6 2 2 2 3 2" xfId="4836" xr:uid="{00000000-0005-0000-0000-0000E04A0000}"/>
    <cellStyle name="40% - Accent6 2 2 2 3 2 2" xfId="11247" xr:uid="{00000000-0005-0000-0000-0000E14A0000}"/>
    <cellStyle name="40% - Accent6 2 2 2 3 2 2 2" xfId="25189" xr:uid="{00000000-0005-0000-0000-0000E24A0000}"/>
    <cellStyle name="40% - Accent6 2 2 2 3 2 3" xfId="22739" xr:uid="{00000000-0005-0000-0000-0000E34A0000}"/>
    <cellStyle name="40% - Accent6 2 2 2 3 3" xfId="4837" xr:uid="{00000000-0005-0000-0000-0000E44A0000}"/>
    <cellStyle name="40% - Accent6 2 2 2 3 3 2" xfId="13034" xr:uid="{00000000-0005-0000-0000-0000E54A0000}"/>
    <cellStyle name="40% - Accent6 2 2 2 3 3 2 2" xfId="26746" xr:uid="{00000000-0005-0000-0000-0000E64A0000}"/>
    <cellStyle name="40% - Accent6 2 2 2 3 3 3" xfId="23262" xr:uid="{00000000-0005-0000-0000-0000E74A0000}"/>
    <cellStyle name="40% - Accent6 2 2 2 3 4" xfId="4838" xr:uid="{00000000-0005-0000-0000-0000E84A0000}"/>
    <cellStyle name="40% - Accent6 2 2 2 3 4 2" xfId="15497" xr:uid="{00000000-0005-0000-0000-0000E94A0000}"/>
    <cellStyle name="40% - Accent6 2 2 2 3 4 2 2" xfId="29046" xr:uid="{00000000-0005-0000-0000-0000EA4A0000}"/>
    <cellStyle name="40% - Accent6 2 2 2 3 4 3" xfId="23293" xr:uid="{00000000-0005-0000-0000-0000EB4A0000}"/>
    <cellStyle name="40% - Accent6 2 2 2 3 5" xfId="4839" xr:uid="{00000000-0005-0000-0000-0000EC4A0000}"/>
    <cellStyle name="40% - Accent6 2 2 2 3 5 2" xfId="16683" xr:uid="{00000000-0005-0000-0000-0000ED4A0000}"/>
    <cellStyle name="40% - Accent6 2 2 2 3 5 2 2" xfId="30090" xr:uid="{00000000-0005-0000-0000-0000EE4A0000}"/>
    <cellStyle name="40% - Accent6 2 2 2 3 5 3" xfId="22738" xr:uid="{00000000-0005-0000-0000-0000EF4A0000}"/>
    <cellStyle name="40% - Accent6 2 2 2 3 6" xfId="9520" xr:uid="{00000000-0005-0000-0000-0000F04A0000}"/>
    <cellStyle name="40% - Accent6 2 2 2 3 6 2" xfId="23995" xr:uid="{00000000-0005-0000-0000-0000F14A0000}"/>
    <cellStyle name="40% - Accent6 2 2 2 3 7" xfId="24180" xr:uid="{00000000-0005-0000-0000-0000F24A0000}"/>
    <cellStyle name="40% - Accent6 2 2 2 4" xfId="4840" xr:uid="{00000000-0005-0000-0000-0000F34A0000}"/>
    <cellStyle name="40% - Accent6 2 2 2 4 2" xfId="4841" xr:uid="{00000000-0005-0000-0000-0000F44A0000}"/>
    <cellStyle name="40% - Accent6 2 2 2 4 2 2" xfId="15498" xr:uid="{00000000-0005-0000-0000-0000F54A0000}"/>
    <cellStyle name="40% - Accent6 2 2 2 4 2 2 2" xfId="29047" xr:uid="{00000000-0005-0000-0000-0000F64A0000}"/>
    <cellStyle name="40% - Accent6 2 2 2 4 2 3" xfId="22737" xr:uid="{00000000-0005-0000-0000-0000F74A0000}"/>
    <cellStyle name="40% - Accent6 2 2 2 4 3" xfId="11244" xr:uid="{00000000-0005-0000-0000-0000F84A0000}"/>
    <cellStyle name="40% - Accent6 2 2 2 4 3 2" xfId="25186" xr:uid="{00000000-0005-0000-0000-0000F94A0000}"/>
    <cellStyle name="40% - Accent6 2 2 2 4 4" xfId="24178" xr:uid="{00000000-0005-0000-0000-0000FA4A0000}"/>
    <cellStyle name="40% - Accent6 2 2 2 5" xfId="4842" xr:uid="{00000000-0005-0000-0000-0000FB4A0000}"/>
    <cellStyle name="40% - Accent6 2 2 2 5 2" xfId="12060" xr:uid="{00000000-0005-0000-0000-0000FC4A0000}"/>
    <cellStyle name="40% - Accent6 2 2 2 5 2 2" xfId="25775" xr:uid="{00000000-0005-0000-0000-0000FD4A0000}"/>
    <cellStyle name="40% - Accent6 2 2 2 5 3" xfId="24177" xr:uid="{00000000-0005-0000-0000-0000FE4A0000}"/>
    <cellStyle name="40% - Accent6 2 2 2 6" xfId="4843" xr:uid="{00000000-0005-0000-0000-0000FF4A0000}"/>
    <cellStyle name="40% - Accent6 2 2 2 6 2" xfId="13031" xr:uid="{00000000-0005-0000-0000-0000004B0000}"/>
    <cellStyle name="40% - Accent6 2 2 2 6 2 2" xfId="26743" xr:uid="{00000000-0005-0000-0000-0000014B0000}"/>
    <cellStyle name="40% - Accent6 2 2 2 6 3" xfId="22736" xr:uid="{00000000-0005-0000-0000-0000024B0000}"/>
    <cellStyle name="40% - Accent6 2 2 2 7" xfId="4844" xr:uid="{00000000-0005-0000-0000-0000034B0000}"/>
    <cellStyle name="40% - Accent6 2 2 2 7 2" xfId="13635" xr:uid="{00000000-0005-0000-0000-0000044B0000}"/>
    <cellStyle name="40% - Accent6 2 2 2 7 2 2" xfId="27184" xr:uid="{00000000-0005-0000-0000-0000054B0000}"/>
    <cellStyle name="40% - Accent6 2 2 2 7 3" xfId="24176" xr:uid="{00000000-0005-0000-0000-0000064B0000}"/>
    <cellStyle name="40% - Accent6 2 2 2 8" xfId="4845" xr:uid="{00000000-0005-0000-0000-0000074B0000}"/>
    <cellStyle name="40% - Accent6 2 2 2 8 2" xfId="14216" xr:uid="{00000000-0005-0000-0000-0000084B0000}"/>
    <cellStyle name="40% - Accent6 2 2 2 8 2 2" xfId="27765" xr:uid="{00000000-0005-0000-0000-0000094B0000}"/>
    <cellStyle name="40% - Accent6 2 2 2 8 3" xfId="22735" xr:uid="{00000000-0005-0000-0000-00000A4B0000}"/>
    <cellStyle name="40% - Accent6 2 2 2 9" xfId="4846" xr:uid="{00000000-0005-0000-0000-00000B4B0000}"/>
    <cellStyle name="40% - Accent6 2 2 2 9 2" xfId="15493" xr:uid="{00000000-0005-0000-0000-00000C4B0000}"/>
    <cellStyle name="40% - Accent6 2 2 2 9 2 2" xfId="29042" xr:uid="{00000000-0005-0000-0000-00000D4B0000}"/>
    <cellStyle name="40% - Accent6 2 2 2 9 3" xfId="24175" xr:uid="{00000000-0005-0000-0000-00000E4B0000}"/>
    <cellStyle name="40% - Accent6 2 2 3" xfId="4847" xr:uid="{00000000-0005-0000-0000-00000F4B0000}"/>
    <cellStyle name="40% - Accent6 2 2 3 10" xfId="9521" xr:uid="{00000000-0005-0000-0000-0000104B0000}"/>
    <cellStyle name="40% - Accent6 2 2 3 10 2" xfId="23996" xr:uid="{00000000-0005-0000-0000-0000114B0000}"/>
    <cellStyle name="40% - Accent6 2 2 3 11" xfId="22734" xr:uid="{00000000-0005-0000-0000-0000124B0000}"/>
    <cellStyle name="40% - Accent6 2 2 3 2" xfId="4848" xr:uid="{00000000-0005-0000-0000-0000134B0000}"/>
    <cellStyle name="40% - Accent6 2 2 3 2 2" xfId="4849" xr:uid="{00000000-0005-0000-0000-0000144B0000}"/>
    <cellStyle name="40% - Accent6 2 2 3 2 2 2" xfId="11249" xr:uid="{00000000-0005-0000-0000-0000154B0000}"/>
    <cellStyle name="40% - Accent6 2 2 3 2 2 2 2" xfId="25191" xr:uid="{00000000-0005-0000-0000-0000164B0000}"/>
    <cellStyle name="40% - Accent6 2 2 3 2 2 3" xfId="24174" xr:uid="{00000000-0005-0000-0000-0000174B0000}"/>
    <cellStyle name="40% - Accent6 2 2 3 2 3" xfId="4850" xr:uid="{00000000-0005-0000-0000-0000184B0000}"/>
    <cellStyle name="40% - Accent6 2 2 3 2 3 2" xfId="13036" xr:uid="{00000000-0005-0000-0000-0000194B0000}"/>
    <cellStyle name="40% - Accent6 2 2 3 2 3 2 2" xfId="26748" xr:uid="{00000000-0005-0000-0000-00001A4B0000}"/>
    <cellStyle name="40% - Accent6 2 2 3 2 3 3" xfId="22733" xr:uid="{00000000-0005-0000-0000-00001B4B0000}"/>
    <cellStyle name="40% - Accent6 2 2 3 2 4" xfId="4851" xr:uid="{00000000-0005-0000-0000-00001C4B0000}"/>
    <cellStyle name="40% - Accent6 2 2 3 2 4 2" xfId="15500" xr:uid="{00000000-0005-0000-0000-00001D4B0000}"/>
    <cellStyle name="40% - Accent6 2 2 3 2 4 2 2" xfId="29049" xr:uid="{00000000-0005-0000-0000-00001E4B0000}"/>
    <cellStyle name="40% - Accent6 2 2 3 2 4 3" xfId="22732" xr:uid="{00000000-0005-0000-0000-00001F4B0000}"/>
    <cellStyle name="40% - Accent6 2 2 3 2 5" xfId="4852" xr:uid="{00000000-0005-0000-0000-0000204B0000}"/>
    <cellStyle name="40% - Accent6 2 2 3 2 5 2" xfId="16829" xr:uid="{00000000-0005-0000-0000-0000214B0000}"/>
    <cellStyle name="40% - Accent6 2 2 3 2 5 2 2" xfId="30236" xr:uid="{00000000-0005-0000-0000-0000224B0000}"/>
    <cellStyle name="40% - Accent6 2 2 3 2 5 3" xfId="24172" xr:uid="{00000000-0005-0000-0000-0000234B0000}"/>
    <cellStyle name="40% - Accent6 2 2 3 2 6" xfId="9522" xr:uid="{00000000-0005-0000-0000-0000244B0000}"/>
    <cellStyle name="40% - Accent6 2 2 3 2 6 2" xfId="23997" xr:uid="{00000000-0005-0000-0000-0000254B0000}"/>
    <cellStyle name="40% - Accent6 2 2 3 2 7" xfId="24173" xr:uid="{00000000-0005-0000-0000-0000264B0000}"/>
    <cellStyle name="40% - Accent6 2 2 3 3" xfId="4853" xr:uid="{00000000-0005-0000-0000-0000274B0000}"/>
    <cellStyle name="40% - Accent6 2 2 3 3 2" xfId="4854" xr:uid="{00000000-0005-0000-0000-0000284B0000}"/>
    <cellStyle name="40% - Accent6 2 2 3 3 2 2" xfId="15501" xr:uid="{00000000-0005-0000-0000-0000294B0000}"/>
    <cellStyle name="40% - Accent6 2 2 3 3 2 2 2" xfId="29050" xr:uid="{00000000-0005-0000-0000-00002A4B0000}"/>
    <cellStyle name="40% - Accent6 2 2 3 3 2 3" xfId="22731" xr:uid="{00000000-0005-0000-0000-00002B4B0000}"/>
    <cellStyle name="40% - Accent6 2 2 3 3 3" xfId="11248" xr:uid="{00000000-0005-0000-0000-00002C4B0000}"/>
    <cellStyle name="40% - Accent6 2 2 3 3 3 2" xfId="25190" xr:uid="{00000000-0005-0000-0000-00002D4B0000}"/>
    <cellStyle name="40% - Accent6 2 2 3 3 4" xfId="26822" xr:uid="{00000000-0005-0000-0000-00002E4B0000}"/>
    <cellStyle name="40% - Accent6 2 2 3 4" xfId="4855" xr:uid="{00000000-0005-0000-0000-00002F4B0000}"/>
    <cellStyle name="40% - Accent6 2 2 3 4 2" xfId="12217" xr:uid="{00000000-0005-0000-0000-0000304B0000}"/>
    <cellStyle name="40% - Accent6 2 2 3 4 2 2" xfId="25929" xr:uid="{00000000-0005-0000-0000-0000314B0000}"/>
    <cellStyle name="40% - Accent6 2 2 3 4 3" xfId="26823" xr:uid="{00000000-0005-0000-0000-0000324B0000}"/>
    <cellStyle name="40% - Accent6 2 2 3 5" xfId="4856" xr:uid="{00000000-0005-0000-0000-0000334B0000}"/>
    <cellStyle name="40% - Accent6 2 2 3 5 2" xfId="13035" xr:uid="{00000000-0005-0000-0000-0000344B0000}"/>
    <cellStyle name="40% - Accent6 2 2 3 5 2 2" xfId="26747" xr:uid="{00000000-0005-0000-0000-0000354B0000}"/>
    <cellStyle name="40% - Accent6 2 2 3 5 3" xfId="22730" xr:uid="{00000000-0005-0000-0000-0000364B0000}"/>
    <cellStyle name="40% - Accent6 2 2 3 6" xfId="4857" xr:uid="{00000000-0005-0000-0000-0000374B0000}"/>
    <cellStyle name="40% - Accent6 2 2 3 6 2" xfId="13781" xr:uid="{00000000-0005-0000-0000-0000384B0000}"/>
    <cellStyle name="40% - Accent6 2 2 3 6 2 2" xfId="27330" xr:uid="{00000000-0005-0000-0000-0000394B0000}"/>
    <cellStyle name="40% - Accent6 2 2 3 6 3" xfId="22729" xr:uid="{00000000-0005-0000-0000-00003A4B0000}"/>
    <cellStyle name="40% - Accent6 2 2 3 7" xfId="4858" xr:uid="{00000000-0005-0000-0000-00003B4B0000}"/>
    <cellStyle name="40% - Accent6 2 2 3 7 2" xfId="14362" xr:uid="{00000000-0005-0000-0000-00003C4B0000}"/>
    <cellStyle name="40% - Accent6 2 2 3 7 2 2" xfId="27911" xr:uid="{00000000-0005-0000-0000-00003D4B0000}"/>
    <cellStyle name="40% - Accent6 2 2 3 7 3" xfId="24170" xr:uid="{00000000-0005-0000-0000-00003E4B0000}"/>
    <cellStyle name="40% - Accent6 2 2 3 8" xfId="4859" xr:uid="{00000000-0005-0000-0000-00003F4B0000}"/>
    <cellStyle name="40% - Accent6 2 2 3 8 2" xfId="15499" xr:uid="{00000000-0005-0000-0000-0000404B0000}"/>
    <cellStyle name="40% - Accent6 2 2 3 8 2 2" xfId="29048" xr:uid="{00000000-0005-0000-0000-0000414B0000}"/>
    <cellStyle name="40% - Accent6 2 2 3 8 3" xfId="24171" xr:uid="{00000000-0005-0000-0000-0000424B0000}"/>
    <cellStyle name="40% - Accent6 2 2 3 9" xfId="4860" xr:uid="{00000000-0005-0000-0000-0000434B0000}"/>
    <cellStyle name="40% - Accent6 2 2 3 9 2" xfId="16248" xr:uid="{00000000-0005-0000-0000-0000444B0000}"/>
    <cellStyle name="40% - Accent6 2 2 3 9 2 2" xfId="29655" xr:uid="{00000000-0005-0000-0000-0000454B0000}"/>
    <cellStyle name="40% - Accent6 2 2 3 9 3" xfId="22728" xr:uid="{00000000-0005-0000-0000-0000464B0000}"/>
    <cellStyle name="40% - Accent6 2 2 4" xfId="4861" xr:uid="{00000000-0005-0000-0000-0000474B0000}"/>
    <cellStyle name="40% - Accent6 2 2 4 2" xfId="4862" xr:uid="{00000000-0005-0000-0000-0000484B0000}"/>
    <cellStyle name="40% - Accent6 2 2 4 2 2" xfId="11250" xr:uid="{00000000-0005-0000-0000-0000494B0000}"/>
    <cellStyle name="40% - Accent6 2 2 4 2 2 2" xfId="25192" xr:uid="{00000000-0005-0000-0000-00004A4B0000}"/>
    <cellStyle name="40% - Accent6 2 2 4 2 3" xfId="24169" xr:uid="{00000000-0005-0000-0000-00004B4B0000}"/>
    <cellStyle name="40% - Accent6 2 2 4 3" xfId="4863" xr:uid="{00000000-0005-0000-0000-00004C4B0000}"/>
    <cellStyle name="40% - Accent6 2 2 4 3 2" xfId="13037" xr:uid="{00000000-0005-0000-0000-00004D4B0000}"/>
    <cellStyle name="40% - Accent6 2 2 4 3 2 2" xfId="26749" xr:uid="{00000000-0005-0000-0000-00004E4B0000}"/>
    <cellStyle name="40% - Accent6 2 2 4 3 3" xfId="22726" xr:uid="{00000000-0005-0000-0000-00004F4B0000}"/>
    <cellStyle name="40% - Accent6 2 2 4 4" xfId="4864" xr:uid="{00000000-0005-0000-0000-0000504B0000}"/>
    <cellStyle name="40% - Accent6 2 2 4 4 2" xfId="15502" xr:uid="{00000000-0005-0000-0000-0000514B0000}"/>
    <cellStyle name="40% - Accent6 2 2 4 4 2 2" xfId="29051" xr:uid="{00000000-0005-0000-0000-0000524B0000}"/>
    <cellStyle name="40% - Accent6 2 2 4 4 3" xfId="24166" xr:uid="{00000000-0005-0000-0000-0000534B0000}"/>
    <cellStyle name="40% - Accent6 2 2 4 5" xfId="4865" xr:uid="{00000000-0005-0000-0000-0000544B0000}"/>
    <cellStyle name="40% - Accent6 2 2 4 5 2" xfId="17176" xr:uid="{00000000-0005-0000-0000-0000554B0000}"/>
    <cellStyle name="40% - Accent6 2 2 4 5 2 2" xfId="30535" xr:uid="{00000000-0005-0000-0000-0000564B0000}"/>
    <cellStyle name="40% - Accent6 2 2 4 5 3" xfId="22725" xr:uid="{00000000-0005-0000-0000-0000574B0000}"/>
    <cellStyle name="40% - Accent6 2 2 4 6" xfId="9523" xr:uid="{00000000-0005-0000-0000-0000584B0000}"/>
    <cellStyle name="40% - Accent6 2 2 4 6 2" xfId="23998" xr:uid="{00000000-0005-0000-0000-0000594B0000}"/>
    <cellStyle name="40% - Accent6 2 2 4 7" xfId="22727" xr:uid="{00000000-0005-0000-0000-00005A4B0000}"/>
    <cellStyle name="40% - Accent6 2 2 5" xfId="4866" xr:uid="{00000000-0005-0000-0000-00005B4B0000}"/>
    <cellStyle name="40% - Accent6 2 2 5 2" xfId="4867" xr:uid="{00000000-0005-0000-0000-00005C4B0000}"/>
    <cellStyle name="40% - Accent6 2 2 5 2 2" xfId="15503" xr:uid="{00000000-0005-0000-0000-00005D4B0000}"/>
    <cellStyle name="40% - Accent6 2 2 5 2 2 2" xfId="29052" xr:uid="{00000000-0005-0000-0000-00005E4B0000}"/>
    <cellStyle name="40% - Accent6 2 2 5 2 3" xfId="22724" xr:uid="{00000000-0005-0000-0000-00005F4B0000}"/>
    <cellStyle name="40% - Accent6 2 2 5 3" xfId="4868" xr:uid="{00000000-0005-0000-0000-0000604B0000}"/>
    <cellStyle name="40% - Accent6 2 2 5 3 2" xfId="17265" xr:uid="{00000000-0005-0000-0000-0000614B0000}"/>
    <cellStyle name="40% - Accent6 2 2 5 3 2 2" xfId="30624" xr:uid="{00000000-0005-0000-0000-0000624B0000}"/>
    <cellStyle name="40% - Accent6 2 2 5 3 3" xfId="24442" xr:uid="{00000000-0005-0000-0000-0000634B0000}"/>
    <cellStyle name="40% - Accent6 2 2 5 4" xfId="11243" xr:uid="{00000000-0005-0000-0000-0000644B0000}"/>
    <cellStyle name="40% - Accent6 2 2 5 4 2" xfId="25185" xr:uid="{00000000-0005-0000-0000-0000654B0000}"/>
    <cellStyle name="40% - Accent6 2 2 5 5" xfId="25252" xr:uid="{00000000-0005-0000-0000-0000664B0000}"/>
    <cellStyle name="40% - Accent6 2 2 6" xfId="4869" xr:uid="{00000000-0005-0000-0000-0000674B0000}"/>
    <cellStyle name="40% - Accent6 2 2 6 2" xfId="4870" xr:uid="{00000000-0005-0000-0000-0000684B0000}"/>
    <cellStyle name="40% - Accent6 2 2 6 2 2" xfId="16540" xr:uid="{00000000-0005-0000-0000-0000694B0000}"/>
    <cellStyle name="40% - Accent6 2 2 6 2 2 2" xfId="29947" xr:uid="{00000000-0005-0000-0000-00006A4B0000}"/>
    <cellStyle name="40% - Accent6 2 2 6 2 3" xfId="22723" xr:uid="{00000000-0005-0000-0000-00006B4B0000}"/>
    <cellStyle name="40% - Accent6 2 2 6 3" xfId="11915" xr:uid="{00000000-0005-0000-0000-00006C4B0000}"/>
    <cellStyle name="40% - Accent6 2 2 6 3 2" xfId="25630" xr:uid="{00000000-0005-0000-0000-00006D4B0000}"/>
    <cellStyle name="40% - Accent6 2 2 6 4" xfId="29138" xr:uid="{00000000-0005-0000-0000-00006E4B0000}"/>
    <cellStyle name="40% - Accent6 2 2 7" xfId="4871" xr:uid="{00000000-0005-0000-0000-00006F4B0000}"/>
    <cellStyle name="40% - Accent6 2 2 7 2" xfId="13030" xr:uid="{00000000-0005-0000-0000-0000704B0000}"/>
    <cellStyle name="40% - Accent6 2 2 7 2 2" xfId="26742" xr:uid="{00000000-0005-0000-0000-0000714B0000}"/>
    <cellStyle name="40% - Accent6 2 2 7 3" xfId="22722" xr:uid="{00000000-0005-0000-0000-0000724B0000}"/>
    <cellStyle name="40% - Accent6 2 2 8" xfId="4872" xr:uid="{00000000-0005-0000-0000-0000734B0000}"/>
    <cellStyle name="40% - Accent6 2 2 8 2" xfId="13492" xr:uid="{00000000-0005-0000-0000-0000744B0000}"/>
    <cellStyle name="40% - Accent6 2 2 8 2 2" xfId="27041" xr:uid="{00000000-0005-0000-0000-0000754B0000}"/>
    <cellStyle name="40% - Accent6 2 2 8 3" xfId="24168" xr:uid="{00000000-0005-0000-0000-0000764B0000}"/>
    <cellStyle name="40% - Accent6 2 2 9" xfId="4873" xr:uid="{00000000-0005-0000-0000-0000774B0000}"/>
    <cellStyle name="40% - Accent6 2 2 9 2" xfId="14073" xr:uid="{00000000-0005-0000-0000-0000784B0000}"/>
    <cellStyle name="40% - Accent6 2 2 9 2 2" xfId="27622" xr:uid="{00000000-0005-0000-0000-0000794B0000}"/>
    <cellStyle name="40% - Accent6 2 2 9 3" xfId="22721" xr:uid="{00000000-0005-0000-0000-00007A4B0000}"/>
    <cellStyle name="40% - Accent6 2 3" xfId="4874" xr:uid="{00000000-0005-0000-0000-00007B4B0000}"/>
    <cellStyle name="40% - Accent6 2 3 10" xfId="4875" xr:uid="{00000000-0005-0000-0000-00007C4B0000}"/>
    <cellStyle name="40% - Accent6 2 3 10 2" xfId="16056" xr:uid="{00000000-0005-0000-0000-00007D4B0000}"/>
    <cellStyle name="40% - Accent6 2 3 10 2 2" xfId="29463" xr:uid="{00000000-0005-0000-0000-00007E4B0000}"/>
    <cellStyle name="40% - Accent6 2 3 10 3" xfId="22720" xr:uid="{00000000-0005-0000-0000-00007F4B0000}"/>
    <cellStyle name="40% - Accent6 2 3 11" xfId="9524" xr:uid="{00000000-0005-0000-0000-0000804B0000}"/>
    <cellStyle name="40% - Accent6 2 3 11 2" xfId="23999" xr:uid="{00000000-0005-0000-0000-0000814B0000}"/>
    <cellStyle name="40% - Accent6 2 3 12" xfId="24167" xr:uid="{00000000-0005-0000-0000-0000824B0000}"/>
    <cellStyle name="40% - Accent6 2 3 2" xfId="4876" xr:uid="{00000000-0005-0000-0000-0000834B0000}"/>
    <cellStyle name="40% - Accent6 2 3 2 10" xfId="9525" xr:uid="{00000000-0005-0000-0000-0000844B0000}"/>
    <cellStyle name="40% - Accent6 2 3 2 10 2" xfId="24000" xr:uid="{00000000-0005-0000-0000-0000854B0000}"/>
    <cellStyle name="40% - Accent6 2 3 2 11" xfId="23256" xr:uid="{00000000-0005-0000-0000-0000864B0000}"/>
    <cellStyle name="40% - Accent6 2 3 2 2" xfId="4877" xr:uid="{00000000-0005-0000-0000-0000874B0000}"/>
    <cellStyle name="40% - Accent6 2 3 2 2 2" xfId="4878" xr:uid="{00000000-0005-0000-0000-0000884B0000}"/>
    <cellStyle name="40% - Accent6 2 3 2 2 2 2" xfId="11253" xr:uid="{00000000-0005-0000-0000-0000894B0000}"/>
    <cellStyle name="40% - Accent6 2 3 2 2 2 2 2" xfId="25195" xr:uid="{00000000-0005-0000-0000-00008A4B0000}"/>
    <cellStyle name="40% - Accent6 2 3 2 2 2 3" xfId="22719" xr:uid="{00000000-0005-0000-0000-00008B4B0000}"/>
    <cellStyle name="40% - Accent6 2 3 2 2 3" xfId="4879" xr:uid="{00000000-0005-0000-0000-00008C4B0000}"/>
    <cellStyle name="40% - Accent6 2 3 2 2 3 2" xfId="13040" xr:uid="{00000000-0005-0000-0000-00008D4B0000}"/>
    <cellStyle name="40% - Accent6 2 3 2 2 3 2 2" xfId="26752" xr:uid="{00000000-0005-0000-0000-00008E4B0000}"/>
    <cellStyle name="40% - Accent6 2 3 2 2 3 3" xfId="24164" xr:uid="{00000000-0005-0000-0000-00008F4B0000}"/>
    <cellStyle name="40% - Accent6 2 3 2 2 4" xfId="4880" xr:uid="{00000000-0005-0000-0000-0000904B0000}"/>
    <cellStyle name="40% - Accent6 2 3 2 2 4 2" xfId="15506" xr:uid="{00000000-0005-0000-0000-0000914B0000}"/>
    <cellStyle name="40% - Accent6 2 3 2 2 4 2 2" xfId="29055" xr:uid="{00000000-0005-0000-0000-0000924B0000}"/>
    <cellStyle name="40% - Accent6 2 3 2 2 4 3" xfId="22718" xr:uid="{00000000-0005-0000-0000-0000934B0000}"/>
    <cellStyle name="40% - Accent6 2 3 2 2 5" xfId="4881" xr:uid="{00000000-0005-0000-0000-0000944B0000}"/>
    <cellStyle name="40% - Accent6 2 3 2 2 5 2" xfId="16926" xr:uid="{00000000-0005-0000-0000-0000954B0000}"/>
    <cellStyle name="40% - Accent6 2 3 2 2 5 2 2" xfId="30333" xr:uid="{00000000-0005-0000-0000-0000964B0000}"/>
    <cellStyle name="40% - Accent6 2 3 2 2 5 3" xfId="24163" xr:uid="{00000000-0005-0000-0000-0000974B0000}"/>
    <cellStyle name="40% - Accent6 2 3 2 2 6" xfId="9526" xr:uid="{00000000-0005-0000-0000-0000984B0000}"/>
    <cellStyle name="40% - Accent6 2 3 2 2 6 2" xfId="24001" xr:uid="{00000000-0005-0000-0000-0000994B0000}"/>
    <cellStyle name="40% - Accent6 2 3 2 2 7" xfId="24165" xr:uid="{00000000-0005-0000-0000-00009A4B0000}"/>
    <cellStyle name="40% - Accent6 2 3 2 3" xfId="4882" xr:uid="{00000000-0005-0000-0000-00009B4B0000}"/>
    <cellStyle name="40% - Accent6 2 3 2 3 2" xfId="4883" xr:uid="{00000000-0005-0000-0000-00009C4B0000}"/>
    <cellStyle name="40% - Accent6 2 3 2 3 2 2" xfId="15507" xr:uid="{00000000-0005-0000-0000-00009D4B0000}"/>
    <cellStyle name="40% - Accent6 2 3 2 3 2 2 2" xfId="29056" xr:uid="{00000000-0005-0000-0000-00009E4B0000}"/>
    <cellStyle name="40% - Accent6 2 3 2 3 2 3" xfId="24162" xr:uid="{00000000-0005-0000-0000-00009F4B0000}"/>
    <cellStyle name="40% - Accent6 2 3 2 3 3" xfId="11252" xr:uid="{00000000-0005-0000-0000-0000A04B0000}"/>
    <cellStyle name="40% - Accent6 2 3 2 3 3 2" xfId="25194" xr:uid="{00000000-0005-0000-0000-0000A14B0000}"/>
    <cellStyle name="40% - Accent6 2 3 2 3 4" xfId="22717" xr:uid="{00000000-0005-0000-0000-0000A24B0000}"/>
    <cellStyle name="40% - Accent6 2 3 2 4" xfId="4884" xr:uid="{00000000-0005-0000-0000-0000A34B0000}"/>
    <cellStyle name="40% - Accent6 2 3 2 4 2" xfId="12314" xr:uid="{00000000-0005-0000-0000-0000A44B0000}"/>
    <cellStyle name="40% - Accent6 2 3 2 4 2 2" xfId="26026" xr:uid="{00000000-0005-0000-0000-0000A54B0000}"/>
    <cellStyle name="40% - Accent6 2 3 2 4 3" xfId="22716" xr:uid="{00000000-0005-0000-0000-0000A64B0000}"/>
    <cellStyle name="40% - Accent6 2 3 2 5" xfId="4885" xr:uid="{00000000-0005-0000-0000-0000A74B0000}"/>
    <cellStyle name="40% - Accent6 2 3 2 5 2" xfId="13039" xr:uid="{00000000-0005-0000-0000-0000A84B0000}"/>
    <cellStyle name="40% - Accent6 2 3 2 5 2 2" xfId="26751" xr:uid="{00000000-0005-0000-0000-0000A94B0000}"/>
    <cellStyle name="40% - Accent6 2 3 2 5 3" xfId="24160" xr:uid="{00000000-0005-0000-0000-0000AA4B0000}"/>
    <cellStyle name="40% - Accent6 2 3 2 6" xfId="4886" xr:uid="{00000000-0005-0000-0000-0000AB4B0000}"/>
    <cellStyle name="40% - Accent6 2 3 2 6 2" xfId="13878" xr:uid="{00000000-0005-0000-0000-0000AC4B0000}"/>
    <cellStyle name="40% - Accent6 2 3 2 6 2 2" xfId="27427" xr:uid="{00000000-0005-0000-0000-0000AD4B0000}"/>
    <cellStyle name="40% - Accent6 2 3 2 6 3" xfId="24161" xr:uid="{00000000-0005-0000-0000-0000AE4B0000}"/>
    <cellStyle name="40% - Accent6 2 3 2 7" xfId="4887" xr:uid="{00000000-0005-0000-0000-0000AF4B0000}"/>
    <cellStyle name="40% - Accent6 2 3 2 7 2" xfId="14459" xr:uid="{00000000-0005-0000-0000-0000B04B0000}"/>
    <cellStyle name="40% - Accent6 2 3 2 7 2 2" xfId="28008" xr:uid="{00000000-0005-0000-0000-0000B14B0000}"/>
    <cellStyle name="40% - Accent6 2 3 2 7 3" xfId="22715" xr:uid="{00000000-0005-0000-0000-0000B24B0000}"/>
    <cellStyle name="40% - Accent6 2 3 2 8" xfId="4888" xr:uid="{00000000-0005-0000-0000-0000B34B0000}"/>
    <cellStyle name="40% - Accent6 2 3 2 8 2" xfId="15505" xr:uid="{00000000-0005-0000-0000-0000B44B0000}"/>
    <cellStyle name="40% - Accent6 2 3 2 8 2 2" xfId="29054" xr:uid="{00000000-0005-0000-0000-0000B54B0000}"/>
    <cellStyle name="40% - Accent6 2 3 2 8 3" xfId="22714" xr:uid="{00000000-0005-0000-0000-0000B64B0000}"/>
    <cellStyle name="40% - Accent6 2 3 2 9" xfId="4889" xr:uid="{00000000-0005-0000-0000-0000B74B0000}"/>
    <cellStyle name="40% - Accent6 2 3 2 9 2" xfId="16345" xr:uid="{00000000-0005-0000-0000-0000B84B0000}"/>
    <cellStyle name="40% - Accent6 2 3 2 9 2 2" xfId="29752" xr:uid="{00000000-0005-0000-0000-0000B94B0000}"/>
    <cellStyle name="40% - Accent6 2 3 2 9 3" xfId="24159" xr:uid="{00000000-0005-0000-0000-0000BA4B0000}"/>
    <cellStyle name="40% - Accent6 2 3 3" xfId="4890" xr:uid="{00000000-0005-0000-0000-0000BB4B0000}"/>
    <cellStyle name="40% - Accent6 2 3 3 2" xfId="4891" xr:uid="{00000000-0005-0000-0000-0000BC4B0000}"/>
    <cellStyle name="40% - Accent6 2 3 3 2 2" xfId="11254" xr:uid="{00000000-0005-0000-0000-0000BD4B0000}"/>
    <cellStyle name="40% - Accent6 2 3 3 2 2 2" xfId="25196" xr:uid="{00000000-0005-0000-0000-0000BE4B0000}"/>
    <cellStyle name="40% - Accent6 2 3 3 2 3" xfId="22713" xr:uid="{00000000-0005-0000-0000-0000BF4B0000}"/>
    <cellStyle name="40% - Accent6 2 3 3 3" xfId="4892" xr:uid="{00000000-0005-0000-0000-0000C04B0000}"/>
    <cellStyle name="40% - Accent6 2 3 3 3 2" xfId="13041" xr:uid="{00000000-0005-0000-0000-0000C14B0000}"/>
    <cellStyle name="40% - Accent6 2 3 3 3 2 2" xfId="26753" xr:uid="{00000000-0005-0000-0000-0000C24B0000}"/>
    <cellStyle name="40% - Accent6 2 3 3 3 3" xfId="26821" xr:uid="{00000000-0005-0000-0000-0000C34B0000}"/>
    <cellStyle name="40% - Accent6 2 3 3 4" xfId="4893" xr:uid="{00000000-0005-0000-0000-0000C44B0000}"/>
    <cellStyle name="40% - Accent6 2 3 3 4 2" xfId="15508" xr:uid="{00000000-0005-0000-0000-0000C54B0000}"/>
    <cellStyle name="40% - Accent6 2 3 3 4 2 2" xfId="29057" xr:uid="{00000000-0005-0000-0000-0000C64B0000}"/>
    <cellStyle name="40% - Accent6 2 3 3 4 3" xfId="22712" xr:uid="{00000000-0005-0000-0000-0000C74B0000}"/>
    <cellStyle name="40% - Accent6 2 3 3 5" xfId="4894" xr:uid="{00000000-0005-0000-0000-0000C84B0000}"/>
    <cellStyle name="40% - Accent6 2 3 3 5 2" xfId="16637" xr:uid="{00000000-0005-0000-0000-0000C94B0000}"/>
    <cellStyle name="40% - Accent6 2 3 3 5 2 2" xfId="30044" xr:uid="{00000000-0005-0000-0000-0000CA4B0000}"/>
    <cellStyle name="40% - Accent6 2 3 3 5 3" xfId="22711" xr:uid="{00000000-0005-0000-0000-0000CB4B0000}"/>
    <cellStyle name="40% - Accent6 2 3 3 6" xfId="9527" xr:uid="{00000000-0005-0000-0000-0000CC4B0000}"/>
    <cellStyle name="40% - Accent6 2 3 3 6 2" xfId="24002" xr:uid="{00000000-0005-0000-0000-0000CD4B0000}"/>
    <cellStyle name="40% - Accent6 2 3 3 7" xfId="26820" xr:uid="{00000000-0005-0000-0000-0000CE4B0000}"/>
    <cellStyle name="40% - Accent6 2 3 4" xfId="4895" xr:uid="{00000000-0005-0000-0000-0000CF4B0000}"/>
    <cellStyle name="40% - Accent6 2 3 4 2" xfId="4896" xr:uid="{00000000-0005-0000-0000-0000D04B0000}"/>
    <cellStyle name="40% - Accent6 2 3 4 2 2" xfId="15509" xr:uid="{00000000-0005-0000-0000-0000D14B0000}"/>
    <cellStyle name="40% - Accent6 2 3 4 2 2 2" xfId="29058" xr:uid="{00000000-0005-0000-0000-0000D24B0000}"/>
    <cellStyle name="40% - Accent6 2 3 4 2 3" xfId="24158" xr:uid="{00000000-0005-0000-0000-0000D34B0000}"/>
    <cellStyle name="40% - Accent6 2 3 4 3" xfId="11251" xr:uid="{00000000-0005-0000-0000-0000D44B0000}"/>
    <cellStyle name="40% - Accent6 2 3 4 3 2" xfId="25193" xr:uid="{00000000-0005-0000-0000-0000D54B0000}"/>
    <cellStyle name="40% - Accent6 2 3 4 4" xfId="24157" xr:uid="{00000000-0005-0000-0000-0000D64B0000}"/>
    <cellStyle name="40% - Accent6 2 3 5" xfId="4897" xr:uid="{00000000-0005-0000-0000-0000D74B0000}"/>
    <cellStyle name="40% - Accent6 2 3 5 2" xfId="12014" xr:uid="{00000000-0005-0000-0000-0000D84B0000}"/>
    <cellStyle name="40% - Accent6 2 3 5 2 2" xfId="25729" xr:uid="{00000000-0005-0000-0000-0000D94B0000}"/>
    <cellStyle name="40% - Accent6 2 3 5 3" xfId="22710" xr:uid="{00000000-0005-0000-0000-0000DA4B0000}"/>
    <cellStyle name="40% - Accent6 2 3 6" xfId="4898" xr:uid="{00000000-0005-0000-0000-0000DB4B0000}"/>
    <cellStyle name="40% - Accent6 2 3 6 2" xfId="13038" xr:uid="{00000000-0005-0000-0000-0000DC4B0000}"/>
    <cellStyle name="40% - Accent6 2 3 6 2 2" xfId="26750" xr:uid="{00000000-0005-0000-0000-0000DD4B0000}"/>
    <cellStyle name="40% - Accent6 2 3 6 3" xfId="22709" xr:uid="{00000000-0005-0000-0000-0000DE4B0000}"/>
    <cellStyle name="40% - Accent6 2 3 7" xfId="4899" xr:uid="{00000000-0005-0000-0000-0000DF4B0000}"/>
    <cellStyle name="40% - Accent6 2 3 7 2" xfId="13589" xr:uid="{00000000-0005-0000-0000-0000E04B0000}"/>
    <cellStyle name="40% - Accent6 2 3 7 2 2" xfId="27138" xr:uid="{00000000-0005-0000-0000-0000E14B0000}"/>
    <cellStyle name="40% - Accent6 2 3 7 3" xfId="24156" xr:uid="{00000000-0005-0000-0000-0000E24B0000}"/>
    <cellStyle name="40% - Accent6 2 3 8" xfId="4900" xr:uid="{00000000-0005-0000-0000-0000E34B0000}"/>
    <cellStyle name="40% - Accent6 2 3 8 2" xfId="14170" xr:uid="{00000000-0005-0000-0000-0000E44B0000}"/>
    <cellStyle name="40% - Accent6 2 3 8 2 2" xfId="27719" xr:uid="{00000000-0005-0000-0000-0000E54B0000}"/>
    <cellStyle name="40% - Accent6 2 3 8 3" xfId="22708" xr:uid="{00000000-0005-0000-0000-0000E64B0000}"/>
    <cellStyle name="40% - Accent6 2 3 9" xfId="4901" xr:uid="{00000000-0005-0000-0000-0000E74B0000}"/>
    <cellStyle name="40% - Accent6 2 3 9 2" xfId="15504" xr:uid="{00000000-0005-0000-0000-0000E84B0000}"/>
    <cellStyle name="40% - Accent6 2 3 9 2 2" xfId="29053" xr:uid="{00000000-0005-0000-0000-0000E94B0000}"/>
    <cellStyle name="40% - Accent6 2 3 9 3" xfId="24153" xr:uid="{00000000-0005-0000-0000-0000EA4B0000}"/>
    <cellStyle name="40% - Accent6 2 4" xfId="4902" xr:uid="{00000000-0005-0000-0000-0000EB4B0000}"/>
    <cellStyle name="40% - Accent6 2 4 10" xfId="9528" xr:uid="{00000000-0005-0000-0000-0000EC4B0000}"/>
    <cellStyle name="40% - Accent6 2 4 10 2" xfId="24003" xr:uid="{00000000-0005-0000-0000-0000ED4B0000}"/>
    <cellStyle name="40% - Accent6 2 4 11" xfId="22707" xr:uid="{00000000-0005-0000-0000-0000EE4B0000}"/>
    <cellStyle name="40% - Accent6 2 4 2" xfId="4903" xr:uid="{00000000-0005-0000-0000-0000EF4B0000}"/>
    <cellStyle name="40% - Accent6 2 4 2 2" xfId="4904" xr:uid="{00000000-0005-0000-0000-0000F04B0000}"/>
    <cellStyle name="40% - Accent6 2 4 2 2 2" xfId="11256" xr:uid="{00000000-0005-0000-0000-0000F14B0000}"/>
    <cellStyle name="40% - Accent6 2 4 2 2 2 2" xfId="25198" xr:uid="{00000000-0005-0000-0000-0000F24B0000}"/>
    <cellStyle name="40% - Accent6 2 4 2 2 3" xfId="22706" xr:uid="{00000000-0005-0000-0000-0000F34B0000}"/>
    <cellStyle name="40% - Accent6 2 4 2 3" xfId="4905" xr:uid="{00000000-0005-0000-0000-0000F44B0000}"/>
    <cellStyle name="40% - Accent6 2 4 2 3 2" xfId="13043" xr:uid="{00000000-0005-0000-0000-0000F54B0000}"/>
    <cellStyle name="40% - Accent6 2 4 2 3 2 2" xfId="26755" xr:uid="{00000000-0005-0000-0000-0000F64B0000}"/>
    <cellStyle name="40% - Accent6 2 4 2 3 3" xfId="24441" xr:uid="{00000000-0005-0000-0000-0000F74B0000}"/>
    <cellStyle name="40% - Accent6 2 4 2 4" xfId="4906" xr:uid="{00000000-0005-0000-0000-0000F84B0000}"/>
    <cellStyle name="40% - Accent6 2 4 2 4 2" xfId="15511" xr:uid="{00000000-0005-0000-0000-0000F94B0000}"/>
    <cellStyle name="40% - Accent6 2 4 2 4 2 2" xfId="29060" xr:uid="{00000000-0005-0000-0000-0000FA4B0000}"/>
    <cellStyle name="40% - Accent6 2 4 2 4 3" xfId="29137" xr:uid="{00000000-0005-0000-0000-0000FB4B0000}"/>
    <cellStyle name="40% - Accent6 2 4 2 5" xfId="4907" xr:uid="{00000000-0005-0000-0000-0000FC4B0000}"/>
    <cellStyle name="40% - Accent6 2 4 2 5 2" xfId="16783" xr:uid="{00000000-0005-0000-0000-0000FD4B0000}"/>
    <cellStyle name="40% - Accent6 2 4 2 5 2 2" xfId="30190" xr:uid="{00000000-0005-0000-0000-0000FE4B0000}"/>
    <cellStyle name="40% - Accent6 2 4 2 5 3" xfId="22705" xr:uid="{00000000-0005-0000-0000-0000FF4B0000}"/>
    <cellStyle name="40% - Accent6 2 4 2 6" xfId="9529" xr:uid="{00000000-0005-0000-0000-0000004C0000}"/>
    <cellStyle name="40% - Accent6 2 4 2 6 2" xfId="24004" xr:uid="{00000000-0005-0000-0000-0000014C0000}"/>
    <cellStyle name="40% - Accent6 2 4 2 7" xfId="25251" xr:uid="{00000000-0005-0000-0000-0000024C0000}"/>
    <cellStyle name="40% - Accent6 2 4 3" xfId="4908" xr:uid="{00000000-0005-0000-0000-0000034C0000}"/>
    <cellStyle name="40% - Accent6 2 4 3 2" xfId="4909" xr:uid="{00000000-0005-0000-0000-0000044C0000}"/>
    <cellStyle name="40% - Accent6 2 4 3 2 2" xfId="15512" xr:uid="{00000000-0005-0000-0000-0000054C0000}"/>
    <cellStyle name="40% - Accent6 2 4 3 2 2 2" xfId="29061" xr:uid="{00000000-0005-0000-0000-0000064C0000}"/>
    <cellStyle name="40% - Accent6 2 4 3 2 3" xfId="24155" xr:uid="{00000000-0005-0000-0000-0000074C0000}"/>
    <cellStyle name="40% - Accent6 2 4 3 3" xfId="11255" xr:uid="{00000000-0005-0000-0000-0000084C0000}"/>
    <cellStyle name="40% - Accent6 2 4 3 3 2" xfId="25197" xr:uid="{00000000-0005-0000-0000-0000094C0000}"/>
    <cellStyle name="40% - Accent6 2 4 3 4" xfId="22704" xr:uid="{00000000-0005-0000-0000-00000A4C0000}"/>
    <cellStyle name="40% - Accent6 2 4 4" xfId="4910" xr:uid="{00000000-0005-0000-0000-00000B4C0000}"/>
    <cellStyle name="40% - Accent6 2 4 4 2" xfId="12171" xr:uid="{00000000-0005-0000-0000-00000C4C0000}"/>
    <cellStyle name="40% - Accent6 2 4 4 2 2" xfId="25883" xr:uid="{00000000-0005-0000-0000-00000D4C0000}"/>
    <cellStyle name="40% - Accent6 2 4 4 3" xfId="22703" xr:uid="{00000000-0005-0000-0000-00000E4C0000}"/>
    <cellStyle name="40% - Accent6 2 4 5" xfId="4911" xr:uid="{00000000-0005-0000-0000-00000F4C0000}"/>
    <cellStyle name="40% - Accent6 2 4 5 2" xfId="13042" xr:uid="{00000000-0005-0000-0000-0000104C0000}"/>
    <cellStyle name="40% - Accent6 2 4 5 2 2" xfId="26754" xr:uid="{00000000-0005-0000-0000-0000114C0000}"/>
    <cellStyle name="40% - Accent6 2 4 5 3" xfId="24154" xr:uid="{00000000-0005-0000-0000-0000124C0000}"/>
    <cellStyle name="40% - Accent6 2 4 6" xfId="4912" xr:uid="{00000000-0005-0000-0000-0000134C0000}"/>
    <cellStyle name="40% - Accent6 2 4 6 2" xfId="13735" xr:uid="{00000000-0005-0000-0000-0000144C0000}"/>
    <cellStyle name="40% - Accent6 2 4 6 2 2" xfId="27284" xr:uid="{00000000-0005-0000-0000-0000154C0000}"/>
    <cellStyle name="40% - Accent6 2 4 6 3" xfId="22702" xr:uid="{00000000-0005-0000-0000-0000164C0000}"/>
    <cellStyle name="40% - Accent6 2 4 7" xfId="4913" xr:uid="{00000000-0005-0000-0000-0000174C0000}"/>
    <cellStyle name="40% - Accent6 2 4 7 2" xfId="14316" xr:uid="{00000000-0005-0000-0000-0000184C0000}"/>
    <cellStyle name="40% - Accent6 2 4 7 2 2" xfId="27865" xr:uid="{00000000-0005-0000-0000-0000194C0000}"/>
    <cellStyle name="40% - Accent6 2 4 7 3" xfId="23252" xr:uid="{00000000-0005-0000-0000-00001A4C0000}"/>
    <cellStyle name="40% - Accent6 2 4 8" xfId="4914" xr:uid="{00000000-0005-0000-0000-00001B4C0000}"/>
    <cellStyle name="40% - Accent6 2 4 8 2" xfId="15510" xr:uid="{00000000-0005-0000-0000-00001C4C0000}"/>
    <cellStyle name="40% - Accent6 2 4 8 2 2" xfId="29059" xr:uid="{00000000-0005-0000-0000-00001D4C0000}"/>
    <cellStyle name="40% - Accent6 2 4 8 3" xfId="24152" xr:uid="{00000000-0005-0000-0000-00001E4C0000}"/>
    <cellStyle name="40% - Accent6 2 4 9" xfId="4915" xr:uid="{00000000-0005-0000-0000-00001F4C0000}"/>
    <cellStyle name="40% - Accent6 2 4 9 2" xfId="16202" xr:uid="{00000000-0005-0000-0000-0000204C0000}"/>
    <cellStyle name="40% - Accent6 2 4 9 2 2" xfId="29609" xr:uid="{00000000-0005-0000-0000-0000214C0000}"/>
    <cellStyle name="40% - Accent6 2 4 9 3" xfId="22701" xr:uid="{00000000-0005-0000-0000-0000224C0000}"/>
    <cellStyle name="40% - Accent6 2 5" xfId="4916" xr:uid="{00000000-0005-0000-0000-0000234C0000}"/>
    <cellStyle name="40% - Accent6 2 5 2" xfId="4917" xr:uid="{00000000-0005-0000-0000-0000244C0000}"/>
    <cellStyle name="40% - Accent6 2 5 2 2" xfId="4918" xr:uid="{00000000-0005-0000-0000-0000254C0000}"/>
    <cellStyle name="40% - Accent6 2 5 2 2 2" xfId="11258" xr:uid="{00000000-0005-0000-0000-0000264C0000}"/>
    <cellStyle name="40% - Accent6 2 5 2 2 2 2" xfId="25200" xr:uid="{00000000-0005-0000-0000-0000274C0000}"/>
    <cellStyle name="40% - Accent6 2 5 2 2 3" xfId="24150" xr:uid="{00000000-0005-0000-0000-0000284C0000}"/>
    <cellStyle name="40% - Accent6 2 5 2 3" xfId="4919" xr:uid="{00000000-0005-0000-0000-0000294C0000}"/>
    <cellStyle name="40% - Accent6 2 5 2 3 2" xfId="13045" xr:uid="{00000000-0005-0000-0000-00002A4C0000}"/>
    <cellStyle name="40% - Accent6 2 5 2 3 2 2" xfId="26757" xr:uid="{00000000-0005-0000-0000-00002B4C0000}"/>
    <cellStyle name="40% - Accent6 2 5 2 3 3" xfId="22699" xr:uid="{00000000-0005-0000-0000-00002C4C0000}"/>
    <cellStyle name="40% - Accent6 2 5 2 4" xfId="4920" xr:uid="{00000000-0005-0000-0000-00002D4C0000}"/>
    <cellStyle name="40% - Accent6 2 5 2 4 2" xfId="15514" xr:uid="{00000000-0005-0000-0000-00002E4C0000}"/>
    <cellStyle name="40% - Accent6 2 5 2 4 2 2" xfId="29063" xr:uid="{00000000-0005-0000-0000-00002F4C0000}"/>
    <cellStyle name="40% - Accent6 2 5 2 4 3" xfId="24149" xr:uid="{00000000-0005-0000-0000-0000304C0000}"/>
    <cellStyle name="40% - Accent6 2 5 2 5" xfId="9531" xr:uid="{00000000-0005-0000-0000-0000314C0000}"/>
    <cellStyle name="40% - Accent6 2 5 2 5 2" xfId="24006" xr:uid="{00000000-0005-0000-0000-0000324C0000}"/>
    <cellStyle name="40% - Accent6 2 5 2 6" xfId="22700" xr:uid="{00000000-0005-0000-0000-0000334C0000}"/>
    <cellStyle name="40% - Accent6 2 5 3" xfId="4921" xr:uid="{00000000-0005-0000-0000-0000344C0000}"/>
    <cellStyle name="40% - Accent6 2 5 3 2" xfId="11257" xr:uid="{00000000-0005-0000-0000-0000354C0000}"/>
    <cellStyle name="40% - Accent6 2 5 3 2 2" xfId="25199" xr:uid="{00000000-0005-0000-0000-0000364C0000}"/>
    <cellStyle name="40% - Accent6 2 5 3 3" xfId="22698" xr:uid="{00000000-0005-0000-0000-0000374C0000}"/>
    <cellStyle name="40% - Accent6 2 5 4" xfId="4922" xr:uid="{00000000-0005-0000-0000-0000384C0000}"/>
    <cellStyle name="40% - Accent6 2 5 4 2" xfId="13044" xr:uid="{00000000-0005-0000-0000-0000394C0000}"/>
    <cellStyle name="40% - Accent6 2 5 4 2 2" xfId="26756" xr:uid="{00000000-0005-0000-0000-00003A4C0000}"/>
    <cellStyle name="40% - Accent6 2 5 4 3" xfId="24147" xr:uid="{00000000-0005-0000-0000-00003B4C0000}"/>
    <cellStyle name="40% - Accent6 2 5 5" xfId="4923" xr:uid="{00000000-0005-0000-0000-00003C4C0000}"/>
    <cellStyle name="40% - Accent6 2 5 5 2" xfId="15513" xr:uid="{00000000-0005-0000-0000-00003D4C0000}"/>
    <cellStyle name="40% - Accent6 2 5 5 2 2" xfId="29062" xr:uid="{00000000-0005-0000-0000-00003E4C0000}"/>
    <cellStyle name="40% - Accent6 2 5 5 3" xfId="24148" xr:uid="{00000000-0005-0000-0000-00003F4C0000}"/>
    <cellStyle name="40% - Accent6 2 5 6" xfId="4924" xr:uid="{00000000-0005-0000-0000-0000404C0000}"/>
    <cellStyle name="40% - Accent6 2 5 6 2" xfId="17018" xr:uid="{00000000-0005-0000-0000-0000414C0000}"/>
    <cellStyle name="40% - Accent6 2 5 6 2 2" xfId="30425" xr:uid="{00000000-0005-0000-0000-0000424C0000}"/>
    <cellStyle name="40% - Accent6 2 5 6 3" xfId="22697" xr:uid="{00000000-0005-0000-0000-0000434C0000}"/>
    <cellStyle name="40% - Accent6 2 5 7" xfId="9530" xr:uid="{00000000-0005-0000-0000-0000444C0000}"/>
    <cellStyle name="40% - Accent6 2 5 7 2" xfId="24005" xr:uid="{00000000-0005-0000-0000-0000454C0000}"/>
    <cellStyle name="40% - Accent6 2 5 8" xfId="24151" xr:uid="{00000000-0005-0000-0000-0000464C0000}"/>
    <cellStyle name="40% - Accent6 2 6" xfId="4925" xr:uid="{00000000-0005-0000-0000-0000474C0000}"/>
    <cellStyle name="40% - Accent6 2 6 2" xfId="4926" xr:uid="{00000000-0005-0000-0000-0000484C0000}"/>
    <cellStyle name="40% - Accent6 2 6 2 2" xfId="11259" xr:uid="{00000000-0005-0000-0000-0000494C0000}"/>
    <cellStyle name="40% - Accent6 2 6 2 2 2" xfId="25201" xr:uid="{00000000-0005-0000-0000-00004A4C0000}"/>
    <cellStyle name="40% - Accent6 2 6 2 3" xfId="24146" xr:uid="{00000000-0005-0000-0000-00004B4C0000}"/>
    <cellStyle name="40% - Accent6 2 6 3" xfId="4927" xr:uid="{00000000-0005-0000-0000-00004C4C0000}"/>
    <cellStyle name="40% - Accent6 2 6 3 2" xfId="13046" xr:uid="{00000000-0005-0000-0000-00004D4C0000}"/>
    <cellStyle name="40% - Accent6 2 6 3 2 2" xfId="26758" xr:uid="{00000000-0005-0000-0000-00004E4C0000}"/>
    <cellStyle name="40% - Accent6 2 6 3 3" xfId="26818" xr:uid="{00000000-0005-0000-0000-00004F4C0000}"/>
    <cellStyle name="40% - Accent6 2 6 4" xfId="4928" xr:uid="{00000000-0005-0000-0000-0000504C0000}"/>
    <cellStyle name="40% - Accent6 2 6 4 2" xfId="15515" xr:uid="{00000000-0005-0000-0000-0000514C0000}"/>
    <cellStyle name="40% - Accent6 2 6 4 2 2" xfId="29064" xr:uid="{00000000-0005-0000-0000-0000524C0000}"/>
    <cellStyle name="40% - Accent6 2 6 4 3" xfId="22695" xr:uid="{00000000-0005-0000-0000-0000534C0000}"/>
    <cellStyle name="40% - Accent6 2 6 5" xfId="4929" xr:uid="{00000000-0005-0000-0000-0000544C0000}"/>
    <cellStyle name="40% - Accent6 2 6 5 2" xfId="17130" xr:uid="{00000000-0005-0000-0000-0000554C0000}"/>
    <cellStyle name="40% - Accent6 2 6 5 2 2" xfId="30489" xr:uid="{00000000-0005-0000-0000-0000564C0000}"/>
    <cellStyle name="40% - Accent6 2 6 5 3" xfId="26819" xr:uid="{00000000-0005-0000-0000-0000574C0000}"/>
    <cellStyle name="40% - Accent6 2 6 6" xfId="9532" xr:uid="{00000000-0005-0000-0000-0000584C0000}"/>
    <cellStyle name="40% - Accent6 2 6 6 2" xfId="24007" xr:uid="{00000000-0005-0000-0000-0000594C0000}"/>
    <cellStyle name="40% - Accent6 2 6 7" xfId="22696" xr:uid="{00000000-0005-0000-0000-00005A4C0000}"/>
    <cellStyle name="40% - Accent6 2 7" xfId="4930" xr:uid="{00000000-0005-0000-0000-00005B4C0000}"/>
    <cellStyle name="40% - Accent6 2 7 2" xfId="4931" xr:uid="{00000000-0005-0000-0000-00005C4C0000}"/>
    <cellStyle name="40% - Accent6 2 7 2 2" xfId="11260" xr:uid="{00000000-0005-0000-0000-00005D4C0000}"/>
    <cellStyle name="40% - Accent6 2 7 2 2 2" xfId="25202" xr:uid="{00000000-0005-0000-0000-00005E4C0000}"/>
    <cellStyle name="40% - Accent6 2 7 2 3" xfId="22693" xr:uid="{00000000-0005-0000-0000-00005F4C0000}"/>
    <cellStyle name="40% - Accent6 2 7 3" xfId="4932" xr:uid="{00000000-0005-0000-0000-0000604C0000}"/>
    <cellStyle name="40% - Accent6 2 7 3 2" xfId="13047" xr:uid="{00000000-0005-0000-0000-0000614C0000}"/>
    <cellStyle name="40% - Accent6 2 7 3 2 2" xfId="26759" xr:uid="{00000000-0005-0000-0000-0000624C0000}"/>
    <cellStyle name="40% - Accent6 2 7 3 3" xfId="24144" xr:uid="{00000000-0005-0000-0000-0000634C0000}"/>
    <cellStyle name="40% - Accent6 2 7 4" xfId="4933" xr:uid="{00000000-0005-0000-0000-0000644C0000}"/>
    <cellStyle name="40% - Accent6 2 7 4 2" xfId="15516" xr:uid="{00000000-0005-0000-0000-0000654C0000}"/>
    <cellStyle name="40% - Accent6 2 7 4 2 2" xfId="29065" xr:uid="{00000000-0005-0000-0000-0000664C0000}"/>
    <cellStyle name="40% - Accent6 2 7 4 3" xfId="24145" xr:uid="{00000000-0005-0000-0000-0000674C0000}"/>
    <cellStyle name="40% - Accent6 2 7 5" xfId="4934" xr:uid="{00000000-0005-0000-0000-0000684C0000}"/>
    <cellStyle name="40% - Accent6 2 7 5 2" xfId="17219" xr:uid="{00000000-0005-0000-0000-0000694C0000}"/>
    <cellStyle name="40% - Accent6 2 7 5 2 2" xfId="30578" xr:uid="{00000000-0005-0000-0000-00006A4C0000}"/>
    <cellStyle name="40% - Accent6 2 7 5 3" xfId="22692" xr:uid="{00000000-0005-0000-0000-00006B4C0000}"/>
    <cellStyle name="40% - Accent6 2 7 6" xfId="9533" xr:uid="{00000000-0005-0000-0000-00006C4C0000}"/>
    <cellStyle name="40% - Accent6 2 7 6 2" xfId="24008" xr:uid="{00000000-0005-0000-0000-00006D4C0000}"/>
    <cellStyle name="40% - Accent6 2 7 7" xfId="22694" xr:uid="{00000000-0005-0000-0000-00006E4C0000}"/>
    <cellStyle name="40% - Accent6 2 8" xfId="4935" xr:uid="{00000000-0005-0000-0000-00006F4C0000}"/>
    <cellStyle name="40% - Accent6 2 8 2" xfId="4936" xr:uid="{00000000-0005-0000-0000-0000704C0000}"/>
    <cellStyle name="40% - Accent6 2 8 2 2" xfId="13048" xr:uid="{00000000-0005-0000-0000-0000714C0000}"/>
    <cellStyle name="40% - Accent6 2 8 2 2 2" xfId="26760" xr:uid="{00000000-0005-0000-0000-0000724C0000}"/>
    <cellStyle name="40% - Accent6 2 8 2 3" xfId="24143" xr:uid="{00000000-0005-0000-0000-0000734C0000}"/>
    <cellStyle name="40% - Accent6 2 8 3" xfId="4937" xr:uid="{00000000-0005-0000-0000-0000744C0000}"/>
    <cellStyle name="40% - Accent6 2 8 3 2" xfId="15517" xr:uid="{00000000-0005-0000-0000-0000754C0000}"/>
    <cellStyle name="40% - Accent6 2 8 3 2 2" xfId="29066" xr:uid="{00000000-0005-0000-0000-0000764C0000}"/>
    <cellStyle name="40% - Accent6 2 8 3 3" xfId="22690" xr:uid="{00000000-0005-0000-0000-0000774C0000}"/>
    <cellStyle name="40% - Accent6 2 8 4" xfId="4938" xr:uid="{00000000-0005-0000-0000-0000784C0000}"/>
    <cellStyle name="40% - Accent6 2 8 4 2" xfId="16494" xr:uid="{00000000-0005-0000-0000-0000794C0000}"/>
    <cellStyle name="40% - Accent6 2 8 4 2 2" xfId="29901" xr:uid="{00000000-0005-0000-0000-00007A4C0000}"/>
    <cellStyle name="40% - Accent6 2 8 4 3" xfId="24140" xr:uid="{00000000-0005-0000-0000-00007B4C0000}"/>
    <cellStyle name="40% - Accent6 2 8 5" xfId="10539" xr:uid="{00000000-0005-0000-0000-00007C4C0000}"/>
    <cellStyle name="40% - Accent6 2 8 5 2" xfId="24481" xr:uid="{00000000-0005-0000-0000-00007D4C0000}"/>
    <cellStyle name="40% - Accent6 2 8 6" xfId="22691" xr:uid="{00000000-0005-0000-0000-00007E4C0000}"/>
    <cellStyle name="40% - Accent6 2 9" xfId="4939" xr:uid="{00000000-0005-0000-0000-00007F4C0000}"/>
    <cellStyle name="40% - Accent6 2 9 2" xfId="4940" xr:uid="{00000000-0005-0000-0000-0000804C0000}"/>
    <cellStyle name="40% - Accent6 2 9 2 2" xfId="13049" xr:uid="{00000000-0005-0000-0000-0000814C0000}"/>
    <cellStyle name="40% - Accent6 2 9 2 2 2" xfId="26761" xr:uid="{00000000-0005-0000-0000-0000824C0000}"/>
    <cellStyle name="40% - Accent6 2 9 2 3" xfId="25250" xr:uid="{00000000-0005-0000-0000-0000834C0000}"/>
    <cellStyle name="40% - Accent6 2 9 3" xfId="4941" xr:uid="{00000000-0005-0000-0000-0000844C0000}"/>
    <cellStyle name="40% - Accent6 2 9 3 2" xfId="15518" xr:uid="{00000000-0005-0000-0000-0000854C0000}"/>
    <cellStyle name="40% - Accent6 2 9 3 2 2" xfId="29067" xr:uid="{00000000-0005-0000-0000-0000864C0000}"/>
    <cellStyle name="40% - Accent6 2 9 3 3" xfId="22688" xr:uid="{00000000-0005-0000-0000-0000874C0000}"/>
    <cellStyle name="40% - Accent6 2 9 4" xfId="11242" xr:uid="{00000000-0005-0000-0000-0000884C0000}"/>
    <cellStyle name="40% - Accent6 2 9 4 2" xfId="25184" xr:uid="{00000000-0005-0000-0000-0000894C0000}"/>
    <cellStyle name="40% - Accent6 2 9 5" xfId="22689" xr:uid="{00000000-0005-0000-0000-00008A4C0000}"/>
    <cellStyle name="40% - Accent6 20" xfId="4942" xr:uid="{00000000-0005-0000-0000-00008B4C0000}"/>
    <cellStyle name="40% - Accent6 20 2" xfId="4943" xr:uid="{00000000-0005-0000-0000-00008C4C0000}"/>
    <cellStyle name="40% - Accent6 20 2 2" xfId="13050" xr:uid="{00000000-0005-0000-0000-00008D4C0000}"/>
    <cellStyle name="40% - Accent6 20 2 2 2" xfId="26762" xr:uid="{00000000-0005-0000-0000-00008E4C0000}"/>
    <cellStyle name="40% - Accent6 20 2 3" xfId="29136" xr:uid="{00000000-0005-0000-0000-00008F4C0000}"/>
    <cellStyle name="40% - Accent6 20 3" xfId="4944" xr:uid="{00000000-0005-0000-0000-0000904C0000}"/>
    <cellStyle name="40% - Accent6 20 3 2" xfId="15519" xr:uid="{00000000-0005-0000-0000-0000914C0000}"/>
    <cellStyle name="40% - Accent6 20 3 2 2" xfId="29068" xr:uid="{00000000-0005-0000-0000-0000924C0000}"/>
    <cellStyle name="40% - Accent6 20 3 3" xfId="22687" xr:uid="{00000000-0005-0000-0000-0000934C0000}"/>
    <cellStyle name="40% - Accent6 20 4" xfId="10514" xr:uid="{00000000-0005-0000-0000-0000944C0000}"/>
    <cellStyle name="40% - Accent6 20 4 2" xfId="24462" xr:uid="{00000000-0005-0000-0000-0000954C0000}"/>
    <cellStyle name="40% - Accent6 20 5" xfId="24440" xr:uid="{00000000-0005-0000-0000-0000964C0000}"/>
    <cellStyle name="40% - Accent6 21" xfId="4945" xr:uid="{00000000-0005-0000-0000-0000974C0000}"/>
    <cellStyle name="40% - Accent6 21 2" xfId="4946" xr:uid="{00000000-0005-0000-0000-0000984C0000}"/>
    <cellStyle name="40% - Accent6 21 2 2" xfId="13051" xr:uid="{00000000-0005-0000-0000-0000994C0000}"/>
    <cellStyle name="40% - Accent6 21 2 2 2" xfId="26763" xr:uid="{00000000-0005-0000-0000-00009A4C0000}"/>
    <cellStyle name="40% - Accent6 21 2 3" xfId="24142" xr:uid="{00000000-0005-0000-0000-00009B4C0000}"/>
    <cellStyle name="40% - Accent6 21 3" xfId="4947" xr:uid="{00000000-0005-0000-0000-00009C4C0000}"/>
    <cellStyle name="40% - Accent6 21 3 2" xfId="15520" xr:uid="{00000000-0005-0000-0000-00009D4C0000}"/>
    <cellStyle name="40% - Accent6 21 3 2 2" xfId="29069" xr:uid="{00000000-0005-0000-0000-00009E4C0000}"/>
    <cellStyle name="40% - Accent6 21 3 3" xfId="22685" xr:uid="{00000000-0005-0000-0000-00009F4C0000}"/>
    <cellStyle name="40% - Accent6 21 4" xfId="11231" xr:uid="{00000000-0005-0000-0000-0000A04C0000}"/>
    <cellStyle name="40% - Accent6 21 4 2" xfId="25173" xr:uid="{00000000-0005-0000-0000-0000A14C0000}"/>
    <cellStyle name="40% - Accent6 21 5" xfId="22686" xr:uid="{00000000-0005-0000-0000-0000A24C0000}"/>
    <cellStyle name="40% - Accent6 22" xfId="4948" xr:uid="{00000000-0005-0000-0000-0000A34C0000}"/>
    <cellStyle name="40% - Accent6 22 2" xfId="11750" xr:uid="{00000000-0005-0000-0000-0000A44C0000}"/>
    <cellStyle name="40% - Accent6 22 2 2" xfId="25465" xr:uid="{00000000-0005-0000-0000-0000A54C0000}"/>
    <cellStyle name="40% - Accent6 22 3" xfId="24141" xr:uid="{00000000-0005-0000-0000-0000A64C0000}"/>
    <cellStyle name="40% - Accent6 23" xfId="4949" xr:uid="{00000000-0005-0000-0000-0000A74C0000}"/>
    <cellStyle name="40% - Accent6 23 2" xfId="13016" xr:uid="{00000000-0005-0000-0000-0000A84C0000}"/>
    <cellStyle name="40% - Accent6 23 2 2" xfId="26728" xr:uid="{00000000-0005-0000-0000-0000A94C0000}"/>
    <cellStyle name="40% - Accent6 23 3" xfId="22684" xr:uid="{00000000-0005-0000-0000-0000AA4C0000}"/>
    <cellStyle name="40% - Accent6 24" xfId="4950" xr:uid="{00000000-0005-0000-0000-0000AB4C0000}"/>
    <cellStyle name="40% - Accent6 24 2" xfId="13389" xr:uid="{00000000-0005-0000-0000-0000AC4C0000}"/>
    <cellStyle name="40% - Accent6 24 2 2" xfId="26938" xr:uid="{00000000-0005-0000-0000-0000AD4C0000}"/>
    <cellStyle name="40% - Accent6 24 3" xfId="23249" xr:uid="{00000000-0005-0000-0000-0000AE4C0000}"/>
    <cellStyle name="40% - Accent6 25" xfId="4951" xr:uid="{00000000-0005-0000-0000-0000AF4C0000}"/>
    <cellStyle name="40% - Accent6 25 2" xfId="13970" xr:uid="{00000000-0005-0000-0000-0000B04C0000}"/>
    <cellStyle name="40% - Accent6 25 2 2" xfId="27519" xr:uid="{00000000-0005-0000-0000-0000B14C0000}"/>
    <cellStyle name="40% - Accent6 25 3" xfId="24139" xr:uid="{00000000-0005-0000-0000-0000B24C0000}"/>
    <cellStyle name="40% - Accent6 26" xfId="4952" xr:uid="{00000000-0005-0000-0000-0000B34C0000}"/>
    <cellStyle name="40% - Accent6 26 2" xfId="15477" xr:uid="{00000000-0005-0000-0000-0000B44C0000}"/>
    <cellStyle name="40% - Accent6 26 2 2" xfId="29026" xr:uid="{00000000-0005-0000-0000-0000B54C0000}"/>
    <cellStyle name="40% - Accent6 26 3" xfId="22683" xr:uid="{00000000-0005-0000-0000-0000B64C0000}"/>
    <cellStyle name="40% - Accent6 27" xfId="4953" xr:uid="{00000000-0005-0000-0000-0000B74C0000}"/>
    <cellStyle name="40% - Accent6 27 2" xfId="15830" xr:uid="{00000000-0005-0000-0000-0000B84C0000}"/>
    <cellStyle name="40% - Accent6 27 2 2" xfId="29237" xr:uid="{00000000-0005-0000-0000-0000B94C0000}"/>
    <cellStyle name="40% - Accent6 27 3" xfId="24138" xr:uid="{00000000-0005-0000-0000-0000BA4C0000}"/>
    <cellStyle name="40% - Accent6 28" xfId="4954" xr:uid="{00000000-0005-0000-0000-0000BB4C0000}"/>
    <cellStyle name="40% - Accent6 28 2" xfId="15856" xr:uid="{00000000-0005-0000-0000-0000BC4C0000}"/>
    <cellStyle name="40% - Accent6 28 2 2" xfId="29263" xr:uid="{00000000-0005-0000-0000-0000BD4C0000}"/>
    <cellStyle name="40% - Accent6 28 3" xfId="22682" xr:uid="{00000000-0005-0000-0000-0000BE4C0000}"/>
    <cellStyle name="40% - Accent6 29" xfId="4955" xr:uid="{00000000-0005-0000-0000-0000BF4C0000}"/>
    <cellStyle name="40% - Accent6 29 2" xfId="9504" xr:uid="{00000000-0005-0000-0000-0000C04C0000}"/>
    <cellStyle name="40% - Accent6 29 2 2" xfId="23979" xr:uid="{00000000-0005-0000-0000-0000C14C0000}"/>
    <cellStyle name="40% - Accent6 29 3" xfId="24137" xr:uid="{00000000-0005-0000-0000-0000C24C0000}"/>
    <cellStyle name="40% - Accent6 3" xfId="4956" xr:uid="{00000000-0005-0000-0000-0000C34C0000}"/>
    <cellStyle name="40% - Accent6 3 10" xfId="4957" xr:uid="{00000000-0005-0000-0000-0000C44C0000}"/>
    <cellStyle name="40% - Accent6 3 10 2" xfId="14050" xr:uid="{00000000-0005-0000-0000-0000C54C0000}"/>
    <cellStyle name="40% - Accent6 3 10 2 2" xfId="27599" xr:uid="{00000000-0005-0000-0000-0000C64C0000}"/>
    <cellStyle name="40% - Accent6 3 10 3" xfId="24136" xr:uid="{00000000-0005-0000-0000-0000C74C0000}"/>
    <cellStyle name="40% - Accent6 3 11" xfId="4958" xr:uid="{00000000-0005-0000-0000-0000C84C0000}"/>
    <cellStyle name="40% - Accent6 3 11 2" xfId="15521" xr:uid="{00000000-0005-0000-0000-0000C94C0000}"/>
    <cellStyle name="40% - Accent6 3 11 2 2" xfId="29070" xr:uid="{00000000-0005-0000-0000-0000CA4C0000}"/>
    <cellStyle name="40% - Accent6 3 11 3" xfId="22680" xr:uid="{00000000-0005-0000-0000-0000CB4C0000}"/>
    <cellStyle name="40% - Accent6 3 12" xfId="4959" xr:uid="{00000000-0005-0000-0000-0000CC4C0000}"/>
    <cellStyle name="40% - Accent6 3 12 2" xfId="15936" xr:uid="{00000000-0005-0000-0000-0000CD4C0000}"/>
    <cellStyle name="40% - Accent6 3 12 2 2" xfId="29343" xr:uid="{00000000-0005-0000-0000-0000CE4C0000}"/>
    <cellStyle name="40% - Accent6 3 12 3" xfId="24134" xr:uid="{00000000-0005-0000-0000-0000CF4C0000}"/>
    <cellStyle name="40% - Accent6 3 13" xfId="9534" xr:uid="{00000000-0005-0000-0000-0000D04C0000}"/>
    <cellStyle name="40% - Accent6 3 13 2" xfId="24009" xr:uid="{00000000-0005-0000-0000-0000D14C0000}"/>
    <cellStyle name="40% - Accent6 3 14" xfId="22681" xr:uid="{00000000-0005-0000-0000-0000D24C0000}"/>
    <cellStyle name="40% - Accent6 3 2" xfId="4960" xr:uid="{00000000-0005-0000-0000-0000D34C0000}"/>
    <cellStyle name="40% - Accent6 3 2 10" xfId="4961" xr:uid="{00000000-0005-0000-0000-0000D44C0000}"/>
    <cellStyle name="40% - Accent6 3 2 10 2" xfId="16079" xr:uid="{00000000-0005-0000-0000-0000D54C0000}"/>
    <cellStyle name="40% - Accent6 3 2 10 2 2" xfId="29486" xr:uid="{00000000-0005-0000-0000-0000D64C0000}"/>
    <cellStyle name="40% - Accent6 3 2 10 3" xfId="22679" xr:uid="{00000000-0005-0000-0000-0000D74C0000}"/>
    <cellStyle name="40% - Accent6 3 2 11" xfId="9535" xr:uid="{00000000-0005-0000-0000-0000D84C0000}"/>
    <cellStyle name="40% - Accent6 3 2 11 2" xfId="24010" xr:uid="{00000000-0005-0000-0000-0000D94C0000}"/>
    <cellStyle name="40% - Accent6 3 2 12" xfId="24135" xr:uid="{00000000-0005-0000-0000-0000DA4C0000}"/>
    <cellStyle name="40% - Accent6 3 2 2" xfId="4962" xr:uid="{00000000-0005-0000-0000-0000DB4C0000}"/>
    <cellStyle name="40% - Accent6 3 2 2 10" xfId="9536" xr:uid="{00000000-0005-0000-0000-0000DC4C0000}"/>
    <cellStyle name="40% - Accent6 3 2 2 10 2" xfId="24011" xr:uid="{00000000-0005-0000-0000-0000DD4C0000}"/>
    <cellStyle name="40% - Accent6 3 2 2 11" xfId="22678" xr:uid="{00000000-0005-0000-0000-0000DE4C0000}"/>
    <cellStyle name="40% - Accent6 3 2 2 2" xfId="4963" xr:uid="{00000000-0005-0000-0000-0000DF4C0000}"/>
    <cellStyle name="40% - Accent6 3 2 2 2 2" xfId="4964" xr:uid="{00000000-0005-0000-0000-0000E04C0000}"/>
    <cellStyle name="40% - Accent6 3 2 2 2 2 2" xfId="11264" xr:uid="{00000000-0005-0000-0000-0000E14C0000}"/>
    <cellStyle name="40% - Accent6 3 2 2 2 2 2 2" xfId="25206" xr:uid="{00000000-0005-0000-0000-0000E24C0000}"/>
    <cellStyle name="40% - Accent6 3 2 2 2 2 3" xfId="26816" xr:uid="{00000000-0005-0000-0000-0000E34C0000}"/>
    <cellStyle name="40% - Accent6 3 2 2 2 3" xfId="4965" xr:uid="{00000000-0005-0000-0000-0000E44C0000}"/>
    <cellStyle name="40% - Accent6 3 2 2 2 3 2" xfId="13055" xr:uid="{00000000-0005-0000-0000-0000E54C0000}"/>
    <cellStyle name="40% - Accent6 3 2 2 2 3 2 2" xfId="26767" xr:uid="{00000000-0005-0000-0000-0000E64C0000}"/>
    <cellStyle name="40% - Accent6 3 2 2 2 3 3" xfId="22677" xr:uid="{00000000-0005-0000-0000-0000E74C0000}"/>
    <cellStyle name="40% - Accent6 3 2 2 2 4" xfId="4966" xr:uid="{00000000-0005-0000-0000-0000E84C0000}"/>
    <cellStyle name="40% - Accent6 3 2 2 2 4 2" xfId="15524" xr:uid="{00000000-0005-0000-0000-0000E94C0000}"/>
    <cellStyle name="40% - Accent6 3 2 2 2 4 2 2" xfId="29073" xr:uid="{00000000-0005-0000-0000-0000EA4C0000}"/>
    <cellStyle name="40% - Accent6 3 2 2 2 4 3" xfId="26817" xr:uid="{00000000-0005-0000-0000-0000EB4C0000}"/>
    <cellStyle name="40% - Accent6 3 2 2 2 5" xfId="4967" xr:uid="{00000000-0005-0000-0000-0000EC4C0000}"/>
    <cellStyle name="40% - Accent6 3 2 2 2 5 2" xfId="16949" xr:uid="{00000000-0005-0000-0000-0000ED4C0000}"/>
    <cellStyle name="40% - Accent6 3 2 2 2 5 2 2" xfId="30356" xr:uid="{00000000-0005-0000-0000-0000EE4C0000}"/>
    <cellStyle name="40% - Accent6 3 2 2 2 5 3" xfId="22676" xr:uid="{00000000-0005-0000-0000-0000EF4C0000}"/>
    <cellStyle name="40% - Accent6 3 2 2 2 6" xfId="9537" xr:uid="{00000000-0005-0000-0000-0000F04C0000}"/>
    <cellStyle name="40% - Accent6 3 2 2 2 6 2" xfId="24012" xr:uid="{00000000-0005-0000-0000-0000F14C0000}"/>
    <cellStyle name="40% - Accent6 3 2 2 2 7" xfId="24133" xr:uid="{00000000-0005-0000-0000-0000F24C0000}"/>
    <cellStyle name="40% - Accent6 3 2 2 3" xfId="4968" xr:uid="{00000000-0005-0000-0000-0000F34C0000}"/>
    <cellStyle name="40% - Accent6 3 2 2 3 2" xfId="4969" xr:uid="{00000000-0005-0000-0000-0000F44C0000}"/>
    <cellStyle name="40% - Accent6 3 2 2 3 2 2" xfId="15525" xr:uid="{00000000-0005-0000-0000-0000F54C0000}"/>
    <cellStyle name="40% - Accent6 3 2 2 3 2 2 2" xfId="29074" xr:uid="{00000000-0005-0000-0000-0000F64C0000}"/>
    <cellStyle name="40% - Accent6 3 2 2 3 2 3" xfId="24131" xr:uid="{00000000-0005-0000-0000-0000F74C0000}"/>
    <cellStyle name="40% - Accent6 3 2 2 3 3" xfId="11263" xr:uid="{00000000-0005-0000-0000-0000F84C0000}"/>
    <cellStyle name="40% - Accent6 3 2 2 3 3 2" xfId="25205" xr:uid="{00000000-0005-0000-0000-0000F94C0000}"/>
    <cellStyle name="40% - Accent6 3 2 2 3 4" xfId="22675" xr:uid="{00000000-0005-0000-0000-0000FA4C0000}"/>
    <cellStyle name="40% - Accent6 3 2 2 4" xfId="4970" xr:uid="{00000000-0005-0000-0000-0000FB4C0000}"/>
    <cellStyle name="40% - Accent6 3 2 2 4 2" xfId="12337" xr:uid="{00000000-0005-0000-0000-0000FC4C0000}"/>
    <cellStyle name="40% - Accent6 3 2 2 4 2 2" xfId="26049" xr:uid="{00000000-0005-0000-0000-0000FD4C0000}"/>
    <cellStyle name="40% - Accent6 3 2 2 4 3" xfId="24132" xr:uid="{00000000-0005-0000-0000-0000FE4C0000}"/>
    <cellStyle name="40% - Accent6 3 2 2 5" xfId="4971" xr:uid="{00000000-0005-0000-0000-0000FF4C0000}"/>
    <cellStyle name="40% - Accent6 3 2 2 5 2" xfId="13054" xr:uid="{00000000-0005-0000-0000-0000004D0000}"/>
    <cellStyle name="40% - Accent6 3 2 2 5 2 2" xfId="26766" xr:uid="{00000000-0005-0000-0000-0000014D0000}"/>
    <cellStyle name="40% - Accent6 3 2 2 5 3" xfId="22674" xr:uid="{00000000-0005-0000-0000-0000024D0000}"/>
    <cellStyle name="40% - Accent6 3 2 2 6" xfId="4972" xr:uid="{00000000-0005-0000-0000-0000034D0000}"/>
    <cellStyle name="40% - Accent6 3 2 2 6 2" xfId="13901" xr:uid="{00000000-0005-0000-0000-0000044D0000}"/>
    <cellStyle name="40% - Accent6 3 2 2 6 2 2" xfId="27450" xr:uid="{00000000-0005-0000-0000-0000054D0000}"/>
    <cellStyle name="40% - Accent6 3 2 2 6 3" xfId="22673" xr:uid="{00000000-0005-0000-0000-0000064D0000}"/>
    <cellStyle name="40% - Accent6 3 2 2 7" xfId="4973" xr:uid="{00000000-0005-0000-0000-0000074D0000}"/>
    <cellStyle name="40% - Accent6 3 2 2 7 2" xfId="14482" xr:uid="{00000000-0005-0000-0000-0000084D0000}"/>
    <cellStyle name="40% - Accent6 3 2 2 7 2 2" xfId="28031" xr:uid="{00000000-0005-0000-0000-0000094D0000}"/>
    <cellStyle name="40% - Accent6 3 2 2 7 3" xfId="24130" xr:uid="{00000000-0005-0000-0000-00000A4D0000}"/>
    <cellStyle name="40% - Accent6 3 2 2 8" xfId="4974" xr:uid="{00000000-0005-0000-0000-00000B4D0000}"/>
    <cellStyle name="40% - Accent6 3 2 2 8 2" xfId="15523" xr:uid="{00000000-0005-0000-0000-00000C4D0000}"/>
    <cellStyle name="40% - Accent6 3 2 2 8 2 2" xfId="29072" xr:uid="{00000000-0005-0000-0000-00000D4D0000}"/>
    <cellStyle name="40% - Accent6 3 2 2 8 3" xfId="22672" xr:uid="{00000000-0005-0000-0000-00000E4D0000}"/>
    <cellStyle name="40% - Accent6 3 2 2 9" xfId="4975" xr:uid="{00000000-0005-0000-0000-00000F4D0000}"/>
    <cellStyle name="40% - Accent6 3 2 2 9 2" xfId="16368" xr:uid="{00000000-0005-0000-0000-0000104D0000}"/>
    <cellStyle name="40% - Accent6 3 2 2 9 2 2" xfId="29775" xr:uid="{00000000-0005-0000-0000-0000114D0000}"/>
    <cellStyle name="40% - Accent6 3 2 2 9 3" xfId="24127" xr:uid="{00000000-0005-0000-0000-0000124D0000}"/>
    <cellStyle name="40% - Accent6 3 2 3" xfId="4976" xr:uid="{00000000-0005-0000-0000-0000134D0000}"/>
    <cellStyle name="40% - Accent6 3 2 3 2" xfId="4977" xr:uid="{00000000-0005-0000-0000-0000144D0000}"/>
    <cellStyle name="40% - Accent6 3 2 3 2 2" xfId="11265" xr:uid="{00000000-0005-0000-0000-0000154D0000}"/>
    <cellStyle name="40% - Accent6 3 2 3 2 2 2" xfId="25207" xr:uid="{00000000-0005-0000-0000-0000164D0000}"/>
    <cellStyle name="40% - Accent6 3 2 3 2 3" xfId="25249" xr:uid="{00000000-0005-0000-0000-0000174D0000}"/>
    <cellStyle name="40% - Accent6 3 2 3 3" xfId="4978" xr:uid="{00000000-0005-0000-0000-0000184D0000}"/>
    <cellStyle name="40% - Accent6 3 2 3 3 2" xfId="13056" xr:uid="{00000000-0005-0000-0000-0000194D0000}"/>
    <cellStyle name="40% - Accent6 3 2 3 3 2 2" xfId="26768" xr:uid="{00000000-0005-0000-0000-00001A4D0000}"/>
    <cellStyle name="40% - Accent6 3 2 3 3 3" xfId="22670" xr:uid="{00000000-0005-0000-0000-00001B4D0000}"/>
    <cellStyle name="40% - Accent6 3 2 3 4" xfId="4979" xr:uid="{00000000-0005-0000-0000-00001C4D0000}"/>
    <cellStyle name="40% - Accent6 3 2 3 4 2" xfId="15526" xr:uid="{00000000-0005-0000-0000-00001D4D0000}"/>
    <cellStyle name="40% - Accent6 3 2 3 4 2 2" xfId="29075" xr:uid="{00000000-0005-0000-0000-00001E4D0000}"/>
    <cellStyle name="40% - Accent6 3 2 3 4 3" xfId="24439" xr:uid="{00000000-0005-0000-0000-00001F4D0000}"/>
    <cellStyle name="40% - Accent6 3 2 3 5" xfId="4980" xr:uid="{00000000-0005-0000-0000-0000204D0000}"/>
    <cellStyle name="40% - Accent6 3 2 3 5 2" xfId="16660" xr:uid="{00000000-0005-0000-0000-0000214D0000}"/>
    <cellStyle name="40% - Accent6 3 2 3 5 2 2" xfId="30067" xr:uid="{00000000-0005-0000-0000-0000224D0000}"/>
    <cellStyle name="40% - Accent6 3 2 3 5 3" xfId="29135" xr:uid="{00000000-0005-0000-0000-0000234D0000}"/>
    <cellStyle name="40% - Accent6 3 2 3 6" xfId="9538" xr:uid="{00000000-0005-0000-0000-0000244D0000}"/>
    <cellStyle name="40% - Accent6 3 2 3 6 2" xfId="24013" xr:uid="{00000000-0005-0000-0000-0000254D0000}"/>
    <cellStyle name="40% - Accent6 3 2 3 7" xfId="22671" xr:uid="{00000000-0005-0000-0000-0000264D0000}"/>
    <cellStyle name="40% - Accent6 3 2 4" xfId="4981" xr:uid="{00000000-0005-0000-0000-0000274D0000}"/>
    <cellStyle name="40% - Accent6 3 2 4 2" xfId="4982" xr:uid="{00000000-0005-0000-0000-0000284D0000}"/>
    <cellStyle name="40% - Accent6 3 2 4 2 2" xfId="15527" xr:uid="{00000000-0005-0000-0000-0000294D0000}"/>
    <cellStyle name="40% - Accent6 3 2 4 2 2 2" xfId="29076" xr:uid="{00000000-0005-0000-0000-00002A4D0000}"/>
    <cellStyle name="40% - Accent6 3 2 4 2 3" xfId="22668" xr:uid="{00000000-0005-0000-0000-00002B4D0000}"/>
    <cellStyle name="40% - Accent6 3 2 4 3" xfId="11262" xr:uid="{00000000-0005-0000-0000-00002C4D0000}"/>
    <cellStyle name="40% - Accent6 3 2 4 3 2" xfId="25204" xr:uid="{00000000-0005-0000-0000-00002D4D0000}"/>
    <cellStyle name="40% - Accent6 3 2 4 4" xfId="22669" xr:uid="{00000000-0005-0000-0000-00002E4D0000}"/>
    <cellStyle name="40% - Accent6 3 2 5" xfId="4983" xr:uid="{00000000-0005-0000-0000-00002F4D0000}"/>
    <cellStyle name="40% - Accent6 3 2 5 2" xfId="12037" xr:uid="{00000000-0005-0000-0000-0000304D0000}"/>
    <cellStyle name="40% - Accent6 3 2 5 2 2" xfId="25752" xr:uid="{00000000-0005-0000-0000-0000314D0000}"/>
    <cellStyle name="40% - Accent6 3 2 5 3" xfId="24129" xr:uid="{00000000-0005-0000-0000-0000324D0000}"/>
    <cellStyle name="40% - Accent6 3 2 6" xfId="4984" xr:uid="{00000000-0005-0000-0000-0000334D0000}"/>
    <cellStyle name="40% - Accent6 3 2 6 2" xfId="13053" xr:uid="{00000000-0005-0000-0000-0000344D0000}"/>
    <cellStyle name="40% - Accent6 3 2 6 2 2" xfId="26765" xr:uid="{00000000-0005-0000-0000-0000354D0000}"/>
    <cellStyle name="40% - Accent6 3 2 6 3" xfId="22667" xr:uid="{00000000-0005-0000-0000-0000364D0000}"/>
    <cellStyle name="40% - Accent6 3 2 7" xfId="4985" xr:uid="{00000000-0005-0000-0000-0000374D0000}"/>
    <cellStyle name="40% - Accent6 3 2 7 2" xfId="13612" xr:uid="{00000000-0005-0000-0000-0000384D0000}"/>
    <cellStyle name="40% - Accent6 3 2 7 2 2" xfId="27161" xr:uid="{00000000-0005-0000-0000-0000394D0000}"/>
    <cellStyle name="40% - Accent6 3 2 7 3" xfId="24128" xr:uid="{00000000-0005-0000-0000-00003A4D0000}"/>
    <cellStyle name="40% - Accent6 3 2 8" xfId="4986" xr:uid="{00000000-0005-0000-0000-00003B4D0000}"/>
    <cellStyle name="40% - Accent6 3 2 8 2" xfId="14193" xr:uid="{00000000-0005-0000-0000-00003C4D0000}"/>
    <cellStyle name="40% - Accent6 3 2 8 2 2" xfId="27742" xr:uid="{00000000-0005-0000-0000-00003D4D0000}"/>
    <cellStyle name="40% - Accent6 3 2 8 3" xfId="22666" xr:uid="{00000000-0005-0000-0000-00003E4D0000}"/>
    <cellStyle name="40% - Accent6 3 2 9" xfId="4987" xr:uid="{00000000-0005-0000-0000-00003F4D0000}"/>
    <cellStyle name="40% - Accent6 3 2 9 2" xfId="15522" xr:uid="{00000000-0005-0000-0000-0000404D0000}"/>
    <cellStyle name="40% - Accent6 3 2 9 2 2" xfId="29071" xr:uid="{00000000-0005-0000-0000-0000414D0000}"/>
    <cellStyle name="40% - Accent6 3 2 9 3" xfId="23245" xr:uid="{00000000-0005-0000-0000-0000424D0000}"/>
    <cellStyle name="40% - Accent6 3 3" xfId="4988" xr:uid="{00000000-0005-0000-0000-0000434D0000}"/>
    <cellStyle name="40% - Accent6 3 3 10" xfId="9539" xr:uid="{00000000-0005-0000-0000-0000444D0000}"/>
    <cellStyle name="40% - Accent6 3 3 10 2" xfId="24014" xr:uid="{00000000-0005-0000-0000-0000454D0000}"/>
    <cellStyle name="40% - Accent6 3 3 11" xfId="24126" xr:uid="{00000000-0005-0000-0000-0000464D0000}"/>
    <cellStyle name="40% - Accent6 3 3 2" xfId="4989" xr:uid="{00000000-0005-0000-0000-0000474D0000}"/>
    <cellStyle name="40% - Accent6 3 3 2 2" xfId="4990" xr:uid="{00000000-0005-0000-0000-0000484D0000}"/>
    <cellStyle name="40% - Accent6 3 3 2 2 2" xfId="11267" xr:uid="{00000000-0005-0000-0000-0000494D0000}"/>
    <cellStyle name="40% - Accent6 3 3 2 2 2 2" xfId="25209" xr:uid="{00000000-0005-0000-0000-00004A4D0000}"/>
    <cellStyle name="40% - Accent6 3 3 2 2 3" xfId="24125" xr:uid="{00000000-0005-0000-0000-00004B4D0000}"/>
    <cellStyle name="40% - Accent6 3 3 2 3" xfId="4991" xr:uid="{00000000-0005-0000-0000-00004C4D0000}"/>
    <cellStyle name="40% - Accent6 3 3 2 3 2" xfId="13058" xr:uid="{00000000-0005-0000-0000-00004D4D0000}"/>
    <cellStyle name="40% - Accent6 3 3 2 3 2 2" xfId="26770" xr:uid="{00000000-0005-0000-0000-00004E4D0000}"/>
    <cellStyle name="40% - Accent6 3 3 2 3 3" xfId="22664" xr:uid="{00000000-0005-0000-0000-00004F4D0000}"/>
    <cellStyle name="40% - Accent6 3 3 2 4" xfId="4992" xr:uid="{00000000-0005-0000-0000-0000504D0000}"/>
    <cellStyle name="40% - Accent6 3 3 2 4 2" xfId="15529" xr:uid="{00000000-0005-0000-0000-0000514D0000}"/>
    <cellStyle name="40% - Accent6 3 3 2 4 2 2" xfId="29078" xr:uid="{00000000-0005-0000-0000-0000524D0000}"/>
    <cellStyle name="40% - Accent6 3 3 2 4 3" xfId="24124" xr:uid="{00000000-0005-0000-0000-0000534D0000}"/>
    <cellStyle name="40% - Accent6 3 3 2 5" xfId="4993" xr:uid="{00000000-0005-0000-0000-0000544D0000}"/>
    <cellStyle name="40% - Accent6 3 3 2 5 2" xfId="16806" xr:uid="{00000000-0005-0000-0000-0000554D0000}"/>
    <cellStyle name="40% - Accent6 3 3 2 5 2 2" xfId="30213" xr:uid="{00000000-0005-0000-0000-0000564D0000}"/>
    <cellStyle name="40% - Accent6 3 3 2 5 3" xfId="22663" xr:uid="{00000000-0005-0000-0000-0000574D0000}"/>
    <cellStyle name="40% - Accent6 3 3 2 6" xfId="9540" xr:uid="{00000000-0005-0000-0000-0000584D0000}"/>
    <cellStyle name="40% - Accent6 3 3 2 6 2" xfId="24015" xr:uid="{00000000-0005-0000-0000-0000594D0000}"/>
    <cellStyle name="40% - Accent6 3 3 2 7" xfId="22665" xr:uid="{00000000-0005-0000-0000-00005A4D0000}"/>
    <cellStyle name="40% - Accent6 3 3 3" xfId="4994" xr:uid="{00000000-0005-0000-0000-00005B4D0000}"/>
    <cellStyle name="40% - Accent6 3 3 3 2" xfId="4995" xr:uid="{00000000-0005-0000-0000-00005C4D0000}"/>
    <cellStyle name="40% - Accent6 3 3 3 2 2" xfId="15530" xr:uid="{00000000-0005-0000-0000-00005D4D0000}"/>
    <cellStyle name="40% - Accent6 3 3 3 2 2 2" xfId="29079" xr:uid="{00000000-0005-0000-0000-00005E4D0000}"/>
    <cellStyle name="40% - Accent6 3 3 3 2 3" xfId="22662" xr:uid="{00000000-0005-0000-0000-00005F4D0000}"/>
    <cellStyle name="40% - Accent6 3 3 3 3" xfId="11266" xr:uid="{00000000-0005-0000-0000-0000604D0000}"/>
    <cellStyle name="40% - Accent6 3 3 3 3 2" xfId="25208" xr:uid="{00000000-0005-0000-0000-0000614D0000}"/>
    <cellStyle name="40% - Accent6 3 3 3 4" xfId="24123" xr:uid="{00000000-0005-0000-0000-0000624D0000}"/>
    <cellStyle name="40% - Accent6 3 3 4" xfId="4996" xr:uid="{00000000-0005-0000-0000-0000634D0000}"/>
    <cellStyle name="40% - Accent6 3 3 4 2" xfId="12194" xr:uid="{00000000-0005-0000-0000-0000644D0000}"/>
    <cellStyle name="40% - Accent6 3 3 4 2 2" xfId="25906" xr:uid="{00000000-0005-0000-0000-0000654D0000}"/>
    <cellStyle name="40% - Accent6 3 3 4 3" xfId="24121" xr:uid="{00000000-0005-0000-0000-0000664D0000}"/>
    <cellStyle name="40% - Accent6 3 3 5" xfId="4997" xr:uid="{00000000-0005-0000-0000-0000674D0000}"/>
    <cellStyle name="40% - Accent6 3 3 5 2" xfId="13057" xr:uid="{00000000-0005-0000-0000-0000684D0000}"/>
    <cellStyle name="40% - Accent6 3 3 5 2 2" xfId="26769" xr:uid="{00000000-0005-0000-0000-0000694D0000}"/>
    <cellStyle name="40% - Accent6 3 3 5 3" xfId="24122" xr:uid="{00000000-0005-0000-0000-00006A4D0000}"/>
    <cellStyle name="40% - Accent6 3 3 6" xfId="4998" xr:uid="{00000000-0005-0000-0000-00006B4D0000}"/>
    <cellStyle name="40% - Accent6 3 3 6 2" xfId="13758" xr:uid="{00000000-0005-0000-0000-00006C4D0000}"/>
    <cellStyle name="40% - Accent6 3 3 6 2 2" xfId="27307" xr:uid="{00000000-0005-0000-0000-00006D4D0000}"/>
    <cellStyle name="40% - Accent6 3 3 6 3" xfId="22661" xr:uid="{00000000-0005-0000-0000-00006E4D0000}"/>
    <cellStyle name="40% - Accent6 3 3 7" xfId="4999" xr:uid="{00000000-0005-0000-0000-00006F4D0000}"/>
    <cellStyle name="40% - Accent6 3 3 7 2" xfId="14339" xr:uid="{00000000-0005-0000-0000-0000704D0000}"/>
    <cellStyle name="40% - Accent6 3 3 7 2 2" xfId="27888" xr:uid="{00000000-0005-0000-0000-0000714D0000}"/>
    <cellStyle name="40% - Accent6 3 3 7 3" xfId="22660" xr:uid="{00000000-0005-0000-0000-0000724D0000}"/>
    <cellStyle name="40% - Accent6 3 3 8" xfId="5000" xr:uid="{00000000-0005-0000-0000-0000734D0000}"/>
    <cellStyle name="40% - Accent6 3 3 8 2" xfId="15528" xr:uid="{00000000-0005-0000-0000-0000744D0000}"/>
    <cellStyle name="40% - Accent6 3 3 8 2 2" xfId="29077" xr:uid="{00000000-0005-0000-0000-0000754D0000}"/>
    <cellStyle name="40% - Accent6 3 3 8 3" xfId="24120" xr:uid="{00000000-0005-0000-0000-0000764D0000}"/>
    <cellStyle name="40% - Accent6 3 3 9" xfId="5001" xr:uid="{00000000-0005-0000-0000-0000774D0000}"/>
    <cellStyle name="40% - Accent6 3 3 9 2" xfId="16225" xr:uid="{00000000-0005-0000-0000-0000784D0000}"/>
    <cellStyle name="40% - Accent6 3 3 9 2 2" xfId="29632" xr:uid="{00000000-0005-0000-0000-0000794D0000}"/>
    <cellStyle name="40% - Accent6 3 3 9 3" xfId="26814" xr:uid="{00000000-0005-0000-0000-00007A4D0000}"/>
    <cellStyle name="40% - Accent6 3 4" xfId="5002" xr:uid="{00000000-0005-0000-0000-00007B4D0000}"/>
    <cellStyle name="40% - Accent6 3 4 2" xfId="5003" xr:uid="{00000000-0005-0000-0000-00007C4D0000}"/>
    <cellStyle name="40% - Accent6 3 4 2 2" xfId="11268" xr:uid="{00000000-0005-0000-0000-00007D4D0000}"/>
    <cellStyle name="40% - Accent6 3 4 2 2 2" xfId="25210" xr:uid="{00000000-0005-0000-0000-00007E4D0000}"/>
    <cellStyle name="40% - Accent6 3 4 2 3" xfId="26815" xr:uid="{00000000-0005-0000-0000-00007F4D0000}"/>
    <cellStyle name="40% - Accent6 3 4 3" xfId="5004" xr:uid="{00000000-0005-0000-0000-0000804D0000}"/>
    <cellStyle name="40% - Accent6 3 4 3 2" xfId="13059" xr:uid="{00000000-0005-0000-0000-0000814D0000}"/>
    <cellStyle name="40% - Accent6 3 4 3 2 2" xfId="26771" xr:uid="{00000000-0005-0000-0000-0000824D0000}"/>
    <cellStyle name="40% - Accent6 3 4 3 3" xfId="22658" xr:uid="{00000000-0005-0000-0000-0000834D0000}"/>
    <cellStyle name="40% - Accent6 3 4 4" xfId="5005" xr:uid="{00000000-0005-0000-0000-0000844D0000}"/>
    <cellStyle name="40% - Accent6 3 4 4 2" xfId="15531" xr:uid="{00000000-0005-0000-0000-0000854D0000}"/>
    <cellStyle name="40% - Accent6 3 4 4 2 2" xfId="29080" xr:uid="{00000000-0005-0000-0000-0000864D0000}"/>
    <cellStyle name="40% - Accent6 3 4 4 3" xfId="22657" xr:uid="{00000000-0005-0000-0000-0000874D0000}"/>
    <cellStyle name="40% - Accent6 3 4 5" xfId="5006" xr:uid="{00000000-0005-0000-0000-0000884D0000}"/>
    <cellStyle name="40% - Accent6 3 4 5 2" xfId="17153" xr:uid="{00000000-0005-0000-0000-0000894D0000}"/>
    <cellStyle name="40% - Accent6 3 4 5 2 2" xfId="30512" xr:uid="{00000000-0005-0000-0000-00008A4D0000}"/>
    <cellStyle name="40% - Accent6 3 4 5 3" xfId="24118" xr:uid="{00000000-0005-0000-0000-00008B4D0000}"/>
    <cellStyle name="40% - Accent6 3 4 6" xfId="9541" xr:uid="{00000000-0005-0000-0000-00008C4D0000}"/>
    <cellStyle name="40% - Accent6 3 4 6 2" xfId="24016" xr:uid="{00000000-0005-0000-0000-00008D4D0000}"/>
    <cellStyle name="40% - Accent6 3 4 7" xfId="22659" xr:uid="{00000000-0005-0000-0000-00008E4D0000}"/>
    <cellStyle name="40% - Accent6 3 5" xfId="5007" xr:uid="{00000000-0005-0000-0000-00008F4D0000}"/>
    <cellStyle name="40% - Accent6 3 5 2" xfId="5008" xr:uid="{00000000-0005-0000-0000-0000904D0000}"/>
    <cellStyle name="40% - Accent6 3 5 2 2" xfId="11269" xr:uid="{00000000-0005-0000-0000-0000914D0000}"/>
    <cellStyle name="40% - Accent6 3 5 2 2 2" xfId="25211" xr:uid="{00000000-0005-0000-0000-0000924D0000}"/>
    <cellStyle name="40% - Accent6 3 5 2 3" xfId="22656" xr:uid="{00000000-0005-0000-0000-0000934D0000}"/>
    <cellStyle name="40% - Accent6 3 5 3" xfId="5009" xr:uid="{00000000-0005-0000-0000-0000944D0000}"/>
    <cellStyle name="40% - Accent6 3 5 3 2" xfId="13060" xr:uid="{00000000-0005-0000-0000-0000954D0000}"/>
    <cellStyle name="40% - Accent6 3 5 3 2 2" xfId="26772" xr:uid="{00000000-0005-0000-0000-0000964D0000}"/>
    <cellStyle name="40% - Accent6 3 5 3 3" xfId="22655" xr:uid="{00000000-0005-0000-0000-0000974D0000}"/>
    <cellStyle name="40% - Accent6 3 5 4" xfId="5010" xr:uid="{00000000-0005-0000-0000-0000984D0000}"/>
    <cellStyle name="40% - Accent6 3 5 4 2" xfId="15532" xr:uid="{00000000-0005-0000-0000-0000994D0000}"/>
    <cellStyle name="40% - Accent6 3 5 4 2 2" xfId="29081" xr:uid="{00000000-0005-0000-0000-00009A4D0000}"/>
    <cellStyle name="40% - Accent6 3 5 4 3" xfId="24117" xr:uid="{00000000-0005-0000-0000-00009B4D0000}"/>
    <cellStyle name="40% - Accent6 3 5 5" xfId="5011" xr:uid="{00000000-0005-0000-0000-00009C4D0000}"/>
    <cellStyle name="40% - Accent6 3 5 5 2" xfId="17242" xr:uid="{00000000-0005-0000-0000-00009D4D0000}"/>
    <cellStyle name="40% - Accent6 3 5 5 2 2" xfId="30601" xr:uid="{00000000-0005-0000-0000-00009E4D0000}"/>
    <cellStyle name="40% - Accent6 3 5 5 3" xfId="22654" xr:uid="{00000000-0005-0000-0000-00009F4D0000}"/>
    <cellStyle name="40% - Accent6 3 5 6" xfId="9542" xr:uid="{00000000-0005-0000-0000-0000A04D0000}"/>
    <cellStyle name="40% - Accent6 3 5 6 2" xfId="24017" xr:uid="{00000000-0005-0000-0000-0000A14D0000}"/>
    <cellStyle name="40% - Accent6 3 5 7" xfId="24119" xr:uid="{00000000-0005-0000-0000-0000A24D0000}"/>
    <cellStyle name="40% - Accent6 3 6" xfId="5012" xr:uid="{00000000-0005-0000-0000-0000A34D0000}"/>
    <cellStyle name="40% - Accent6 3 6 2" xfId="5013" xr:uid="{00000000-0005-0000-0000-0000A44D0000}"/>
    <cellStyle name="40% - Accent6 3 6 2 2" xfId="15533" xr:uid="{00000000-0005-0000-0000-0000A54D0000}"/>
    <cellStyle name="40% - Accent6 3 6 2 2 2" xfId="29082" xr:uid="{00000000-0005-0000-0000-0000A64D0000}"/>
    <cellStyle name="40% - Accent6 3 6 2 3" xfId="22653" xr:uid="{00000000-0005-0000-0000-0000A74D0000}"/>
    <cellStyle name="40% - Accent6 3 6 3" xfId="5014" xr:uid="{00000000-0005-0000-0000-0000A84D0000}"/>
    <cellStyle name="40% - Accent6 3 6 3 2" xfId="16517" xr:uid="{00000000-0005-0000-0000-0000A94D0000}"/>
    <cellStyle name="40% - Accent6 3 6 3 2 2" xfId="29924" xr:uid="{00000000-0005-0000-0000-0000AA4D0000}"/>
    <cellStyle name="40% - Accent6 3 6 3 3" xfId="25248" xr:uid="{00000000-0005-0000-0000-0000AB4D0000}"/>
    <cellStyle name="40% - Accent6 3 6 4" xfId="11261" xr:uid="{00000000-0005-0000-0000-0000AC4D0000}"/>
    <cellStyle name="40% - Accent6 3 6 4 2" xfId="25203" xr:uid="{00000000-0005-0000-0000-0000AD4D0000}"/>
    <cellStyle name="40% - Accent6 3 6 5" xfId="24114" xr:uid="{00000000-0005-0000-0000-0000AE4D0000}"/>
    <cellStyle name="40% - Accent6 3 7" xfId="5015" xr:uid="{00000000-0005-0000-0000-0000AF4D0000}"/>
    <cellStyle name="40% - Accent6 3 7 2" xfId="11889" xr:uid="{00000000-0005-0000-0000-0000B04D0000}"/>
    <cellStyle name="40% - Accent6 3 7 2 2" xfId="25604" xr:uid="{00000000-0005-0000-0000-0000B14D0000}"/>
    <cellStyle name="40% - Accent6 3 7 3" xfId="22652" xr:uid="{00000000-0005-0000-0000-0000B24D0000}"/>
    <cellStyle name="40% - Accent6 3 8" xfId="5016" xr:uid="{00000000-0005-0000-0000-0000B34D0000}"/>
    <cellStyle name="40% - Accent6 3 8 2" xfId="13052" xr:uid="{00000000-0005-0000-0000-0000B44D0000}"/>
    <cellStyle name="40% - Accent6 3 8 2 2" xfId="26764" xr:uid="{00000000-0005-0000-0000-0000B54D0000}"/>
    <cellStyle name="40% - Accent6 3 8 3" xfId="24438" xr:uid="{00000000-0005-0000-0000-0000B64D0000}"/>
    <cellStyle name="40% - Accent6 3 9" xfId="5017" xr:uid="{00000000-0005-0000-0000-0000B74D0000}"/>
    <cellStyle name="40% - Accent6 3 9 2" xfId="13469" xr:uid="{00000000-0005-0000-0000-0000B84D0000}"/>
    <cellStyle name="40% - Accent6 3 9 2 2" xfId="27018" xr:uid="{00000000-0005-0000-0000-0000B94D0000}"/>
    <cellStyle name="40% - Accent6 3 9 3" xfId="29134" xr:uid="{00000000-0005-0000-0000-0000BA4D0000}"/>
    <cellStyle name="40% - Accent6 30" xfId="23264" xr:uid="{00000000-0005-0000-0000-0000BB4D0000}"/>
    <cellStyle name="40% - Accent6 4" xfId="5018" xr:uid="{00000000-0005-0000-0000-0000BC4D0000}"/>
    <cellStyle name="40% - Accent6 4 10" xfId="5019" xr:uid="{00000000-0005-0000-0000-0000BD4D0000}"/>
    <cellStyle name="40% - Accent6 4 10 2" xfId="15534" xr:uid="{00000000-0005-0000-0000-0000BE4D0000}"/>
    <cellStyle name="40% - Accent6 4 10 2 2" xfId="29083" xr:uid="{00000000-0005-0000-0000-0000BF4D0000}"/>
    <cellStyle name="40% - Accent6 4 10 3" xfId="22650" xr:uid="{00000000-0005-0000-0000-0000C04D0000}"/>
    <cellStyle name="40% - Accent6 4 11" xfId="5020" xr:uid="{00000000-0005-0000-0000-0000C14D0000}"/>
    <cellStyle name="40% - Accent6 4 11 2" xfId="15890" xr:uid="{00000000-0005-0000-0000-0000C24D0000}"/>
    <cellStyle name="40% - Accent6 4 11 2 2" xfId="29297" xr:uid="{00000000-0005-0000-0000-0000C34D0000}"/>
    <cellStyle name="40% - Accent6 4 11 3" xfId="24116" xr:uid="{00000000-0005-0000-0000-0000C44D0000}"/>
    <cellStyle name="40% - Accent6 4 12" xfId="9543" xr:uid="{00000000-0005-0000-0000-0000C54D0000}"/>
    <cellStyle name="40% - Accent6 4 12 2" xfId="24018" xr:uid="{00000000-0005-0000-0000-0000C64D0000}"/>
    <cellStyle name="40% - Accent6 4 13" xfId="22651" xr:uid="{00000000-0005-0000-0000-0000C74D0000}"/>
    <cellStyle name="40% - Accent6 4 2" xfId="5021" xr:uid="{00000000-0005-0000-0000-0000C84D0000}"/>
    <cellStyle name="40% - Accent6 4 2 10" xfId="5022" xr:uid="{00000000-0005-0000-0000-0000C94D0000}"/>
    <cellStyle name="40% - Accent6 4 2 10 2" xfId="16033" xr:uid="{00000000-0005-0000-0000-0000CA4D0000}"/>
    <cellStyle name="40% - Accent6 4 2 10 2 2" xfId="29440" xr:uid="{00000000-0005-0000-0000-0000CB4D0000}"/>
    <cellStyle name="40% - Accent6 4 2 10 3" xfId="24115" xr:uid="{00000000-0005-0000-0000-0000CC4D0000}"/>
    <cellStyle name="40% - Accent6 4 2 11" xfId="9544" xr:uid="{00000000-0005-0000-0000-0000CD4D0000}"/>
    <cellStyle name="40% - Accent6 4 2 11 2" xfId="24019" xr:uid="{00000000-0005-0000-0000-0000CE4D0000}"/>
    <cellStyle name="40% - Accent6 4 2 12" xfId="22649" xr:uid="{00000000-0005-0000-0000-0000CF4D0000}"/>
    <cellStyle name="40% - Accent6 4 2 2" xfId="5023" xr:uid="{00000000-0005-0000-0000-0000D04D0000}"/>
    <cellStyle name="40% - Accent6 4 2 2 10" xfId="9545" xr:uid="{00000000-0005-0000-0000-0000D14D0000}"/>
    <cellStyle name="40% - Accent6 4 2 2 10 2" xfId="24020" xr:uid="{00000000-0005-0000-0000-0000D24D0000}"/>
    <cellStyle name="40% - Accent6 4 2 2 11" xfId="22648" xr:uid="{00000000-0005-0000-0000-0000D34D0000}"/>
    <cellStyle name="40% - Accent6 4 2 2 2" xfId="5024" xr:uid="{00000000-0005-0000-0000-0000D44D0000}"/>
    <cellStyle name="40% - Accent6 4 2 2 2 2" xfId="5025" xr:uid="{00000000-0005-0000-0000-0000D54D0000}"/>
    <cellStyle name="40% - Accent6 4 2 2 2 2 2" xfId="11273" xr:uid="{00000000-0005-0000-0000-0000D64D0000}"/>
    <cellStyle name="40% - Accent6 4 2 2 2 2 2 2" xfId="25215" xr:uid="{00000000-0005-0000-0000-0000D74D0000}"/>
    <cellStyle name="40% - Accent6 4 2 2 2 2 3" xfId="24113" xr:uid="{00000000-0005-0000-0000-0000D84D0000}"/>
    <cellStyle name="40% - Accent6 4 2 2 2 3" xfId="5026" xr:uid="{00000000-0005-0000-0000-0000D94D0000}"/>
    <cellStyle name="40% - Accent6 4 2 2 2 3 2" xfId="13064" xr:uid="{00000000-0005-0000-0000-0000DA4D0000}"/>
    <cellStyle name="40% - Accent6 4 2 2 2 3 2 2" xfId="26776" xr:uid="{00000000-0005-0000-0000-0000DB4D0000}"/>
    <cellStyle name="40% - Accent6 4 2 2 2 3 3" xfId="22647" xr:uid="{00000000-0005-0000-0000-0000DC4D0000}"/>
    <cellStyle name="40% - Accent6 4 2 2 2 4" xfId="5027" xr:uid="{00000000-0005-0000-0000-0000DD4D0000}"/>
    <cellStyle name="40% - Accent6 4 2 2 2 4 2" xfId="15537" xr:uid="{00000000-0005-0000-0000-0000DE4D0000}"/>
    <cellStyle name="40% - Accent6 4 2 2 2 4 2 2" xfId="29086" xr:uid="{00000000-0005-0000-0000-0000DF4D0000}"/>
    <cellStyle name="40% - Accent6 4 2 2 2 4 3" xfId="24112" xr:uid="{00000000-0005-0000-0000-0000E04D0000}"/>
    <cellStyle name="40% - Accent6 4 2 2 2 5" xfId="5028" xr:uid="{00000000-0005-0000-0000-0000E14D0000}"/>
    <cellStyle name="40% - Accent6 4 2 2 2 5 2" xfId="16903" xr:uid="{00000000-0005-0000-0000-0000E24D0000}"/>
    <cellStyle name="40% - Accent6 4 2 2 2 5 2 2" xfId="30310" xr:uid="{00000000-0005-0000-0000-0000E34D0000}"/>
    <cellStyle name="40% - Accent6 4 2 2 2 5 3" xfId="22646" xr:uid="{00000000-0005-0000-0000-0000E44D0000}"/>
    <cellStyle name="40% - Accent6 4 2 2 2 6" xfId="9546" xr:uid="{00000000-0005-0000-0000-0000E54D0000}"/>
    <cellStyle name="40% - Accent6 4 2 2 2 6 2" xfId="24021" xr:uid="{00000000-0005-0000-0000-0000E64D0000}"/>
    <cellStyle name="40% - Accent6 4 2 2 2 7" xfId="23265" xr:uid="{00000000-0005-0000-0000-0000E74D0000}"/>
    <cellStyle name="40% - Accent6 4 2 2 3" xfId="5029" xr:uid="{00000000-0005-0000-0000-0000E84D0000}"/>
    <cellStyle name="40% - Accent6 4 2 2 3 2" xfId="5030" xr:uid="{00000000-0005-0000-0000-0000E94D0000}"/>
    <cellStyle name="40% - Accent6 4 2 2 3 2 2" xfId="15538" xr:uid="{00000000-0005-0000-0000-0000EA4D0000}"/>
    <cellStyle name="40% - Accent6 4 2 2 3 2 2 2" xfId="29087" xr:uid="{00000000-0005-0000-0000-0000EB4D0000}"/>
    <cellStyle name="40% - Accent6 4 2 2 3 2 3" xfId="22645" xr:uid="{00000000-0005-0000-0000-0000EC4D0000}"/>
    <cellStyle name="40% - Accent6 4 2 2 3 3" xfId="11272" xr:uid="{00000000-0005-0000-0000-0000ED4D0000}"/>
    <cellStyle name="40% - Accent6 4 2 2 3 3 2" xfId="25214" xr:uid="{00000000-0005-0000-0000-0000EE4D0000}"/>
    <cellStyle name="40% - Accent6 4 2 2 3 4" xfId="24111" xr:uid="{00000000-0005-0000-0000-0000EF4D0000}"/>
    <cellStyle name="40% - Accent6 4 2 2 4" xfId="5031" xr:uid="{00000000-0005-0000-0000-0000F04D0000}"/>
    <cellStyle name="40% - Accent6 4 2 2 4 2" xfId="12291" xr:uid="{00000000-0005-0000-0000-0000F14D0000}"/>
    <cellStyle name="40% - Accent6 4 2 2 4 2 2" xfId="26003" xr:uid="{00000000-0005-0000-0000-0000F24D0000}"/>
    <cellStyle name="40% - Accent6 4 2 2 4 3" xfId="24110" xr:uid="{00000000-0005-0000-0000-0000F34D0000}"/>
    <cellStyle name="40% - Accent6 4 2 2 5" xfId="5032" xr:uid="{00000000-0005-0000-0000-0000F44D0000}"/>
    <cellStyle name="40% - Accent6 4 2 2 5 2" xfId="13063" xr:uid="{00000000-0005-0000-0000-0000F54D0000}"/>
    <cellStyle name="40% - Accent6 4 2 2 5 2 2" xfId="26775" xr:uid="{00000000-0005-0000-0000-0000F64D0000}"/>
    <cellStyle name="40% - Accent6 4 2 2 5 3" xfId="22644" xr:uid="{00000000-0005-0000-0000-0000F74D0000}"/>
    <cellStyle name="40% - Accent6 4 2 2 6" xfId="5033" xr:uid="{00000000-0005-0000-0000-0000F84D0000}"/>
    <cellStyle name="40% - Accent6 4 2 2 6 2" xfId="13855" xr:uid="{00000000-0005-0000-0000-0000F94D0000}"/>
    <cellStyle name="40% - Accent6 4 2 2 6 2 2" xfId="27404" xr:uid="{00000000-0005-0000-0000-0000FA4D0000}"/>
    <cellStyle name="40% - Accent6 4 2 2 6 3" xfId="24108" xr:uid="{00000000-0005-0000-0000-0000FB4D0000}"/>
    <cellStyle name="40% - Accent6 4 2 2 7" xfId="5034" xr:uid="{00000000-0005-0000-0000-0000FC4D0000}"/>
    <cellStyle name="40% - Accent6 4 2 2 7 2" xfId="14436" xr:uid="{00000000-0005-0000-0000-0000FD4D0000}"/>
    <cellStyle name="40% - Accent6 4 2 2 7 2 2" xfId="27985" xr:uid="{00000000-0005-0000-0000-0000FE4D0000}"/>
    <cellStyle name="40% - Accent6 4 2 2 7 3" xfId="24109" xr:uid="{00000000-0005-0000-0000-0000FF4D0000}"/>
    <cellStyle name="40% - Accent6 4 2 2 8" xfId="5035" xr:uid="{00000000-0005-0000-0000-0000004E0000}"/>
    <cellStyle name="40% - Accent6 4 2 2 8 2" xfId="15536" xr:uid="{00000000-0005-0000-0000-0000014E0000}"/>
    <cellStyle name="40% - Accent6 4 2 2 8 2 2" xfId="29085" xr:uid="{00000000-0005-0000-0000-0000024E0000}"/>
    <cellStyle name="40% - Accent6 4 2 2 8 3" xfId="22643" xr:uid="{00000000-0005-0000-0000-0000034E0000}"/>
    <cellStyle name="40% - Accent6 4 2 2 9" xfId="5036" xr:uid="{00000000-0005-0000-0000-0000044E0000}"/>
    <cellStyle name="40% - Accent6 4 2 2 9 2" xfId="16322" xr:uid="{00000000-0005-0000-0000-0000054E0000}"/>
    <cellStyle name="40% - Accent6 4 2 2 9 2 2" xfId="29729" xr:uid="{00000000-0005-0000-0000-0000064E0000}"/>
    <cellStyle name="40% - Accent6 4 2 2 9 3" xfId="22642" xr:uid="{00000000-0005-0000-0000-0000074E0000}"/>
    <cellStyle name="40% - Accent6 4 2 3" xfId="5037" xr:uid="{00000000-0005-0000-0000-0000084E0000}"/>
    <cellStyle name="40% - Accent6 4 2 3 2" xfId="5038" xr:uid="{00000000-0005-0000-0000-0000094E0000}"/>
    <cellStyle name="40% - Accent6 4 2 3 2 2" xfId="11274" xr:uid="{00000000-0005-0000-0000-00000A4E0000}"/>
    <cellStyle name="40% - Accent6 4 2 3 2 2 2" xfId="25216" xr:uid="{00000000-0005-0000-0000-00000B4E0000}"/>
    <cellStyle name="40% - Accent6 4 2 3 2 3" xfId="26812" xr:uid="{00000000-0005-0000-0000-00000C4E0000}"/>
    <cellStyle name="40% - Accent6 4 2 3 3" xfId="5039" xr:uid="{00000000-0005-0000-0000-00000D4E0000}"/>
    <cellStyle name="40% - Accent6 4 2 3 3 2" xfId="13065" xr:uid="{00000000-0005-0000-0000-00000E4E0000}"/>
    <cellStyle name="40% - Accent6 4 2 3 3 2 2" xfId="26777" xr:uid="{00000000-0005-0000-0000-00000F4E0000}"/>
    <cellStyle name="40% - Accent6 4 2 3 3 3" xfId="22641" xr:uid="{00000000-0005-0000-0000-0000104E0000}"/>
    <cellStyle name="40% - Accent6 4 2 3 4" xfId="5040" xr:uid="{00000000-0005-0000-0000-0000114E0000}"/>
    <cellStyle name="40% - Accent6 4 2 3 4 2" xfId="15539" xr:uid="{00000000-0005-0000-0000-0000124E0000}"/>
    <cellStyle name="40% - Accent6 4 2 3 4 2 2" xfId="29088" xr:uid="{00000000-0005-0000-0000-0000134E0000}"/>
    <cellStyle name="40% - Accent6 4 2 3 4 3" xfId="26813" xr:uid="{00000000-0005-0000-0000-0000144E0000}"/>
    <cellStyle name="40% - Accent6 4 2 3 5" xfId="5041" xr:uid="{00000000-0005-0000-0000-0000154E0000}"/>
    <cellStyle name="40% - Accent6 4 2 3 5 2" xfId="16614" xr:uid="{00000000-0005-0000-0000-0000164E0000}"/>
    <cellStyle name="40% - Accent6 4 2 3 5 2 2" xfId="30021" xr:uid="{00000000-0005-0000-0000-0000174E0000}"/>
    <cellStyle name="40% - Accent6 4 2 3 5 3" xfId="22640" xr:uid="{00000000-0005-0000-0000-0000184E0000}"/>
    <cellStyle name="40% - Accent6 4 2 3 6" xfId="9547" xr:uid="{00000000-0005-0000-0000-0000194E0000}"/>
    <cellStyle name="40% - Accent6 4 2 3 6 2" xfId="24022" xr:uid="{00000000-0005-0000-0000-00001A4E0000}"/>
    <cellStyle name="40% - Accent6 4 2 3 7" xfId="24107" xr:uid="{00000000-0005-0000-0000-00001B4E0000}"/>
    <cellStyle name="40% - Accent6 4 2 4" xfId="5042" xr:uid="{00000000-0005-0000-0000-00001C4E0000}"/>
    <cellStyle name="40% - Accent6 4 2 4 2" xfId="5043" xr:uid="{00000000-0005-0000-0000-00001D4E0000}"/>
    <cellStyle name="40% - Accent6 4 2 4 2 2" xfId="15540" xr:uid="{00000000-0005-0000-0000-00001E4E0000}"/>
    <cellStyle name="40% - Accent6 4 2 4 2 2 2" xfId="29089" xr:uid="{00000000-0005-0000-0000-00001F4E0000}"/>
    <cellStyle name="40% - Accent6 4 2 4 2 3" xfId="24105" xr:uid="{00000000-0005-0000-0000-0000204E0000}"/>
    <cellStyle name="40% - Accent6 4 2 4 3" xfId="11271" xr:uid="{00000000-0005-0000-0000-0000214E0000}"/>
    <cellStyle name="40% - Accent6 4 2 4 3 2" xfId="25213" xr:uid="{00000000-0005-0000-0000-0000224E0000}"/>
    <cellStyle name="40% - Accent6 4 2 4 4" xfId="22639" xr:uid="{00000000-0005-0000-0000-0000234E0000}"/>
    <cellStyle name="40% - Accent6 4 2 5" xfId="5044" xr:uid="{00000000-0005-0000-0000-0000244E0000}"/>
    <cellStyle name="40% - Accent6 4 2 5 2" xfId="11991" xr:uid="{00000000-0005-0000-0000-0000254E0000}"/>
    <cellStyle name="40% - Accent6 4 2 5 2 2" xfId="25706" xr:uid="{00000000-0005-0000-0000-0000264E0000}"/>
    <cellStyle name="40% - Accent6 4 2 5 3" xfId="24106" xr:uid="{00000000-0005-0000-0000-0000274E0000}"/>
    <cellStyle name="40% - Accent6 4 2 6" xfId="5045" xr:uid="{00000000-0005-0000-0000-0000284E0000}"/>
    <cellStyle name="40% - Accent6 4 2 6 2" xfId="13062" xr:uid="{00000000-0005-0000-0000-0000294E0000}"/>
    <cellStyle name="40% - Accent6 4 2 6 2 2" xfId="26774" xr:uid="{00000000-0005-0000-0000-00002A4E0000}"/>
    <cellStyle name="40% - Accent6 4 2 6 3" xfId="22638" xr:uid="{00000000-0005-0000-0000-00002B4E0000}"/>
    <cellStyle name="40% - Accent6 4 2 7" xfId="5046" xr:uid="{00000000-0005-0000-0000-00002C4E0000}"/>
    <cellStyle name="40% - Accent6 4 2 7 2" xfId="13566" xr:uid="{00000000-0005-0000-0000-00002D4E0000}"/>
    <cellStyle name="40% - Accent6 4 2 7 2 2" xfId="27115" xr:uid="{00000000-0005-0000-0000-00002E4E0000}"/>
    <cellStyle name="40% - Accent6 4 2 7 3" xfId="22637" xr:uid="{00000000-0005-0000-0000-00002F4E0000}"/>
    <cellStyle name="40% - Accent6 4 2 8" xfId="5047" xr:uid="{00000000-0005-0000-0000-0000304E0000}"/>
    <cellStyle name="40% - Accent6 4 2 8 2" xfId="14147" xr:uid="{00000000-0005-0000-0000-0000314E0000}"/>
    <cellStyle name="40% - Accent6 4 2 8 2 2" xfId="27696" xr:uid="{00000000-0005-0000-0000-0000324E0000}"/>
    <cellStyle name="40% - Accent6 4 2 8 3" xfId="24104" xr:uid="{00000000-0005-0000-0000-0000334E0000}"/>
    <cellStyle name="40% - Accent6 4 2 9" xfId="5048" xr:uid="{00000000-0005-0000-0000-0000344E0000}"/>
    <cellStyle name="40% - Accent6 4 2 9 2" xfId="15535" xr:uid="{00000000-0005-0000-0000-0000354E0000}"/>
    <cellStyle name="40% - Accent6 4 2 9 2 2" xfId="29084" xr:uid="{00000000-0005-0000-0000-0000364E0000}"/>
    <cellStyle name="40% - Accent6 4 2 9 3" xfId="22636" xr:uid="{00000000-0005-0000-0000-0000374E0000}"/>
    <cellStyle name="40% - Accent6 4 3" xfId="5049" xr:uid="{00000000-0005-0000-0000-0000384E0000}"/>
    <cellStyle name="40% - Accent6 4 3 10" xfId="9548" xr:uid="{00000000-0005-0000-0000-0000394E0000}"/>
    <cellStyle name="40% - Accent6 4 3 10 2" xfId="24023" xr:uid="{00000000-0005-0000-0000-00003A4E0000}"/>
    <cellStyle name="40% - Accent6 4 3 11" xfId="24101" xr:uid="{00000000-0005-0000-0000-00003B4E0000}"/>
    <cellStyle name="40% - Accent6 4 3 2" xfId="5050" xr:uid="{00000000-0005-0000-0000-00003C4E0000}"/>
    <cellStyle name="40% - Accent6 4 3 2 2" xfId="5051" xr:uid="{00000000-0005-0000-0000-00003D4E0000}"/>
    <cellStyle name="40% - Accent6 4 3 2 2 2" xfId="11276" xr:uid="{00000000-0005-0000-0000-00003E4E0000}"/>
    <cellStyle name="40% - Accent6 4 3 2 2 2 2" xfId="25218" xr:uid="{00000000-0005-0000-0000-00003F4E0000}"/>
    <cellStyle name="40% - Accent6 4 3 2 2 3" xfId="25247" xr:uid="{00000000-0005-0000-0000-0000404E0000}"/>
    <cellStyle name="40% - Accent6 4 3 2 3" xfId="5052" xr:uid="{00000000-0005-0000-0000-0000414E0000}"/>
    <cellStyle name="40% - Accent6 4 3 2 3 2" xfId="13067" xr:uid="{00000000-0005-0000-0000-0000424E0000}"/>
    <cellStyle name="40% - Accent6 4 3 2 3 2 2" xfId="26779" xr:uid="{00000000-0005-0000-0000-0000434E0000}"/>
    <cellStyle name="40% - Accent6 4 3 2 3 3" xfId="22634" xr:uid="{00000000-0005-0000-0000-0000444E0000}"/>
    <cellStyle name="40% - Accent6 4 3 2 4" xfId="5053" xr:uid="{00000000-0005-0000-0000-0000454E0000}"/>
    <cellStyle name="40% - Accent6 4 3 2 4 2" xfId="15542" xr:uid="{00000000-0005-0000-0000-0000464E0000}"/>
    <cellStyle name="40% - Accent6 4 3 2 4 2 2" xfId="29091" xr:uid="{00000000-0005-0000-0000-0000474E0000}"/>
    <cellStyle name="40% - Accent6 4 3 2 4 3" xfId="24437" xr:uid="{00000000-0005-0000-0000-0000484E0000}"/>
    <cellStyle name="40% - Accent6 4 3 2 5" xfId="5054" xr:uid="{00000000-0005-0000-0000-0000494E0000}"/>
    <cellStyle name="40% - Accent6 4 3 2 5 2" xfId="16763" xr:uid="{00000000-0005-0000-0000-00004A4E0000}"/>
    <cellStyle name="40% - Accent6 4 3 2 5 2 2" xfId="30170" xr:uid="{00000000-0005-0000-0000-00004B4E0000}"/>
    <cellStyle name="40% - Accent6 4 3 2 5 3" xfId="29133" xr:uid="{00000000-0005-0000-0000-00004C4E0000}"/>
    <cellStyle name="40% - Accent6 4 3 2 6" xfId="9549" xr:uid="{00000000-0005-0000-0000-00004D4E0000}"/>
    <cellStyle name="40% - Accent6 4 3 2 6 2" xfId="24024" xr:uid="{00000000-0005-0000-0000-00004E4E0000}"/>
    <cellStyle name="40% - Accent6 4 3 2 7" xfId="22635" xr:uid="{00000000-0005-0000-0000-00004F4E0000}"/>
    <cellStyle name="40% - Accent6 4 3 3" xfId="5055" xr:uid="{00000000-0005-0000-0000-0000504E0000}"/>
    <cellStyle name="40% - Accent6 4 3 3 2" xfId="5056" xr:uid="{00000000-0005-0000-0000-0000514E0000}"/>
    <cellStyle name="40% - Accent6 4 3 3 2 2" xfId="15543" xr:uid="{00000000-0005-0000-0000-0000524E0000}"/>
    <cellStyle name="40% - Accent6 4 3 3 2 2 2" xfId="29092" xr:uid="{00000000-0005-0000-0000-0000534E0000}"/>
    <cellStyle name="40% - Accent6 4 3 3 2 3" xfId="22632" xr:uid="{00000000-0005-0000-0000-0000544E0000}"/>
    <cellStyle name="40% - Accent6 4 3 3 3" xfId="11275" xr:uid="{00000000-0005-0000-0000-0000554E0000}"/>
    <cellStyle name="40% - Accent6 4 3 3 3 2" xfId="25217" xr:uid="{00000000-0005-0000-0000-0000564E0000}"/>
    <cellStyle name="40% - Accent6 4 3 3 4" xfId="22633" xr:uid="{00000000-0005-0000-0000-0000574E0000}"/>
    <cellStyle name="40% - Accent6 4 3 4" xfId="5057" xr:uid="{00000000-0005-0000-0000-0000584E0000}"/>
    <cellStyle name="40% - Accent6 4 3 4 2" xfId="12151" xr:uid="{00000000-0005-0000-0000-0000594E0000}"/>
    <cellStyle name="40% - Accent6 4 3 4 2 2" xfId="25863" xr:uid="{00000000-0005-0000-0000-00005A4E0000}"/>
    <cellStyle name="40% - Accent6 4 3 4 3" xfId="24103" xr:uid="{00000000-0005-0000-0000-00005B4E0000}"/>
    <cellStyle name="40% - Accent6 4 3 5" xfId="5058" xr:uid="{00000000-0005-0000-0000-00005C4E0000}"/>
    <cellStyle name="40% - Accent6 4 3 5 2" xfId="13066" xr:uid="{00000000-0005-0000-0000-00005D4E0000}"/>
    <cellStyle name="40% - Accent6 4 3 5 2 2" xfId="26778" xr:uid="{00000000-0005-0000-0000-00005E4E0000}"/>
    <cellStyle name="40% - Accent6 4 3 5 3" xfId="22631" xr:uid="{00000000-0005-0000-0000-00005F4E0000}"/>
    <cellStyle name="40% - Accent6 4 3 6" xfId="5059" xr:uid="{00000000-0005-0000-0000-0000604E0000}"/>
    <cellStyle name="40% - Accent6 4 3 6 2" xfId="13715" xr:uid="{00000000-0005-0000-0000-0000614E0000}"/>
    <cellStyle name="40% - Accent6 4 3 6 2 2" xfId="27264" xr:uid="{00000000-0005-0000-0000-0000624E0000}"/>
    <cellStyle name="40% - Accent6 4 3 6 3" xfId="24102" xr:uid="{00000000-0005-0000-0000-0000634E0000}"/>
    <cellStyle name="40% - Accent6 4 3 7" xfId="5060" xr:uid="{00000000-0005-0000-0000-0000644E0000}"/>
    <cellStyle name="40% - Accent6 4 3 7 2" xfId="14296" xr:uid="{00000000-0005-0000-0000-0000654E0000}"/>
    <cellStyle name="40% - Accent6 4 3 7 2 2" xfId="27845" xr:uid="{00000000-0005-0000-0000-0000664E0000}"/>
    <cellStyle name="40% - Accent6 4 3 7 3" xfId="22630" xr:uid="{00000000-0005-0000-0000-0000674E0000}"/>
    <cellStyle name="40% - Accent6 4 3 8" xfId="5061" xr:uid="{00000000-0005-0000-0000-0000684E0000}"/>
    <cellStyle name="40% - Accent6 4 3 8 2" xfId="15541" xr:uid="{00000000-0005-0000-0000-0000694E0000}"/>
    <cellStyle name="40% - Accent6 4 3 8 2 2" xfId="29090" xr:uid="{00000000-0005-0000-0000-00006A4E0000}"/>
    <cellStyle name="40% - Accent6 4 3 8 3" xfId="23261" xr:uid="{00000000-0005-0000-0000-00006B4E0000}"/>
    <cellStyle name="40% - Accent6 4 3 9" xfId="5062" xr:uid="{00000000-0005-0000-0000-00006C4E0000}"/>
    <cellStyle name="40% - Accent6 4 3 9 2" xfId="16182" xr:uid="{00000000-0005-0000-0000-00006D4E0000}"/>
    <cellStyle name="40% - Accent6 4 3 9 2 2" xfId="29589" xr:uid="{00000000-0005-0000-0000-00006E4E0000}"/>
    <cellStyle name="40% - Accent6 4 3 9 3" xfId="24100" xr:uid="{00000000-0005-0000-0000-00006F4E0000}"/>
    <cellStyle name="40% - Accent6 4 4" xfId="5063" xr:uid="{00000000-0005-0000-0000-0000704E0000}"/>
    <cellStyle name="40% - Accent6 4 4 2" xfId="5064" xr:uid="{00000000-0005-0000-0000-0000714E0000}"/>
    <cellStyle name="40% - Accent6 4 4 2 2" xfId="11277" xr:uid="{00000000-0005-0000-0000-0000724E0000}"/>
    <cellStyle name="40% - Accent6 4 4 2 2 2" xfId="25219" xr:uid="{00000000-0005-0000-0000-0000734E0000}"/>
    <cellStyle name="40% - Accent6 4 4 2 3" xfId="24099" xr:uid="{00000000-0005-0000-0000-0000744E0000}"/>
    <cellStyle name="40% - Accent6 4 4 3" xfId="5065" xr:uid="{00000000-0005-0000-0000-0000754E0000}"/>
    <cellStyle name="40% - Accent6 4 4 3 2" xfId="13068" xr:uid="{00000000-0005-0000-0000-0000764E0000}"/>
    <cellStyle name="40% - Accent6 4 4 3 2 2" xfId="26780" xr:uid="{00000000-0005-0000-0000-0000774E0000}"/>
    <cellStyle name="40% - Accent6 4 4 3 3" xfId="22628" xr:uid="{00000000-0005-0000-0000-0000784E0000}"/>
    <cellStyle name="40% - Accent6 4 4 4" xfId="5066" xr:uid="{00000000-0005-0000-0000-0000794E0000}"/>
    <cellStyle name="40% - Accent6 4 4 4 2" xfId="15544" xr:uid="{00000000-0005-0000-0000-00007A4E0000}"/>
    <cellStyle name="40% - Accent6 4 4 4 2 2" xfId="29093" xr:uid="{00000000-0005-0000-0000-00007B4E0000}"/>
    <cellStyle name="40% - Accent6 4 4 4 3" xfId="24098" xr:uid="{00000000-0005-0000-0000-00007C4E0000}"/>
    <cellStyle name="40% - Accent6 4 4 5" xfId="5067" xr:uid="{00000000-0005-0000-0000-00007D4E0000}"/>
    <cellStyle name="40% - Accent6 4 4 5 2" xfId="16471" xr:uid="{00000000-0005-0000-0000-00007E4E0000}"/>
    <cellStyle name="40% - Accent6 4 4 5 2 2" xfId="29878" xr:uid="{00000000-0005-0000-0000-00007F4E0000}"/>
    <cellStyle name="40% - Accent6 4 4 5 3" xfId="22627" xr:uid="{00000000-0005-0000-0000-0000804E0000}"/>
    <cellStyle name="40% - Accent6 4 4 6" xfId="9550" xr:uid="{00000000-0005-0000-0000-0000814E0000}"/>
    <cellStyle name="40% - Accent6 4 4 6 2" xfId="24025" xr:uid="{00000000-0005-0000-0000-0000824E0000}"/>
    <cellStyle name="40% - Accent6 4 4 7" xfId="22629" xr:uid="{00000000-0005-0000-0000-0000834E0000}"/>
    <cellStyle name="40% - Accent6 4 5" xfId="5068" xr:uid="{00000000-0005-0000-0000-0000844E0000}"/>
    <cellStyle name="40% - Accent6 4 5 2" xfId="5069" xr:uid="{00000000-0005-0000-0000-0000854E0000}"/>
    <cellStyle name="40% - Accent6 4 5 2 2" xfId="15545" xr:uid="{00000000-0005-0000-0000-0000864E0000}"/>
    <cellStyle name="40% - Accent6 4 5 2 2 2" xfId="29094" xr:uid="{00000000-0005-0000-0000-0000874E0000}"/>
    <cellStyle name="40% - Accent6 4 5 2 3" xfId="22626" xr:uid="{00000000-0005-0000-0000-0000884E0000}"/>
    <cellStyle name="40% - Accent6 4 5 3" xfId="11270" xr:uid="{00000000-0005-0000-0000-0000894E0000}"/>
    <cellStyle name="40% - Accent6 4 5 3 2" xfId="25212" xr:uid="{00000000-0005-0000-0000-00008A4E0000}"/>
    <cellStyle name="40% - Accent6 4 5 4" xfId="24097" xr:uid="{00000000-0005-0000-0000-00008B4E0000}"/>
    <cellStyle name="40% - Accent6 4 6" xfId="5070" xr:uid="{00000000-0005-0000-0000-00008C4E0000}"/>
    <cellStyle name="40% - Accent6 4 6 2" xfId="11822" xr:uid="{00000000-0005-0000-0000-00008D4E0000}"/>
    <cellStyle name="40% - Accent6 4 6 2 2" xfId="25537" xr:uid="{00000000-0005-0000-0000-00008E4E0000}"/>
    <cellStyle name="40% - Accent6 4 6 3" xfId="24095" xr:uid="{00000000-0005-0000-0000-00008F4E0000}"/>
    <cellStyle name="40% - Accent6 4 7" xfId="5071" xr:uid="{00000000-0005-0000-0000-0000904E0000}"/>
    <cellStyle name="40% - Accent6 4 7 2" xfId="13061" xr:uid="{00000000-0005-0000-0000-0000914E0000}"/>
    <cellStyle name="40% - Accent6 4 7 2 2" xfId="26773" xr:uid="{00000000-0005-0000-0000-0000924E0000}"/>
    <cellStyle name="40% - Accent6 4 7 3" xfId="24096" xr:uid="{00000000-0005-0000-0000-0000934E0000}"/>
    <cellStyle name="40% - Accent6 4 8" xfId="5072" xr:uid="{00000000-0005-0000-0000-0000944E0000}"/>
    <cellStyle name="40% - Accent6 4 8 2" xfId="13423" xr:uid="{00000000-0005-0000-0000-0000954E0000}"/>
    <cellStyle name="40% - Accent6 4 8 2 2" xfId="26972" xr:uid="{00000000-0005-0000-0000-0000964E0000}"/>
    <cellStyle name="40% - Accent6 4 8 3" xfId="22625" xr:uid="{00000000-0005-0000-0000-0000974E0000}"/>
    <cellStyle name="40% - Accent6 4 9" xfId="5073" xr:uid="{00000000-0005-0000-0000-0000984E0000}"/>
    <cellStyle name="40% - Accent6 4 9 2" xfId="14004" xr:uid="{00000000-0005-0000-0000-0000994E0000}"/>
    <cellStyle name="40% - Accent6 4 9 2 2" xfId="27553" xr:uid="{00000000-0005-0000-0000-00009A4E0000}"/>
    <cellStyle name="40% - Accent6 4 9 3" xfId="22624" xr:uid="{00000000-0005-0000-0000-00009B4E0000}"/>
    <cellStyle name="40% - Accent6 5" xfId="5074" xr:uid="{00000000-0005-0000-0000-00009C4E0000}"/>
    <cellStyle name="40% - Accent6 5 10" xfId="5075" xr:uid="{00000000-0005-0000-0000-00009D4E0000}"/>
    <cellStyle name="40% - Accent6 5 10 2" xfId="15546" xr:uid="{00000000-0005-0000-0000-00009E4E0000}"/>
    <cellStyle name="40% - Accent6 5 10 2 2" xfId="29095" xr:uid="{00000000-0005-0000-0000-00009F4E0000}"/>
    <cellStyle name="40% - Accent6 5 10 3" xfId="26810" xr:uid="{00000000-0005-0000-0000-0000A04E0000}"/>
    <cellStyle name="40% - Accent6 5 11" xfId="5076" xr:uid="{00000000-0005-0000-0000-0000A14E0000}"/>
    <cellStyle name="40% - Accent6 5 11 2" xfId="15873" xr:uid="{00000000-0005-0000-0000-0000A24E0000}"/>
    <cellStyle name="40% - Accent6 5 11 2 2" xfId="29280" xr:uid="{00000000-0005-0000-0000-0000A34E0000}"/>
    <cellStyle name="40% - Accent6 5 11 3" xfId="22623" xr:uid="{00000000-0005-0000-0000-0000A44E0000}"/>
    <cellStyle name="40% - Accent6 5 12" xfId="9551" xr:uid="{00000000-0005-0000-0000-0000A54E0000}"/>
    <cellStyle name="40% - Accent6 5 12 2" xfId="24026" xr:uid="{00000000-0005-0000-0000-0000A64E0000}"/>
    <cellStyle name="40% - Accent6 5 13" xfId="24094" xr:uid="{00000000-0005-0000-0000-0000A74E0000}"/>
    <cellStyle name="40% - Accent6 5 2" xfId="5077" xr:uid="{00000000-0005-0000-0000-0000A84E0000}"/>
    <cellStyle name="40% - Accent6 5 2 10" xfId="5078" xr:uid="{00000000-0005-0000-0000-0000A94E0000}"/>
    <cellStyle name="40% - Accent6 5 2 10 2" xfId="16016" xr:uid="{00000000-0005-0000-0000-0000AA4E0000}"/>
    <cellStyle name="40% - Accent6 5 2 10 2 2" xfId="29423" xr:uid="{00000000-0005-0000-0000-0000AB4E0000}"/>
    <cellStyle name="40% - Accent6 5 2 10 3" xfId="22622" xr:uid="{00000000-0005-0000-0000-0000AC4E0000}"/>
    <cellStyle name="40% - Accent6 5 2 11" xfId="9552" xr:uid="{00000000-0005-0000-0000-0000AD4E0000}"/>
    <cellStyle name="40% - Accent6 5 2 11 2" xfId="24027" xr:uid="{00000000-0005-0000-0000-0000AE4E0000}"/>
    <cellStyle name="40% - Accent6 5 2 12" xfId="26811" xr:uid="{00000000-0005-0000-0000-0000AF4E0000}"/>
    <cellStyle name="40% - Accent6 5 2 2" xfId="5079" xr:uid="{00000000-0005-0000-0000-0000B04E0000}"/>
    <cellStyle name="40% - Accent6 5 2 2 10" xfId="9553" xr:uid="{00000000-0005-0000-0000-0000B14E0000}"/>
    <cellStyle name="40% - Accent6 5 2 2 10 2" xfId="24028" xr:uid="{00000000-0005-0000-0000-0000B24E0000}"/>
    <cellStyle name="40% - Accent6 5 2 2 11" xfId="22621" xr:uid="{00000000-0005-0000-0000-0000B34E0000}"/>
    <cellStyle name="40% - Accent6 5 2 2 2" xfId="5080" xr:uid="{00000000-0005-0000-0000-0000B44E0000}"/>
    <cellStyle name="40% - Accent6 5 2 2 2 2" xfId="5081" xr:uid="{00000000-0005-0000-0000-0000B54E0000}"/>
    <cellStyle name="40% - Accent6 5 2 2 2 2 2" xfId="11281" xr:uid="{00000000-0005-0000-0000-0000B64E0000}"/>
    <cellStyle name="40% - Accent6 5 2 2 2 2 2 2" xfId="25223" xr:uid="{00000000-0005-0000-0000-0000B74E0000}"/>
    <cellStyle name="40% - Accent6 5 2 2 2 2 3" xfId="24093" xr:uid="{00000000-0005-0000-0000-0000B84E0000}"/>
    <cellStyle name="40% - Accent6 5 2 2 2 3" xfId="5082" xr:uid="{00000000-0005-0000-0000-0000B94E0000}"/>
    <cellStyle name="40% - Accent6 5 2 2 2 3 2" xfId="13072" xr:uid="{00000000-0005-0000-0000-0000BA4E0000}"/>
    <cellStyle name="40% - Accent6 5 2 2 2 3 2 2" xfId="26784" xr:uid="{00000000-0005-0000-0000-0000BB4E0000}"/>
    <cellStyle name="40% - Accent6 5 2 2 2 3 3" xfId="22620" xr:uid="{00000000-0005-0000-0000-0000BC4E0000}"/>
    <cellStyle name="40% - Accent6 5 2 2 2 4" xfId="5083" xr:uid="{00000000-0005-0000-0000-0000BD4E0000}"/>
    <cellStyle name="40% - Accent6 5 2 2 2 4 2" xfId="15549" xr:uid="{00000000-0005-0000-0000-0000BE4E0000}"/>
    <cellStyle name="40% - Accent6 5 2 2 2 4 2 2" xfId="29098" xr:uid="{00000000-0005-0000-0000-0000BF4E0000}"/>
    <cellStyle name="40% - Accent6 5 2 2 2 4 3" xfId="22619" xr:uid="{00000000-0005-0000-0000-0000C04E0000}"/>
    <cellStyle name="40% - Accent6 5 2 2 2 5" xfId="5084" xr:uid="{00000000-0005-0000-0000-0000C14E0000}"/>
    <cellStyle name="40% - Accent6 5 2 2 2 5 2" xfId="16886" xr:uid="{00000000-0005-0000-0000-0000C24E0000}"/>
    <cellStyle name="40% - Accent6 5 2 2 2 5 2 2" xfId="30293" xr:uid="{00000000-0005-0000-0000-0000C34E0000}"/>
    <cellStyle name="40% - Accent6 5 2 2 2 5 3" xfId="24091" xr:uid="{00000000-0005-0000-0000-0000C44E0000}"/>
    <cellStyle name="40% - Accent6 5 2 2 2 6" xfId="9554" xr:uid="{00000000-0005-0000-0000-0000C54E0000}"/>
    <cellStyle name="40% - Accent6 5 2 2 2 6 2" xfId="24029" xr:uid="{00000000-0005-0000-0000-0000C64E0000}"/>
    <cellStyle name="40% - Accent6 5 2 2 2 7" xfId="24092" xr:uid="{00000000-0005-0000-0000-0000C74E0000}"/>
    <cellStyle name="40% - Accent6 5 2 2 3" xfId="5085" xr:uid="{00000000-0005-0000-0000-0000C84E0000}"/>
    <cellStyle name="40% - Accent6 5 2 2 3 2" xfId="5086" xr:uid="{00000000-0005-0000-0000-0000C94E0000}"/>
    <cellStyle name="40% - Accent6 5 2 2 3 2 2" xfId="15550" xr:uid="{00000000-0005-0000-0000-0000CA4E0000}"/>
    <cellStyle name="40% - Accent6 5 2 2 3 2 2 2" xfId="29099" xr:uid="{00000000-0005-0000-0000-0000CB4E0000}"/>
    <cellStyle name="40% - Accent6 5 2 2 3 2 3" xfId="24088" xr:uid="{00000000-0005-0000-0000-0000CC4E0000}"/>
    <cellStyle name="40% - Accent6 5 2 2 3 3" xfId="11280" xr:uid="{00000000-0005-0000-0000-0000CD4E0000}"/>
    <cellStyle name="40% - Accent6 5 2 2 3 3 2" xfId="25222" xr:uid="{00000000-0005-0000-0000-0000CE4E0000}"/>
    <cellStyle name="40% - Accent6 5 2 2 3 4" xfId="22618" xr:uid="{00000000-0005-0000-0000-0000CF4E0000}"/>
    <cellStyle name="40% - Accent6 5 2 2 4" xfId="5087" xr:uid="{00000000-0005-0000-0000-0000D04E0000}"/>
    <cellStyle name="40% - Accent6 5 2 2 4 2" xfId="12274" xr:uid="{00000000-0005-0000-0000-0000D14E0000}"/>
    <cellStyle name="40% - Accent6 5 2 2 4 2 2" xfId="25986" xr:uid="{00000000-0005-0000-0000-0000D24E0000}"/>
    <cellStyle name="40% - Accent6 5 2 2 4 3" xfId="22617" xr:uid="{00000000-0005-0000-0000-0000D34E0000}"/>
    <cellStyle name="40% - Accent6 5 2 2 5" xfId="5088" xr:uid="{00000000-0005-0000-0000-0000D44E0000}"/>
    <cellStyle name="40% - Accent6 5 2 2 5 2" xfId="13071" xr:uid="{00000000-0005-0000-0000-0000D54E0000}"/>
    <cellStyle name="40% - Accent6 5 2 2 5 2 2" xfId="26783" xr:uid="{00000000-0005-0000-0000-0000D64E0000}"/>
    <cellStyle name="40% - Accent6 5 2 2 5 3" xfId="25246" xr:uid="{00000000-0005-0000-0000-0000D74E0000}"/>
    <cellStyle name="40% - Accent6 5 2 2 6" xfId="5089" xr:uid="{00000000-0005-0000-0000-0000D84E0000}"/>
    <cellStyle name="40% - Accent6 5 2 2 6 2" xfId="13838" xr:uid="{00000000-0005-0000-0000-0000D94E0000}"/>
    <cellStyle name="40% - Accent6 5 2 2 6 2 2" xfId="27387" xr:uid="{00000000-0005-0000-0000-0000DA4E0000}"/>
    <cellStyle name="40% - Accent6 5 2 2 6 3" xfId="22616" xr:uid="{00000000-0005-0000-0000-0000DB4E0000}"/>
    <cellStyle name="40% - Accent6 5 2 2 7" xfId="5090" xr:uid="{00000000-0005-0000-0000-0000DC4E0000}"/>
    <cellStyle name="40% - Accent6 5 2 2 7 2" xfId="14419" xr:uid="{00000000-0005-0000-0000-0000DD4E0000}"/>
    <cellStyle name="40% - Accent6 5 2 2 7 2 2" xfId="27968" xr:uid="{00000000-0005-0000-0000-0000DE4E0000}"/>
    <cellStyle name="40% - Accent6 5 2 2 7 3" xfId="24436" xr:uid="{00000000-0005-0000-0000-0000DF4E0000}"/>
    <cellStyle name="40% - Accent6 5 2 2 8" xfId="5091" xr:uid="{00000000-0005-0000-0000-0000E04E0000}"/>
    <cellStyle name="40% - Accent6 5 2 2 8 2" xfId="15548" xr:uid="{00000000-0005-0000-0000-0000E14E0000}"/>
    <cellStyle name="40% - Accent6 5 2 2 8 2 2" xfId="29097" xr:uid="{00000000-0005-0000-0000-0000E24E0000}"/>
    <cellStyle name="40% - Accent6 5 2 2 8 3" xfId="29132" xr:uid="{00000000-0005-0000-0000-0000E34E0000}"/>
    <cellStyle name="40% - Accent6 5 2 2 9" xfId="5092" xr:uid="{00000000-0005-0000-0000-0000E44E0000}"/>
    <cellStyle name="40% - Accent6 5 2 2 9 2" xfId="16305" xr:uid="{00000000-0005-0000-0000-0000E54E0000}"/>
    <cellStyle name="40% - Accent6 5 2 2 9 2 2" xfId="29712" xr:uid="{00000000-0005-0000-0000-0000E64E0000}"/>
    <cellStyle name="40% - Accent6 5 2 2 9 3" xfId="22615" xr:uid="{00000000-0005-0000-0000-0000E74E0000}"/>
    <cellStyle name="40% - Accent6 5 2 3" xfId="5093" xr:uid="{00000000-0005-0000-0000-0000E84E0000}"/>
    <cellStyle name="40% - Accent6 5 2 3 2" xfId="5094" xr:uid="{00000000-0005-0000-0000-0000E94E0000}"/>
    <cellStyle name="40% - Accent6 5 2 3 2 2" xfId="11282" xr:uid="{00000000-0005-0000-0000-0000EA4E0000}"/>
    <cellStyle name="40% - Accent6 5 2 3 2 2 2" xfId="25224" xr:uid="{00000000-0005-0000-0000-0000EB4E0000}"/>
    <cellStyle name="40% - Accent6 5 2 3 2 3" xfId="24090" xr:uid="{00000000-0005-0000-0000-0000EC4E0000}"/>
    <cellStyle name="40% - Accent6 5 2 3 3" xfId="5095" xr:uid="{00000000-0005-0000-0000-0000ED4E0000}"/>
    <cellStyle name="40% - Accent6 5 2 3 3 2" xfId="13073" xr:uid="{00000000-0005-0000-0000-0000EE4E0000}"/>
    <cellStyle name="40% - Accent6 5 2 3 3 2 2" xfId="26785" xr:uid="{00000000-0005-0000-0000-0000EF4E0000}"/>
    <cellStyle name="40% - Accent6 5 2 3 3 3" xfId="22613" xr:uid="{00000000-0005-0000-0000-0000F04E0000}"/>
    <cellStyle name="40% - Accent6 5 2 3 4" xfId="5096" xr:uid="{00000000-0005-0000-0000-0000F14E0000}"/>
    <cellStyle name="40% - Accent6 5 2 3 4 2" xfId="15551" xr:uid="{00000000-0005-0000-0000-0000F24E0000}"/>
    <cellStyle name="40% - Accent6 5 2 3 4 2 2" xfId="29100" xr:uid="{00000000-0005-0000-0000-0000F34E0000}"/>
    <cellStyle name="40% - Accent6 5 2 3 4 3" xfId="24089" xr:uid="{00000000-0005-0000-0000-0000F44E0000}"/>
    <cellStyle name="40% - Accent6 5 2 3 5" xfId="5097" xr:uid="{00000000-0005-0000-0000-0000F54E0000}"/>
    <cellStyle name="40% - Accent6 5 2 3 5 2" xfId="16597" xr:uid="{00000000-0005-0000-0000-0000F64E0000}"/>
    <cellStyle name="40% - Accent6 5 2 3 5 2 2" xfId="30004" xr:uid="{00000000-0005-0000-0000-0000F74E0000}"/>
    <cellStyle name="40% - Accent6 5 2 3 5 3" xfId="22612" xr:uid="{00000000-0005-0000-0000-0000F84E0000}"/>
    <cellStyle name="40% - Accent6 5 2 3 6" xfId="9555" xr:uid="{00000000-0005-0000-0000-0000F94E0000}"/>
    <cellStyle name="40% - Accent6 5 2 3 6 2" xfId="24030" xr:uid="{00000000-0005-0000-0000-0000FA4E0000}"/>
    <cellStyle name="40% - Accent6 5 2 3 7" xfId="22614" xr:uid="{00000000-0005-0000-0000-0000FB4E0000}"/>
    <cellStyle name="40% - Accent6 5 2 4" xfId="5098" xr:uid="{00000000-0005-0000-0000-0000FC4E0000}"/>
    <cellStyle name="40% - Accent6 5 2 4 2" xfId="5099" xr:uid="{00000000-0005-0000-0000-0000FD4E0000}"/>
    <cellStyle name="40% - Accent6 5 2 4 2 2" xfId="15552" xr:uid="{00000000-0005-0000-0000-0000FE4E0000}"/>
    <cellStyle name="40% - Accent6 5 2 4 2 2 2" xfId="29101" xr:uid="{00000000-0005-0000-0000-0000FF4E0000}"/>
    <cellStyle name="40% - Accent6 5 2 4 2 3" xfId="24087" xr:uid="{00000000-0005-0000-0000-0000004F0000}"/>
    <cellStyle name="40% - Accent6 5 2 4 3" xfId="11279" xr:uid="{00000000-0005-0000-0000-0000014F0000}"/>
    <cellStyle name="40% - Accent6 5 2 4 3 2" xfId="25221" xr:uid="{00000000-0005-0000-0000-0000024F0000}"/>
    <cellStyle name="40% - Accent6 5 2 4 4" xfId="23259" xr:uid="{00000000-0005-0000-0000-0000034F0000}"/>
    <cellStyle name="40% - Accent6 5 2 5" xfId="5100" xr:uid="{00000000-0005-0000-0000-0000044F0000}"/>
    <cellStyle name="40% - Accent6 5 2 5 2" xfId="11974" xr:uid="{00000000-0005-0000-0000-0000054F0000}"/>
    <cellStyle name="40% - Accent6 5 2 5 2 2" xfId="25689" xr:uid="{00000000-0005-0000-0000-0000064F0000}"/>
    <cellStyle name="40% - Accent6 5 2 5 3" xfId="22611" xr:uid="{00000000-0005-0000-0000-0000074F0000}"/>
    <cellStyle name="40% - Accent6 5 2 6" xfId="5101" xr:uid="{00000000-0005-0000-0000-0000084F0000}"/>
    <cellStyle name="40% - Accent6 5 2 6 2" xfId="13070" xr:uid="{00000000-0005-0000-0000-0000094F0000}"/>
    <cellStyle name="40% - Accent6 5 2 6 2 2" xfId="26782" xr:uid="{00000000-0005-0000-0000-00000A4F0000}"/>
    <cellStyle name="40% - Accent6 5 2 6 3" xfId="24086" xr:uid="{00000000-0005-0000-0000-00000B4F0000}"/>
    <cellStyle name="40% - Accent6 5 2 7" xfId="5102" xr:uid="{00000000-0005-0000-0000-00000C4F0000}"/>
    <cellStyle name="40% - Accent6 5 2 7 2" xfId="13549" xr:uid="{00000000-0005-0000-0000-00000D4F0000}"/>
    <cellStyle name="40% - Accent6 5 2 7 2 2" xfId="27098" xr:uid="{00000000-0005-0000-0000-00000E4F0000}"/>
    <cellStyle name="40% - Accent6 5 2 7 3" xfId="22610" xr:uid="{00000000-0005-0000-0000-00000F4F0000}"/>
    <cellStyle name="40% - Accent6 5 2 8" xfId="5103" xr:uid="{00000000-0005-0000-0000-0000104F0000}"/>
    <cellStyle name="40% - Accent6 5 2 8 2" xfId="14130" xr:uid="{00000000-0005-0000-0000-0000114F0000}"/>
    <cellStyle name="40% - Accent6 5 2 8 2 2" xfId="27679" xr:uid="{00000000-0005-0000-0000-0000124F0000}"/>
    <cellStyle name="40% - Accent6 5 2 8 3" xfId="24085" xr:uid="{00000000-0005-0000-0000-0000134F0000}"/>
    <cellStyle name="40% - Accent6 5 2 9" xfId="5104" xr:uid="{00000000-0005-0000-0000-0000144F0000}"/>
    <cellStyle name="40% - Accent6 5 2 9 2" xfId="15547" xr:uid="{00000000-0005-0000-0000-0000154F0000}"/>
    <cellStyle name="40% - Accent6 5 2 9 2 2" xfId="29096" xr:uid="{00000000-0005-0000-0000-0000164F0000}"/>
    <cellStyle name="40% - Accent6 5 2 9 3" xfId="22609" xr:uid="{00000000-0005-0000-0000-0000174F0000}"/>
    <cellStyle name="40% - Accent6 5 3" xfId="5105" xr:uid="{00000000-0005-0000-0000-0000184F0000}"/>
    <cellStyle name="40% - Accent6 5 3 10" xfId="9556" xr:uid="{00000000-0005-0000-0000-0000194F0000}"/>
    <cellStyle name="40% - Accent6 5 3 10 2" xfId="24031" xr:uid="{00000000-0005-0000-0000-00001A4F0000}"/>
    <cellStyle name="40% - Accent6 5 3 11" xfId="24084" xr:uid="{00000000-0005-0000-0000-00001B4F0000}"/>
    <cellStyle name="40% - Accent6 5 3 2" xfId="5106" xr:uid="{00000000-0005-0000-0000-00001C4F0000}"/>
    <cellStyle name="40% - Accent6 5 3 2 2" xfId="5107" xr:uid="{00000000-0005-0000-0000-00001D4F0000}"/>
    <cellStyle name="40% - Accent6 5 3 2 2 2" xfId="11284" xr:uid="{00000000-0005-0000-0000-00001E4F0000}"/>
    <cellStyle name="40% - Accent6 5 3 2 2 2 2" xfId="25226" xr:uid="{00000000-0005-0000-0000-00001F4F0000}"/>
    <cellStyle name="40% - Accent6 5 3 2 2 3" xfId="24082" xr:uid="{00000000-0005-0000-0000-0000204F0000}"/>
    <cellStyle name="40% - Accent6 5 3 2 3" xfId="5108" xr:uid="{00000000-0005-0000-0000-0000214F0000}"/>
    <cellStyle name="40% - Accent6 5 3 2 3 2" xfId="13075" xr:uid="{00000000-0005-0000-0000-0000224F0000}"/>
    <cellStyle name="40% - Accent6 5 3 2 3 2 2" xfId="26787" xr:uid="{00000000-0005-0000-0000-0000234F0000}"/>
    <cellStyle name="40% - Accent6 5 3 2 3 3" xfId="24083" xr:uid="{00000000-0005-0000-0000-0000244F0000}"/>
    <cellStyle name="40% - Accent6 5 3 2 4" xfId="5109" xr:uid="{00000000-0005-0000-0000-0000254F0000}"/>
    <cellStyle name="40% - Accent6 5 3 2 4 2" xfId="15554" xr:uid="{00000000-0005-0000-0000-0000264F0000}"/>
    <cellStyle name="40% - Accent6 5 3 2 4 2 2" xfId="29103" xr:uid="{00000000-0005-0000-0000-0000274F0000}"/>
    <cellStyle name="40% - Accent6 5 3 2 4 3" xfId="22607" xr:uid="{00000000-0005-0000-0000-0000284F0000}"/>
    <cellStyle name="40% - Accent6 5 3 2 5" xfId="5110" xr:uid="{00000000-0005-0000-0000-0000294F0000}"/>
    <cellStyle name="40% - Accent6 5 3 2 5 2" xfId="16746" xr:uid="{00000000-0005-0000-0000-00002A4F0000}"/>
    <cellStyle name="40% - Accent6 5 3 2 5 2 2" xfId="30153" xr:uid="{00000000-0005-0000-0000-00002B4F0000}"/>
    <cellStyle name="40% - Accent6 5 3 2 5 3" xfId="22606" xr:uid="{00000000-0005-0000-0000-00002C4F0000}"/>
    <cellStyle name="40% - Accent6 5 3 2 6" xfId="9557" xr:uid="{00000000-0005-0000-0000-00002D4F0000}"/>
    <cellStyle name="40% - Accent6 5 3 2 6 2" xfId="24032" xr:uid="{00000000-0005-0000-0000-00002E4F0000}"/>
    <cellStyle name="40% - Accent6 5 3 2 7" xfId="22608" xr:uid="{00000000-0005-0000-0000-00002F4F0000}"/>
    <cellStyle name="40% - Accent6 5 3 3" xfId="5111" xr:uid="{00000000-0005-0000-0000-0000304F0000}"/>
    <cellStyle name="40% - Accent6 5 3 3 2" xfId="5112" xr:uid="{00000000-0005-0000-0000-0000314F0000}"/>
    <cellStyle name="40% - Accent6 5 3 3 2 2" xfId="15555" xr:uid="{00000000-0005-0000-0000-0000324F0000}"/>
    <cellStyle name="40% - Accent6 5 3 3 2 2 2" xfId="29104" xr:uid="{00000000-0005-0000-0000-0000334F0000}"/>
    <cellStyle name="40% - Accent6 5 3 3 2 3" xfId="26808" xr:uid="{00000000-0005-0000-0000-0000344F0000}"/>
    <cellStyle name="40% - Accent6 5 3 3 3" xfId="11283" xr:uid="{00000000-0005-0000-0000-0000354F0000}"/>
    <cellStyle name="40% - Accent6 5 3 3 3 2" xfId="25225" xr:uid="{00000000-0005-0000-0000-0000364F0000}"/>
    <cellStyle name="40% - Accent6 5 3 3 4" xfId="24081" xr:uid="{00000000-0005-0000-0000-0000374F0000}"/>
    <cellStyle name="40% - Accent6 5 3 4" xfId="5113" xr:uid="{00000000-0005-0000-0000-0000384F0000}"/>
    <cellStyle name="40% - Accent6 5 3 4 2" xfId="12134" xr:uid="{00000000-0005-0000-0000-0000394F0000}"/>
    <cellStyle name="40% - Accent6 5 3 4 2 2" xfId="25846" xr:uid="{00000000-0005-0000-0000-00003A4F0000}"/>
    <cellStyle name="40% - Accent6 5 3 4 3" xfId="22605" xr:uid="{00000000-0005-0000-0000-00003B4F0000}"/>
    <cellStyle name="40% - Accent6 5 3 5" xfId="5114" xr:uid="{00000000-0005-0000-0000-00003C4F0000}"/>
    <cellStyle name="40% - Accent6 5 3 5 2" xfId="13074" xr:uid="{00000000-0005-0000-0000-00003D4F0000}"/>
    <cellStyle name="40% - Accent6 5 3 5 2 2" xfId="26786" xr:uid="{00000000-0005-0000-0000-00003E4F0000}"/>
    <cellStyle name="40% - Accent6 5 3 5 3" xfId="26809" xr:uid="{00000000-0005-0000-0000-00003F4F0000}"/>
    <cellStyle name="40% - Accent6 5 3 6" xfId="5115" xr:uid="{00000000-0005-0000-0000-0000404F0000}"/>
    <cellStyle name="40% - Accent6 5 3 6 2" xfId="13698" xr:uid="{00000000-0005-0000-0000-0000414F0000}"/>
    <cellStyle name="40% - Accent6 5 3 6 2 2" xfId="27247" xr:uid="{00000000-0005-0000-0000-0000424F0000}"/>
    <cellStyle name="40% - Accent6 5 3 6 3" xfId="22604" xr:uid="{00000000-0005-0000-0000-0000434F0000}"/>
    <cellStyle name="40% - Accent6 5 3 7" xfId="5116" xr:uid="{00000000-0005-0000-0000-0000444F0000}"/>
    <cellStyle name="40% - Accent6 5 3 7 2" xfId="14279" xr:uid="{00000000-0005-0000-0000-0000454F0000}"/>
    <cellStyle name="40% - Accent6 5 3 7 2 2" xfId="27828" xr:uid="{00000000-0005-0000-0000-0000464F0000}"/>
    <cellStyle name="40% - Accent6 5 3 7 3" xfId="22603" xr:uid="{00000000-0005-0000-0000-0000474F0000}"/>
    <cellStyle name="40% - Accent6 5 3 8" xfId="5117" xr:uid="{00000000-0005-0000-0000-0000484F0000}"/>
    <cellStyle name="40% - Accent6 5 3 8 2" xfId="15553" xr:uid="{00000000-0005-0000-0000-0000494F0000}"/>
    <cellStyle name="40% - Accent6 5 3 8 2 2" xfId="29102" xr:uid="{00000000-0005-0000-0000-00004A4F0000}"/>
    <cellStyle name="40% - Accent6 5 3 8 3" xfId="24079" xr:uid="{00000000-0005-0000-0000-00004B4F0000}"/>
    <cellStyle name="40% - Accent6 5 3 9" xfId="5118" xr:uid="{00000000-0005-0000-0000-00004C4F0000}"/>
    <cellStyle name="40% - Accent6 5 3 9 2" xfId="16165" xr:uid="{00000000-0005-0000-0000-00004D4F0000}"/>
    <cellStyle name="40% - Accent6 5 3 9 2 2" xfId="29572" xr:uid="{00000000-0005-0000-0000-00004E4F0000}"/>
    <cellStyle name="40% - Accent6 5 3 9 3" xfId="24080" xr:uid="{00000000-0005-0000-0000-00004F4F0000}"/>
    <cellStyle name="40% - Accent6 5 4" xfId="5119" xr:uid="{00000000-0005-0000-0000-0000504F0000}"/>
    <cellStyle name="40% - Accent6 5 4 2" xfId="5120" xr:uid="{00000000-0005-0000-0000-0000514F0000}"/>
    <cellStyle name="40% - Accent6 5 4 2 2" xfId="11285" xr:uid="{00000000-0005-0000-0000-0000524F0000}"/>
    <cellStyle name="40% - Accent6 5 4 2 2 2" xfId="25227" xr:uid="{00000000-0005-0000-0000-0000534F0000}"/>
    <cellStyle name="40% - Accent6 5 4 2 3" xfId="22601" xr:uid="{00000000-0005-0000-0000-0000544F0000}"/>
    <cellStyle name="40% - Accent6 5 4 3" xfId="5121" xr:uid="{00000000-0005-0000-0000-0000554F0000}"/>
    <cellStyle name="40% - Accent6 5 4 3 2" xfId="13076" xr:uid="{00000000-0005-0000-0000-0000564F0000}"/>
    <cellStyle name="40% - Accent6 5 4 3 2 2" xfId="26788" xr:uid="{00000000-0005-0000-0000-0000574F0000}"/>
    <cellStyle name="40% - Accent6 5 4 3 3" xfId="24078" xr:uid="{00000000-0005-0000-0000-0000584F0000}"/>
    <cellStyle name="40% - Accent6 5 4 4" xfId="5122" xr:uid="{00000000-0005-0000-0000-0000594F0000}"/>
    <cellStyle name="40% - Accent6 5 4 4 2" xfId="15556" xr:uid="{00000000-0005-0000-0000-00005A4F0000}"/>
    <cellStyle name="40% - Accent6 5 4 4 2 2" xfId="29105" xr:uid="{00000000-0005-0000-0000-00005B4F0000}"/>
    <cellStyle name="40% - Accent6 5 4 4 3" xfId="22600" xr:uid="{00000000-0005-0000-0000-00005C4F0000}"/>
    <cellStyle name="40% - Accent6 5 4 5" xfId="5123" xr:uid="{00000000-0005-0000-0000-00005D4F0000}"/>
    <cellStyle name="40% - Accent6 5 4 5 2" xfId="16454" xr:uid="{00000000-0005-0000-0000-00005E4F0000}"/>
    <cellStyle name="40% - Accent6 5 4 5 2 2" xfId="29861" xr:uid="{00000000-0005-0000-0000-00005F4F0000}"/>
    <cellStyle name="40% - Accent6 5 4 5 3" xfId="24075" xr:uid="{00000000-0005-0000-0000-0000604F0000}"/>
    <cellStyle name="40% - Accent6 5 4 6" xfId="9558" xr:uid="{00000000-0005-0000-0000-0000614F0000}"/>
    <cellStyle name="40% - Accent6 5 4 6 2" xfId="24033" xr:uid="{00000000-0005-0000-0000-0000624F0000}"/>
    <cellStyle name="40% - Accent6 5 4 7" xfId="22602" xr:uid="{00000000-0005-0000-0000-0000634F0000}"/>
    <cellStyle name="40% - Accent6 5 5" xfId="5124" xr:uid="{00000000-0005-0000-0000-0000644F0000}"/>
    <cellStyle name="40% - Accent6 5 5 2" xfId="5125" xr:uid="{00000000-0005-0000-0000-0000654F0000}"/>
    <cellStyle name="40% - Accent6 5 5 2 2" xfId="15557" xr:uid="{00000000-0005-0000-0000-0000664F0000}"/>
    <cellStyle name="40% - Accent6 5 5 2 2 2" xfId="29106" xr:uid="{00000000-0005-0000-0000-0000674F0000}"/>
    <cellStyle name="40% - Accent6 5 5 2 3" xfId="25245" xr:uid="{00000000-0005-0000-0000-0000684F0000}"/>
    <cellStyle name="40% - Accent6 5 5 3" xfId="11278" xr:uid="{00000000-0005-0000-0000-0000694F0000}"/>
    <cellStyle name="40% - Accent6 5 5 3 2" xfId="25220" xr:uid="{00000000-0005-0000-0000-00006A4F0000}"/>
    <cellStyle name="40% - Accent6 5 5 4" xfId="22599" xr:uid="{00000000-0005-0000-0000-00006B4F0000}"/>
    <cellStyle name="40% - Accent6 5 6" xfId="5126" xr:uid="{00000000-0005-0000-0000-00006C4F0000}"/>
    <cellStyle name="40% - Accent6 5 6 2" xfId="11805" xr:uid="{00000000-0005-0000-0000-00006D4F0000}"/>
    <cellStyle name="40% - Accent6 5 6 2 2" xfId="25520" xr:uid="{00000000-0005-0000-0000-00006E4F0000}"/>
    <cellStyle name="40% - Accent6 5 6 3" xfId="22598" xr:uid="{00000000-0005-0000-0000-00006F4F0000}"/>
    <cellStyle name="40% - Accent6 5 7" xfId="5127" xr:uid="{00000000-0005-0000-0000-0000704F0000}"/>
    <cellStyle name="40% - Accent6 5 7 2" xfId="13069" xr:uid="{00000000-0005-0000-0000-0000714F0000}"/>
    <cellStyle name="40% - Accent6 5 7 2 2" xfId="26781" xr:uid="{00000000-0005-0000-0000-0000724F0000}"/>
    <cellStyle name="40% - Accent6 5 7 3" xfId="24435" xr:uid="{00000000-0005-0000-0000-0000734F0000}"/>
    <cellStyle name="40% - Accent6 5 8" xfId="5128" xr:uid="{00000000-0005-0000-0000-0000744F0000}"/>
    <cellStyle name="40% - Accent6 5 8 2" xfId="13406" xr:uid="{00000000-0005-0000-0000-0000754F0000}"/>
    <cellStyle name="40% - Accent6 5 8 2 2" xfId="26955" xr:uid="{00000000-0005-0000-0000-0000764F0000}"/>
    <cellStyle name="40% - Accent6 5 8 3" xfId="29131" xr:uid="{00000000-0005-0000-0000-0000774F0000}"/>
    <cellStyle name="40% - Accent6 5 9" xfId="5129" xr:uid="{00000000-0005-0000-0000-0000784F0000}"/>
    <cellStyle name="40% - Accent6 5 9 2" xfId="13987" xr:uid="{00000000-0005-0000-0000-0000794F0000}"/>
    <cellStyle name="40% - Accent6 5 9 2 2" xfId="27536" xr:uid="{00000000-0005-0000-0000-00007A4F0000}"/>
    <cellStyle name="40% - Accent6 5 9 3" xfId="22597" xr:uid="{00000000-0005-0000-0000-00007B4F0000}"/>
    <cellStyle name="40% - Accent6 6" xfId="5130" xr:uid="{00000000-0005-0000-0000-00007C4F0000}"/>
    <cellStyle name="40% - Accent6 6 10" xfId="5131" xr:uid="{00000000-0005-0000-0000-00007D4F0000}"/>
    <cellStyle name="40% - Accent6 6 10 2" xfId="15558" xr:uid="{00000000-0005-0000-0000-00007E4F0000}"/>
    <cellStyle name="40% - Accent6 6 10 2 2" xfId="29107" xr:uid="{00000000-0005-0000-0000-00007F4F0000}"/>
    <cellStyle name="40% - Accent6 6 10 3" xfId="24077" xr:uid="{00000000-0005-0000-0000-0000804F0000}"/>
    <cellStyle name="40% - Accent6 6 11" xfId="5132" xr:uid="{00000000-0005-0000-0000-0000814F0000}"/>
    <cellStyle name="40% - Accent6 6 11 2" xfId="15979" xr:uid="{00000000-0005-0000-0000-0000824F0000}"/>
    <cellStyle name="40% - Accent6 6 11 2 2" xfId="29386" xr:uid="{00000000-0005-0000-0000-0000834F0000}"/>
    <cellStyle name="40% - Accent6 6 11 3" xfId="22595" xr:uid="{00000000-0005-0000-0000-0000844F0000}"/>
    <cellStyle name="40% - Accent6 6 12" xfId="9559" xr:uid="{00000000-0005-0000-0000-0000854F0000}"/>
    <cellStyle name="40% - Accent6 6 12 2" xfId="24034" xr:uid="{00000000-0005-0000-0000-0000864F0000}"/>
    <cellStyle name="40% - Accent6 6 13" xfId="22596" xr:uid="{00000000-0005-0000-0000-0000874F0000}"/>
    <cellStyle name="40% - Accent6 6 2" xfId="5133" xr:uid="{00000000-0005-0000-0000-0000884F0000}"/>
    <cellStyle name="40% - Accent6 6 2 10" xfId="5134" xr:uid="{00000000-0005-0000-0000-0000894F0000}"/>
    <cellStyle name="40% - Accent6 6 2 10 2" xfId="16122" xr:uid="{00000000-0005-0000-0000-00008A4F0000}"/>
    <cellStyle name="40% - Accent6 6 2 10 2 2" xfId="29529" xr:uid="{00000000-0005-0000-0000-00008B4F0000}"/>
    <cellStyle name="40% - Accent6 6 2 10 3" xfId="22594" xr:uid="{00000000-0005-0000-0000-00008C4F0000}"/>
    <cellStyle name="40% - Accent6 6 2 11" xfId="9560" xr:uid="{00000000-0005-0000-0000-00008D4F0000}"/>
    <cellStyle name="40% - Accent6 6 2 11 2" xfId="24035" xr:uid="{00000000-0005-0000-0000-00008E4F0000}"/>
    <cellStyle name="40% - Accent6 6 2 12" xfId="24076" xr:uid="{00000000-0005-0000-0000-00008F4F0000}"/>
    <cellStyle name="40% - Accent6 6 2 2" xfId="5135" xr:uid="{00000000-0005-0000-0000-0000904F0000}"/>
    <cellStyle name="40% - Accent6 6 2 2 10" xfId="9561" xr:uid="{00000000-0005-0000-0000-0000914F0000}"/>
    <cellStyle name="40% - Accent6 6 2 2 10 2" xfId="24036" xr:uid="{00000000-0005-0000-0000-0000924F0000}"/>
    <cellStyle name="40% - Accent6 6 2 2 11" xfId="23255" xr:uid="{00000000-0005-0000-0000-0000934F0000}"/>
    <cellStyle name="40% - Accent6 6 2 2 2" xfId="5136" xr:uid="{00000000-0005-0000-0000-0000944F0000}"/>
    <cellStyle name="40% - Accent6 6 2 2 2 2" xfId="5137" xr:uid="{00000000-0005-0000-0000-0000954F0000}"/>
    <cellStyle name="40% - Accent6 6 2 2 2 2 2" xfId="11289" xr:uid="{00000000-0005-0000-0000-0000964F0000}"/>
    <cellStyle name="40% - Accent6 6 2 2 2 2 2 2" xfId="25231" xr:uid="{00000000-0005-0000-0000-0000974F0000}"/>
    <cellStyle name="40% - Accent6 6 2 2 2 2 3" xfId="22593" xr:uid="{00000000-0005-0000-0000-0000984F0000}"/>
    <cellStyle name="40% - Accent6 6 2 2 2 3" xfId="5138" xr:uid="{00000000-0005-0000-0000-0000994F0000}"/>
    <cellStyle name="40% - Accent6 6 2 2 2 3 2" xfId="13080" xr:uid="{00000000-0005-0000-0000-00009A4F0000}"/>
    <cellStyle name="40% - Accent6 6 2 2 2 3 2 2" xfId="26792" xr:uid="{00000000-0005-0000-0000-00009B4F0000}"/>
    <cellStyle name="40% - Accent6 6 2 2 2 3 3" xfId="24073" xr:uid="{00000000-0005-0000-0000-00009C4F0000}"/>
    <cellStyle name="40% - Accent6 6 2 2 2 4" xfId="5139" xr:uid="{00000000-0005-0000-0000-00009D4F0000}"/>
    <cellStyle name="40% - Accent6 6 2 2 2 4 2" xfId="15561" xr:uid="{00000000-0005-0000-0000-00009E4F0000}"/>
    <cellStyle name="40% - Accent6 6 2 2 2 4 2 2" xfId="29110" xr:uid="{00000000-0005-0000-0000-00009F4F0000}"/>
    <cellStyle name="40% - Accent6 6 2 2 2 4 3" xfId="22592" xr:uid="{00000000-0005-0000-0000-0000A04F0000}"/>
    <cellStyle name="40% - Accent6 6 2 2 2 5" xfId="5140" xr:uid="{00000000-0005-0000-0000-0000A14F0000}"/>
    <cellStyle name="40% - Accent6 6 2 2 2 5 2" xfId="16992" xr:uid="{00000000-0005-0000-0000-0000A24F0000}"/>
    <cellStyle name="40% - Accent6 6 2 2 2 5 2 2" xfId="30399" xr:uid="{00000000-0005-0000-0000-0000A34F0000}"/>
    <cellStyle name="40% - Accent6 6 2 2 2 5 3" xfId="24072" xr:uid="{00000000-0005-0000-0000-0000A44F0000}"/>
    <cellStyle name="40% - Accent6 6 2 2 2 6" xfId="9562" xr:uid="{00000000-0005-0000-0000-0000A54F0000}"/>
    <cellStyle name="40% - Accent6 6 2 2 2 6 2" xfId="24037" xr:uid="{00000000-0005-0000-0000-0000A64F0000}"/>
    <cellStyle name="40% - Accent6 6 2 2 2 7" xfId="24074" xr:uid="{00000000-0005-0000-0000-0000A74F0000}"/>
    <cellStyle name="40% - Accent6 6 2 2 3" xfId="5141" xr:uid="{00000000-0005-0000-0000-0000A84F0000}"/>
    <cellStyle name="40% - Accent6 6 2 2 3 2" xfId="5142" xr:uid="{00000000-0005-0000-0000-0000A94F0000}"/>
    <cellStyle name="40% - Accent6 6 2 2 3 2 2" xfId="15562" xr:uid="{00000000-0005-0000-0000-0000AA4F0000}"/>
    <cellStyle name="40% - Accent6 6 2 2 3 2 2 2" xfId="29111" xr:uid="{00000000-0005-0000-0000-0000AB4F0000}"/>
    <cellStyle name="40% - Accent6 6 2 2 3 2 3" xfId="24071" xr:uid="{00000000-0005-0000-0000-0000AC4F0000}"/>
    <cellStyle name="40% - Accent6 6 2 2 3 3" xfId="11288" xr:uid="{00000000-0005-0000-0000-0000AD4F0000}"/>
    <cellStyle name="40% - Accent6 6 2 2 3 3 2" xfId="25230" xr:uid="{00000000-0005-0000-0000-0000AE4F0000}"/>
    <cellStyle name="40% - Accent6 6 2 2 3 4" xfId="22591" xr:uid="{00000000-0005-0000-0000-0000AF4F0000}"/>
    <cellStyle name="40% - Accent6 6 2 2 4" xfId="5143" xr:uid="{00000000-0005-0000-0000-0000B04F0000}"/>
    <cellStyle name="40% - Accent6 6 2 2 4 2" xfId="12380" xr:uid="{00000000-0005-0000-0000-0000B14F0000}"/>
    <cellStyle name="40% - Accent6 6 2 2 4 2 2" xfId="26092" xr:uid="{00000000-0005-0000-0000-0000B24F0000}"/>
    <cellStyle name="40% - Accent6 6 2 2 4 3" xfId="22590" xr:uid="{00000000-0005-0000-0000-0000B34F0000}"/>
    <cellStyle name="40% - Accent6 6 2 2 5" xfId="5144" xr:uid="{00000000-0005-0000-0000-0000B44F0000}"/>
    <cellStyle name="40% - Accent6 6 2 2 5 2" xfId="13079" xr:uid="{00000000-0005-0000-0000-0000B54F0000}"/>
    <cellStyle name="40% - Accent6 6 2 2 5 2 2" xfId="26791" xr:uid="{00000000-0005-0000-0000-0000B64F0000}"/>
    <cellStyle name="40% - Accent6 6 2 2 5 3" xfId="24069" xr:uid="{00000000-0005-0000-0000-0000B74F0000}"/>
    <cellStyle name="40% - Accent6 6 2 2 6" xfId="5145" xr:uid="{00000000-0005-0000-0000-0000B84F0000}"/>
    <cellStyle name="40% - Accent6 6 2 2 6 2" xfId="13944" xr:uid="{00000000-0005-0000-0000-0000B94F0000}"/>
    <cellStyle name="40% - Accent6 6 2 2 6 2 2" xfId="27493" xr:uid="{00000000-0005-0000-0000-0000BA4F0000}"/>
    <cellStyle name="40% - Accent6 6 2 2 6 3" xfId="24070" xr:uid="{00000000-0005-0000-0000-0000BB4F0000}"/>
    <cellStyle name="40% - Accent6 6 2 2 7" xfId="5146" xr:uid="{00000000-0005-0000-0000-0000BC4F0000}"/>
    <cellStyle name="40% - Accent6 6 2 2 7 2" xfId="14525" xr:uid="{00000000-0005-0000-0000-0000BD4F0000}"/>
    <cellStyle name="40% - Accent6 6 2 2 7 2 2" xfId="28074" xr:uid="{00000000-0005-0000-0000-0000BE4F0000}"/>
    <cellStyle name="40% - Accent6 6 2 2 7 3" xfId="22589" xr:uid="{00000000-0005-0000-0000-0000BF4F0000}"/>
    <cellStyle name="40% - Accent6 6 2 2 8" xfId="5147" xr:uid="{00000000-0005-0000-0000-0000C04F0000}"/>
    <cellStyle name="40% - Accent6 6 2 2 8 2" xfId="15560" xr:uid="{00000000-0005-0000-0000-0000C14F0000}"/>
    <cellStyle name="40% - Accent6 6 2 2 8 2 2" xfId="29109" xr:uid="{00000000-0005-0000-0000-0000C24F0000}"/>
    <cellStyle name="40% - Accent6 6 2 2 8 3" xfId="22588" xr:uid="{00000000-0005-0000-0000-0000C34F0000}"/>
    <cellStyle name="40% - Accent6 6 2 2 9" xfId="5148" xr:uid="{00000000-0005-0000-0000-0000C44F0000}"/>
    <cellStyle name="40% - Accent6 6 2 2 9 2" xfId="16411" xr:uid="{00000000-0005-0000-0000-0000C54F0000}"/>
    <cellStyle name="40% - Accent6 6 2 2 9 2 2" xfId="29818" xr:uid="{00000000-0005-0000-0000-0000C64F0000}"/>
    <cellStyle name="40% - Accent6 6 2 2 9 3" xfId="24068" xr:uid="{00000000-0005-0000-0000-0000C74F0000}"/>
    <cellStyle name="40% - Accent6 6 2 3" xfId="5149" xr:uid="{00000000-0005-0000-0000-0000C84F0000}"/>
    <cellStyle name="40% - Accent6 6 2 3 2" xfId="5150" xr:uid="{00000000-0005-0000-0000-0000C94F0000}"/>
    <cellStyle name="40% - Accent6 6 2 3 2 2" xfId="11290" xr:uid="{00000000-0005-0000-0000-0000CA4F0000}"/>
    <cellStyle name="40% - Accent6 6 2 3 2 2 2" xfId="25232" xr:uid="{00000000-0005-0000-0000-0000CB4F0000}"/>
    <cellStyle name="40% - Accent6 6 2 3 2 3" xfId="22587" xr:uid="{00000000-0005-0000-0000-0000CC4F0000}"/>
    <cellStyle name="40% - Accent6 6 2 3 3" xfId="5151" xr:uid="{00000000-0005-0000-0000-0000CD4F0000}"/>
    <cellStyle name="40% - Accent6 6 2 3 3 2" xfId="13081" xr:uid="{00000000-0005-0000-0000-0000CE4F0000}"/>
    <cellStyle name="40% - Accent6 6 2 3 3 2 2" xfId="26793" xr:uid="{00000000-0005-0000-0000-0000CF4F0000}"/>
    <cellStyle name="40% - Accent6 6 2 3 3 3" xfId="26807" xr:uid="{00000000-0005-0000-0000-0000D04F0000}"/>
    <cellStyle name="40% - Accent6 6 2 3 4" xfId="5152" xr:uid="{00000000-0005-0000-0000-0000D14F0000}"/>
    <cellStyle name="40% - Accent6 6 2 3 4 2" xfId="15563" xr:uid="{00000000-0005-0000-0000-0000D24F0000}"/>
    <cellStyle name="40% - Accent6 6 2 3 4 2 2" xfId="29112" xr:uid="{00000000-0005-0000-0000-0000D34F0000}"/>
    <cellStyle name="40% - Accent6 6 2 3 4 3" xfId="22586" xr:uid="{00000000-0005-0000-0000-0000D44F0000}"/>
    <cellStyle name="40% - Accent6 6 2 3 5" xfId="5153" xr:uid="{00000000-0005-0000-0000-0000D54F0000}"/>
    <cellStyle name="40% - Accent6 6 2 3 5 2" xfId="16703" xr:uid="{00000000-0005-0000-0000-0000D64F0000}"/>
    <cellStyle name="40% - Accent6 6 2 3 5 2 2" xfId="30110" xr:uid="{00000000-0005-0000-0000-0000D74F0000}"/>
    <cellStyle name="40% - Accent6 6 2 3 5 3" xfId="22585" xr:uid="{00000000-0005-0000-0000-0000D84F0000}"/>
    <cellStyle name="40% - Accent6 6 2 3 6" xfId="9563" xr:uid="{00000000-0005-0000-0000-0000D94F0000}"/>
    <cellStyle name="40% - Accent6 6 2 3 6 2" xfId="24038" xr:uid="{00000000-0005-0000-0000-0000DA4F0000}"/>
    <cellStyle name="40% - Accent6 6 2 3 7" xfId="26806" xr:uid="{00000000-0005-0000-0000-0000DB4F0000}"/>
    <cellStyle name="40% - Accent6 6 2 4" xfId="5154" xr:uid="{00000000-0005-0000-0000-0000DC4F0000}"/>
    <cellStyle name="40% - Accent6 6 2 4 2" xfId="5155" xr:uid="{00000000-0005-0000-0000-0000DD4F0000}"/>
    <cellStyle name="40% - Accent6 6 2 4 2 2" xfId="15564" xr:uid="{00000000-0005-0000-0000-0000DE4F0000}"/>
    <cellStyle name="40% - Accent6 6 2 4 2 2 2" xfId="29113" xr:uid="{00000000-0005-0000-0000-0000DF4F0000}"/>
    <cellStyle name="40% - Accent6 6 2 4 2 3" xfId="24067" xr:uid="{00000000-0005-0000-0000-0000E04F0000}"/>
    <cellStyle name="40% - Accent6 6 2 4 3" xfId="11287" xr:uid="{00000000-0005-0000-0000-0000E14F0000}"/>
    <cellStyle name="40% - Accent6 6 2 4 3 2" xfId="25229" xr:uid="{00000000-0005-0000-0000-0000E24F0000}"/>
    <cellStyle name="40% - Accent6 6 2 4 4" xfId="24066" xr:uid="{00000000-0005-0000-0000-0000E34F0000}"/>
    <cellStyle name="40% - Accent6 6 2 5" xfId="5156" xr:uid="{00000000-0005-0000-0000-0000E44F0000}"/>
    <cellStyle name="40% - Accent6 6 2 5 2" xfId="12080" xr:uid="{00000000-0005-0000-0000-0000E54F0000}"/>
    <cellStyle name="40% - Accent6 6 2 5 2 2" xfId="25795" xr:uid="{00000000-0005-0000-0000-0000E64F0000}"/>
    <cellStyle name="40% - Accent6 6 2 5 3" xfId="22584" xr:uid="{00000000-0005-0000-0000-0000E74F0000}"/>
    <cellStyle name="40% - Accent6 6 2 6" xfId="5157" xr:uid="{00000000-0005-0000-0000-0000E84F0000}"/>
    <cellStyle name="40% - Accent6 6 2 6 2" xfId="13078" xr:uid="{00000000-0005-0000-0000-0000E94F0000}"/>
    <cellStyle name="40% - Accent6 6 2 6 2 2" xfId="26790" xr:uid="{00000000-0005-0000-0000-0000EA4F0000}"/>
    <cellStyle name="40% - Accent6 6 2 6 3" xfId="22583" xr:uid="{00000000-0005-0000-0000-0000EB4F0000}"/>
    <cellStyle name="40% - Accent6 6 2 7" xfId="5158" xr:uid="{00000000-0005-0000-0000-0000EC4F0000}"/>
    <cellStyle name="40% - Accent6 6 2 7 2" xfId="13655" xr:uid="{00000000-0005-0000-0000-0000ED4F0000}"/>
    <cellStyle name="40% - Accent6 6 2 7 2 2" xfId="27204" xr:uid="{00000000-0005-0000-0000-0000EE4F0000}"/>
    <cellStyle name="40% - Accent6 6 2 7 3" xfId="24065" xr:uid="{00000000-0005-0000-0000-0000EF4F0000}"/>
    <cellStyle name="40% - Accent6 6 2 8" xfId="5159" xr:uid="{00000000-0005-0000-0000-0000F04F0000}"/>
    <cellStyle name="40% - Accent6 6 2 8 2" xfId="14236" xr:uid="{00000000-0005-0000-0000-0000F14F0000}"/>
    <cellStyle name="40% - Accent6 6 2 8 2 2" xfId="27785" xr:uid="{00000000-0005-0000-0000-0000F24F0000}"/>
    <cellStyle name="40% - Accent6 6 2 8 3" xfId="22582" xr:uid="{00000000-0005-0000-0000-0000F34F0000}"/>
    <cellStyle name="40% - Accent6 6 2 9" xfId="5160" xr:uid="{00000000-0005-0000-0000-0000F44F0000}"/>
    <cellStyle name="40% - Accent6 6 2 9 2" xfId="15559" xr:uid="{00000000-0005-0000-0000-0000F54F0000}"/>
    <cellStyle name="40% - Accent6 6 2 9 2 2" xfId="29108" xr:uid="{00000000-0005-0000-0000-0000F64F0000}"/>
    <cellStyle name="40% - Accent6 6 2 9 3" xfId="24062" xr:uid="{00000000-0005-0000-0000-0000F74F0000}"/>
    <cellStyle name="40% - Accent6 6 3" xfId="5161" xr:uid="{00000000-0005-0000-0000-0000F84F0000}"/>
    <cellStyle name="40% - Accent6 6 3 10" xfId="9564" xr:uid="{00000000-0005-0000-0000-0000F94F0000}"/>
    <cellStyle name="40% - Accent6 6 3 10 2" xfId="24039" xr:uid="{00000000-0005-0000-0000-0000FA4F0000}"/>
    <cellStyle name="40% - Accent6 6 3 11" xfId="22581" xr:uid="{00000000-0005-0000-0000-0000FB4F0000}"/>
    <cellStyle name="40% - Accent6 6 3 2" xfId="5162" xr:uid="{00000000-0005-0000-0000-0000FC4F0000}"/>
    <cellStyle name="40% - Accent6 6 3 2 2" xfId="5163" xr:uid="{00000000-0005-0000-0000-0000FD4F0000}"/>
    <cellStyle name="40% - Accent6 6 3 2 2 2" xfId="11292" xr:uid="{00000000-0005-0000-0000-0000FE4F0000}"/>
    <cellStyle name="40% - Accent6 6 3 2 2 2 2" xfId="25234" xr:uid="{00000000-0005-0000-0000-0000FF4F0000}"/>
    <cellStyle name="40% - Accent6 6 3 2 2 3" xfId="22580" xr:uid="{00000000-0005-0000-0000-000000500000}"/>
    <cellStyle name="40% - Accent6 6 3 2 3" xfId="5164" xr:uid="{00000000-0005-0000-0000-000001500000}"/>
    <cellStyle name="40% - Accent6 6 3 2 3 2" xfId="13083" xr:uid="{00000000-0005-0000-0000-000002500000}"/>
    <cellStyle name="40% - Accent6 6 3 2 3 2 2" xfId="26795" xr:uid="{00000000-0005-0000-0000-000003500000}"/>
    <cellStyle name="40% - Accent6 6 3 2 3 3" xfId="24434" xr:uid="{00000000-0005-0000-0000-000004500000}"/>
    <cellStyle name="40% - Accent6 6 3 2 4" xfId="5165" xr:uid="{00000000-0005-0000-0000-000005500000}"/>
    <cellStyle name="40% - Accent6 6 3 2 4 2" xfId="15566" xr:uid="{00000000-0005-0000-0000-000006500000}"/>
    <cellStyle name="40% - Accent6 6 3 2 4 2 2" xfId="29115" xr:uid="{00000000-0005-0000-0000-000007500000}"/>
    <cellStyle name="40% - Accent6 6 3 2 4 3" xfId="29130" xr:uid="{00000000-0005-0000-0000-000008500000}"/>
    <cellStyle name="40% - Accent6 6 3 2 5" xfId="5166" xr:uid="{00000000-0005-0000-0000-000009500000}"/>
    <cellStyle name="40% - Accent6 6 3 2 5 2" xfId="16849" xr:uid="{00000000-0005-0000-0000-00000A500000}"/>
    <cellStyle name="40% - Accent6 6 3 2 5 2 2" xfId="30256" xr:uid="{00000000-0005-0000-0000-00000B500000}"/>
    <cellStyle name="40% - Accent6 6 3 2 5 3" xfId="22579" xr:uid="{00000000-0005-0000-0000-00000C500000}"/>
    <cellStyle name="40% - Accent6 6 3 2 6" xfId="9565" xr:uid="{00000000-0005-0000-0000-00000D500000}"/>
    <cellStyle name="40% - Accent6 6 3 2 6 2" xfId="24040" xr:uid="{00000000-0005-0000-0000-00000E500000}"/>
    <cellStyle name="40% - Accent6 6 3 2 7" xfId="25244" xr:uid="{00000000-0005-0000-0000-00000F500000}"/>
    <cellStyle name="40% - Accent6 6 3 3" xfId="5167" xr:uid="{00000000-0005-0000-0000-000010500000}"/>
    <cellStyle name="40% - Accent6 6 3 3 2" xfId="5168" xr:uid="{00000000-0005-0000-0000-000011500000}"/>
    <cellStyle name="40% - Accent6 6 3 3 2 2" xfId="15567" xr:uid="{00000000-0005-0000-0000-000012500000}"/>
    <cellStyle name="40% - Accent6 6 3 3 2 2 2" xfId="29116" xr:uid="{00000000-0005-0000-0000-000013500000}"/>
    <cellStyle name="40% - Accent6 6 3 3 2 3" xfId="24064" xr:uid="{00000000-0005-0000-0000-000014500000}"/>
    <cellStyle name="40% - Accent6 6 3 3 3" xfId="11291" xr:uid="{00000000-0005-0000-0000-000015500000}"/>
    <cellStyle name="40% - Accent6 6 3 3 3 2" xfId="25233" xr:uid="{00000000-0005-0000-0000-000016500000}"/>
    <cellStyle name="40% - Accent6 6 3 3 4" xfId="22578" xr:uid="{00000000-0005-0000-0000-000017500000}"/>
    <cellStyle name="40% - Accent6 6 3 4" xfId="5169" xr:uid="{00000000-0005-0000-0000-000018500000}"/>
    <cellStyle name="40% - Accent6 6 3 4 2" xfId="12237" xr:uid="{00000000-0005-0000-0000-000019500000}"/>
    <cellStyle name="40% - Accent6 6 3 4 2 2" xfId="25949" xr:uid="{00000000-0005-0000-0000-00001A500000}"/>
    <cellStyle name="40% - Accent6 6 3 4 3" xfId="22577" xr:uid="{00000000-0005-0000-0000-00001B500000}"/>
    <cellStyle name="40% - Accent6 6 3 5" xfId="5170" xr:uid="{00000000-0005-0000-0000-00001C500000}"/>
    <cellStyle name="40% - Accent6 6 3 5 2" xfId="13082" xr:uid="{00000000-0005-0000-0000-00001D500000}"/>
    <cellStyle name="40% - Accent6 6 3 5 2 2" xfId="26794" xr:uid="{00000000-0005-0000-0000-00001E500000}"/>
    <cellStyle name="40% - Accent6 6 3 5 3" xfId="24063" xr:uid="{00000000-0005-0000-0000-00001F500000}"/>
    <cellStyle name="40% - Accent6 6 3 6" xfId="5171" xr:uid="{00000000-0005-0000-0000-000020500000}"/>
    <cellStyle name="40% - Accent6 6 3 6 2" xfId="13801" xr:uid="{00000000-0005-0000-0000-000021500000}"/>
    <cellStyle name="40% - Accent6 6 3 6 2 2" xfId="27350" xr:uid="{00000000-0005-0000-0000-000022500000}"/>
    <cellStyle name="40% - Accent6 6 3 6 3" xfId="22576" xr:uid="{00000000-0005-0000-0000-000023500000}"/>
    <cellStyle name="40% - Accent6 6 3 7" xfId="5172" xr:uid="{00000000-0005-0000-0000-000024500000}"/>
    <cellStyle name="40% - Accent6 6 3 7 2" xfId="14382" xr:uid="{00000000-0005-0000-0000-000025500000}"/>
    <cellStyle name="40% - Accent6 6 3 7 2 2" xfId="27931" xr:uid="{00000000-0005-0000-0000-000026500000}"/>
    <cellStyle name="40% - Accent6 6 3 7 3" xfId="23251" xr:uid="{00000000-0005-0000-0000-000027500000}"/>
    <cellStyle name="40% - Accent6 6 3 8" xfId="5173" xr:uid="{00000000-0005-0000-0000-000028500000}"/>
    <cellStyle name="40% - Accent6 6 3 8 2" xfId="15565" xr:uid="{00000000-0005-0000-0000-000029500000}"/>
    <cellStyle name="40% - Accent6 6 3 8 2 2" xfId="29114" xr:uid="{00000000-0005-0000-0000-00002A500000}"/>
    <cellStyle name="40% - Accent6 6 3 8 3" xfId="24061" xr:uid="{00000000-0005-0000-0000-00002B500000}"/>
    <cellStyle name="40% - Accent6 6 3 9" xfId="5174" xr:uid="{00000000-0005-0000-0000-00002C500000}"/>
    <cellStyle name="40% - Accent6 6 3 9 2" xfId="16268" xr:uid="{00000000-0005-0000-0000-00002D500000}"/>
    <cellStyle name="40% - Accent6 6 3 9 2 2" xfId="29675" xr:uid="{00000000-0005-0000-0000-00002E500000}"/>
    <cellStyle name="40% - Accent6 6 3 9 3" xfId="22575" xr:uid="{00000000-0005-0000-0000-00002F500000}"/>
    <cellStyle name="40% - Accent6 6 4" xfId="5175" xr:uid="{00000000-0005-0000-0000-000030500000}"/>
    <cellStyle name="40% - Accent6 6 4 2" xfId="5176" xr:uid="{00000000-0005-0000-0000-000031500000}"/>
    <cellStyle name="40% - Accent6 6 4 2 2" xfId="11293" xr:uid="{00000000-0005-0000-0000-000032500000}"/>
    <cellStyle name="40% - Accent6 6 4 2 2 2" xfId="25235" xr:uid="{00000000-0005-0000-0000-000033500000}"/>
    <cellStyle name="40% - Accent6 6 4 2 3" xfId="22574" xr:uid="{00000000-0005-0000-0000-000034500000}"/>
    <cellStyle name="40% - Accent6 6 4 3" xfId="5177" xr:uid="{00000000-0005-0000-0000-000035500000}"/>
    <cellStyle name="40% - Accent6 6 4 3 2" xfId="13084" xr:uid="{00000000-0005-0000-0000-000036500000}"/>
    <cellStyle name="40% - Accent6 6 4 3 2 2" xfId="26796" xr:uid="{00000000-0005-0000-0000-000037500000}"/>
    <cellStyle name="40% - Accent6 6 4 3 3" xfId="24059" xr:uid="{00000000-0005-0000-0000-000038500000}"/>
    <cellStyle name="40% - Accent6 6 4 4" xfId="5178" xr:uid="{00000000-0005-0000-0000-000039500000}"/>
    <cellStyle name="40% - Accent6 6 4 4 2" xfId="15568" xr:uid="{00000000-0005-0000-0000-00003A500000}"/>
    <cellStyle name="40% - Accent6 6 4 4 2 2" xfId="29117" xr:uid="{00000000-0005-0000-0000-00003B500000}"/>
    <cellStyle name="40% - Accent6 6 4 4 3" xfId="22573" xr:uid="{00000000-0005-0000-0000-00003C500000}"/>
    <cellStyle name="40% - Accent6 6 4 5" xfId="5179" xr:uid="{00000000-0005-0000-0000-00003D500000}"/>
    <cellStyle name="40% - Accent6 6 4 5 2" xfId="16560" xr:uid="{00000000-0005-0000-0000-00003E500000}"/>
    <cellStyle name="40% - Accent6 6 4 5 2 2" xfId="29967" xr:uid="{00000000-0005-0000-0000-00003F500000}"/>
    <cellStyle name="40% - Accent6 6 4 5 3" xfId="24058" xr:uid="{00000000-0005-0000-0000-000040500000}"/>
    <cellStyle name="40% - Accent6 6 4 6" xfId="9566" xr:uid="{00000000-0005-0000-0000-000041500000}"/>
    <cellStyle name="40% - Accent6 6 4 6 2" xfId="24041" xr:uid="{00000000-0005-0000-0000-000042500000}"/>
    <cellStyle name="40% - Accent6 6 4 7" xfId="24060" xr:uid="{00000000-0005-0000-0000-000043500000}"/>
    <cellStyle name="40% - Accent6 6 5" xfId="5180" xr:uid="{00000000-0005-0000-0000-000044500000}"/>
    <cellStyle name="40% - Accent6 6 5 2" xfId="5181" xr:uid="{00000000-0005-0000-0000-000045500000}"/>
    <cellStyle name="40% - Accent6 6 5 2 2" xfId="15569" xr:uid="{00000000-0005-0000-0000-000046500000}"/>
    <cellStyle name="40% - Accent6 6 5 2 2 2" xfId="29118" xr:uid="{00000000-0005-0000-0000-000047500000}"/>
    <cellStyle name="40% - Accent6 6 5 2 3" xfId="24056" xr:uid="{00000000-0005-0000-0000-000048500000}"/>
    <cellStyle name="40% - Accent6 6 5 3" xfId="11286" xr:uid="{00000000-0005-0000-0000-000049500000}"/>
    <cellStyle name="40% - Accent6 6 5 3 2" xfId="25228" xr:uid="{00000000-0005-0000-0000-00004A500000}"/>
    <cellStyle name="40% - Accent6 6 5 4" xfId="22572" xr:uid="{00000000-0005-0000-0000-00004B500000}"/>
    <cellStyle name="40% - Accent6 6 6" xfId="5182" xr:uid="{00000000-0005-0000-0000-00004C500000}"/>
    <cellStyle name="40% - Accent6 6 6 2" xfId="11935" xr:uid="{00000000-0005-0000-0000-00004D500000}"/>
    <cellStyle name="40% - Accent6 6 6 2 2" xfId="25650" xr:uid="{00000000-0005-0000-0000-00004E500000}"/>
    <cellStyle name="40% - Accent6 6 6 3" xfId="24057" xr:uid="{00000000-0005-0000-0000-00004F500000}"/>
    <cellStyle name="40% - Accent6 6 7" xfId="5183" xr:uid="{00000000-0005-0000-0000-000050500000}"/>
    <cellStyle name="40% - Accent6 6 7 2" xfId="13077" xr:uid="{00000000-0005-0000-0000-000051500000}"/>
    <cellStyle name="40% - Accent6 6 7 2 2" xfId="26789" xr:uid="{00000000-0005-0000-0000-000052500000}"/>
    <cellStyle name="40% - Accent6 6 7 3" xfId="22571" xr:uid="{00000000-0005-0000-0000-000053500000}"/>
    <cellStyle name="40% - Accent6 6 8" xfId="5184" xr:uid="{00000000-0005-0000-0000-000054500000}"/>
    <cellStyle name="40% - Accent6 6 8 2" xfId="13512" xr:uid="{00000000-0005-0000-0000-000055500000}"/>
    <cellStyle name="40% - Accent6 6 8 2 2" xfId="27061" xr:uid="{00000000-0005-0000-0000-000056500000}"/>
    <cellStyle name="40% - Accent6 6 8 3" xfId="22570" xr:uid="{00000000-0005-0000-0000-000057500000}"/>
    <cellStyle name="40% - Accent6 6 9" xfId="5185" xr:uid="{00000000-0005-0000-0000-000058500000}"/>
    <cellStyle name="40% - Accent6 6 9 2" xfId="14093" xr:uid="{00000000-0005-0000-0000-000059500000}"/>
    <cellStyle name="40% - Accent6 6 9 2 2" xfId="27642" xr:uid="{00000000-0005-0000-0000-00005A500000}"/>
    <cellStyle name="40% - Accent6 6 9 3" xfId="24055" xr:uid="{00000000-0005-0000-0000-00005B500000}"/>
    <cellStyle name="40% - Accent6 7" xfId="5186" xr:uid="{00000000-0005-0000-0000-00005C500000}"/>
    <cellStyle name="40% - Accent6 7 10" xfId="5187" xr:uid="{00000000-0005-0000-0000-00005D500000}"/>
    <cellStyle name="40% - Accent6 7 10 2" xfId="15999" xr:uid="{00000000-0005-0000-0000-00005E500000}"/>
    <cellStyle name="40% - Accent6 7 10 2 2" xfId="29406" xr:uid="{00000000-0005-0000-0000-00005F500000}"/>
    <cellStyle name="40% - Accent6 7 10 3" xfId="22569" xr:uid="{00000000-0005-0000-0000-000060500000}"/>
    <cellStyle name="40% - Accent6 7 11" xfId="9567" xr:uid="{00000000-0005-0000-0000-000061500000}"/>
    <cellStyle name="40% - Accent6 7 11 2" xfId="24042" xr:uid="{00000000-0005-0000-0000-000062500000}"/>
    <cellStyle name="40% - Accent6 7 12" xfId="26804" xr:uid="{00000000-0005-0000-0000-000063500000}"/>
    <cellStyle name="40% - Accent6 7 2" xfId="5188" xr:uid="{00000000-0005-0000-0000-000064500000}"/>
    <cellStyle name="40% - Accent6 7 2 10" xfId="9568" xr:uid="{00000000-0005-0000-0000-000065500000}"/>
    <cellStyle name="40% - Accent6 7 2 10 2" xfId="24043" xr:uid="{00000000-0005-0000-0000-000066500000}"/>
    <cellStyle name="40% - Accent6 7 2 11" xfId="26805" xr:uid="{00000000-0005-0000-0000-000067500000}"/>
    <cellStyle name="40% - Accent6 7 2 2" xfId="5189" xr:uid="{00000000-0005-0000-0000-000068500000}"/>
    <cellStyle name="40% - Accent6 7 2 2 2" xfId="5190" xr:uid="{00000000-0005-0000-0000-000069500000}"/>
    <cellStyle name="40% - Accent6 7 2 2 2 2" xfId="11296" xr:uid="{00000000-0005-0000-0000-00006A500000}"/>
    <cellStyle name="40% - Accent6 7 2 2 2 2 2" xfId="25238" xr:uid="{00000000-0005-0000-0000-00006B500000}"/>
    <cellStyle name="40% - Accent6 7 2 2 2 3" xfId="22567" xr:uid="{00000000-0005-0000-0000-00006C500000}"/>
    <cellStyle name="40% - Accent6 7 2 2 3" xfId="5191" xr:uid="{00000000-0005-0000-0000-00006D500000}"/>
    <cellStyle name="40% - Accent6 7 2 2 3 2" xfId="13087" xr:uid="{00000000-0005-0000-0000-00006E500000}"/>
    <cellStyle name="40% - Accent6 7 2 2 3 2 2" xfId="26799" xr:uid="{00000000-0005-0000-0000-00006F500000}"/>
    <cellStyle name="40% - Accent6 7 2 2 3 3" xfId="24053" xr:uid="{00000000-0005-0000-0000-000070500000}"/>
    <cellStyle name="40% - Accent6 7 2 2 4" xfId="5192" xr:uid="{00000000-0005-0000-0000-000071500000}"/>
    <cellStyle name="40% - Accent6 7 2 2 4 2" xfId="15572" xr:uid="{00000000-0005-0000-0000-000072500000}"/>
    <cellStyle name="40% - Accent6 7 2 2 4 2 2" xfId="29121" xr:uid="{00000000-0005-0000-0000-000073500000}"/>
    <cellStyle name="40% - Accent6 7 2 2 4 3" xfId="24054" xr:uid="{00000000-0005-0000-0000-000074500000}"/>
    <cellStyle name="40% - Accent6 7 2 2 5" xfId="5193" xr:uid="{00000000-0005-0000-0000-000075500000}"/>
    <cellStyle name="40% - Accent6 7 2 2 5 2" xfId="16869" xr:uid="{00000000-0005-0000-0000-000076500000}"/>
    <cellStyle name="40% - Accent6 7 2 2 5 2 2" xfId="30276" xr:uid="{00000000-0005-0000-0000-000077500000}"/>
    <cellStyle name="40% - Accent6 7 2 2 5 3" xfId="22566" xr:uid="{00000000-0005-0000-0000-000078500000}"/>
    <cellStyle name="40% - Accent6 7 2 2 6" xfId="9569" xr:uid="{00000000-0005-0000-0000-000079500000}"/>
    <cellStyle name="40% - Accent6 7 2 2 6 2" xfId="24044" xr:uid="{00000000-0005-0000-0000-00007A500000}"/>
    <cellStyle name="40% - Accent6 7 2 2 7" xfId="22568" xr:uid="{00000000-0005-0000-0000-00007B500000}"/>
    <cellStyle name="40% - Accent6 7 2 3" xfId="5194" xr:uid="{00000000-0005-0000-0000-00007C500000}"/>
    <cellStyle name="40% - Accent6 7 2 3 2" xfId="5195" xr:uid="{00000000-0005-0000-0000-00007D500000}"/>
    <cellStyle name="40% - Accent6 7 2 3 2 2" xfId="15573" xr:uid="{00000000-0005-0000-0000-00007E500000}"/>
    <cellStyle name="40% - Accent6 7 2 3 2 2 2" xfId="29122" xr:uid="{00000000-0005-0000-0000-00007F500000}"/>
    <cellStyle name="40% - Accent6 7 2 3 2 3" xfId="24052" xr:uid="{00000000-0005-0000-0000-000080500000}"/>
    <cellStyle name="40% - Accent6 7 2 3 3" xfId="11295" xr:uid="{00000000-0005-0000-0000-000081500000}"/>
    <cellStyle name="40% - Accent6 7 2 3 3 2" xfId="25237" xr:uid="{00000000-0005-0000-0000-000082500000}"/>
    <cellStyle name="40% - Accent6 7 2 3 4" xfId="22565" xr:uid="{00000000-0005-0000-0000-000083500000}"/>
    <cellStyle name="40% - Accent6 7 2 4" xfId="5196" xr:uid="{00000000-0005-0000-0000-000084500000}"/>
    <cellStyle name="40% - Accent6 7 2 4 2" xfId="12257" xr:uid="{00000000-0005-0000-0000-000085500000}"/>
    <cellStyle name="40% - Accent6 7 2 4 2 2" xfId="25969" xr:uid="{00000000-0005-0000-0000-000086500000}"/>
    <cellStyle name="40% - Accent6 7 2 4 3" xfId="22564" xr:uid="{00000000-0005-0000-0000-000087500000}"/>
    <cellStyle name="40% - Accent6 7 2 5" xfId="5197" xr:uid="{00000000-0005-0000-0000-000088500000}"/>
    <cellStyle name="40% - Accent6 7 2 5 2" xfId="13086" xr:uid="{00000000-0005-0000-0000-000089500000}"/>
    <cellStyle name="40% - Accent6 7 2 5 2 2" xfId="26798" xr:uid="{00000000-0005-0000-0000-00008A500000}"/>
    <cellStyle name="40% - Accent6 7 2 5 3" xfId="24049" xr:uid="{00000000-0005-0000-0000-00008B500000}"/>
    <cellStyle name="40% - Accent6 7 2 6" xfId="5198" xr:uid="{00000000-0005-0000-0000-00008C500000}"/>
    <cellStyle name="40% - Accent6 7 2 6 2" xfId="13821" xr:uid="{00000000-0005-0000-0000-00008D500000}"/>
    <cellStyle name="40% - Accent6 7 2 6 2 2" xfId="27370" xr:uid="{00000000-0005-0000-0000-00008E500000}"/>
    <cellStyle name="40% - Accent6 7 2 6 3" xfId="22563" xr:uid="{00000000-0005-0000-0000-00008F500000}"/>
    <cellStyle name="40% - Accent6 7 2 7" xfId="5199" xr:uid="{00000000-0005-0000-0000-000090500000}"/>
    <cellStyle name="40% - Accent6 7 2 7 2" xfId="14402" xr:uid="{00000000-0005-0000-0000-000091500000}"/>
    <cellStyle name="40% - Accent6 7 2 7 2 2" xfId="27951" xr:uid="{00000000-0005-0000-0000-000092500000}"/>
    <cellStyle name="40% - Accent6 7 2 7 3" xfId="25243" xr:uid="{00000000-0005-0000-0000-000093500000}"/>
    <cellStyle name="40% - Accent6 7 2 8" xfId="5200" xr:uid="{00000000-0005-0000-0000-000094500000}"/>
    <cellStyle name="40% - Accent6 7 2 8 2" xfId="15571" xr:uid="{00000000-0005-0000-0000-000095500000}"/>
    <cellStyle name="40% - Accent6 7 2 8 2 2" xfId="29120" xr:uid="{00000000-0005-0000-0000-000096500000}"/>
    <cellStyle name="40% - Accent6 7 2 8 3" xfId="22562" xr:uid="{00000000-0005-0000-0000-000097500000}"/>
    <cellStyle name="40% - Accent6 7 2 9" xfId="5201" xr:uid="{00000000-0005-0000-0000-000098500000}"/>
    <cellStyle name="40% - Accent6 7 2 9 2" xfId="16288" xr:uid="{00000000-0005-0000-0000-000099500000}"/>
    <cellStyle name="40% - Accent6 7 2 9 2 2" xfId="29695" xr:uid="{00000000-0005-0000-0000-00009A500000}"/>
    <cellStyle name="40% - Accent6 7 2 9 3" xfId="24433" xr:uid="{00000000-0005-0000-0000-00009B500000}"/>
    <cellStyle name="40% - Accent6 7 3" xfId="5202" xr:uid="{00000000-0005-0000-0000-00009C500000}"/>
    <cellStyle name="40% - Accent6 7 3 2" xfId="5203" xr:uid="{00000000-0005-0000-0000-00009D500000}"/>
    <cellStyle name="40% - Accent6 7 3 2 2" xfId="11297" xr:uid="{00000000-0005-0000-0000-00009E500000}"/>
    <cellStyle name="40% - Accent6 7 3 2 2 2" xfId="25239" xr:uid="{00000000-0005-0000-0000-00009F500000}"/>
    <cellStyle name="40% - Accent6 7 3 2 3" xfId="22561" xr:uid="{00000000-0005-0000-0000-0000A0500000}"/>
    <cellStyle name="40% - Accent6 7 3 3" xfId="5204" xr:uid="{00000000-0005-0000-0000-0000A1500000}"/>
    <cellStyle name="40% - Accent6 7 3 3 2" xfId="13088" xr:uid="{00000000-0005-0000-0000-0000A2500000}"/>
    <cellStyle name="40% - Accent6 7 3 3 2 2" xfId="26800" xr:uid="{00000000-0005-0000-0000-0000A3500000}"/>
    <cellStyle name="40% - Accent6 7 3 3 3" xfId="22560" xr:uid="{00000000-0005-0000-0000-0000A4500000}"/>
    <cellStyle name="40% - Accent6 7 3 4" xfId="5205" xr:uid="{00000000-0005-0000-0000-0000A5500000}"/>
    <cellStyle name="40% - Accent6 7 3 4 2" xfId="15574" xr:uid="{00000000-0005-0000-0000-0000A6500000}"/>
    <cellStyle name="40% - Accent6 7 3 4 2 2" xfId="29123" xr:uid="{00000000-0005-0000-0000-0000A7500000}"/>
    <cellStyle name="40% - Accent6 7 3 4 3" xfId="24051" xr:uid="{00000000-0005-0000-0000-0000A8500000}"/>
    <cellStyle name="40% - Accent6 7 3 5" xfId="5206" xr:uid="{00000000-0005-0000-0000-0000A9500000}"/>
    <cellStyle name="40% - Accent6 7 3 5 2" xfId="16580" xr:uid="{00000000-0005-0000-0000-0000AA500000}"/>
    <cellStyle name="40% - Accent6 7 3 5 2 2" xfId="29987" xr:uid="{00000000-0005-0000-0000-0000AB500000}"/>
    <cellStyle name="40% - Accent6 7 3 5 3" xfId="22559" xr:uid="{00000000-0005-0000-0000-0000AC500000}"/>
    <cellStyle name="40% - Accent6 7 3 6" xfId="9570" xr:uid="{00000000-0005-0000-0000-0000AD500000}"/>
    <cellStyle name="40% - Accent6 7 3 6 2" xfId="24045" xr:uid="{00000000-0005-0000-0000-0000AE500000}"/>
    <cellStyle name="40% - Accent6 7 3 7" xfId="29129" xr:uid="{00000000-0005-0000-0000-0000AF500000}"/>
    <cellStyle name="40% - Accent6 7 4" xfId="5207" xr:uid="{00000000-0005-0000-0000-0000B0500000}"/>
    <cellStyle name="40% - Accent6 7 4 2" xfId="5208" xr:uid="{00000000-0005-0000-0000-0000B1500000}"/>
    <cellStyle name="40% - Accent6 7 4 2 2" xfId="15575" xr:uid="{00000000-0005-0000-0000-0000B2500000}"/>
    <cellStyle name="40% - Accent6 7 4 2 2 2" xfId="29124" xr:uid="{00000000-0005-0000-0000-0000B3500000}"/>
    <cellStyle name="40% - Accent6 7 4 2 3" xfId="22558" xr:uid="{00000000-0005-0000-0000-0000B4500000}"/>
    <cellStyle name="40% - Accent6 7 4 3" xfId="11294" xr:uid="{00000000-0005-0000-0000-0000B5500000}"/>
    <cellStyle name="40% - Accent6 7 4 3 2" xfId="25236" xr:uid="{00000000-0005-0000-0000-0000B6500000}"/>
    <cellStyle name="40% - Accent6 7 4 4" xfId="24050" xr:uid="{00000000-0005-0000-0000-0000B7500000}"/>
    <cellStyle name="40% - Accent6 7 5" xfId="5209" xr:uid="{00000000-0005-0000-0000-0000B8500000}"/>
    <cellStyle name="40% - Accent6 7 5 2" xfId="11955" xr:uid="{00000000-0005-0000-0000-0000B9500000}"/>
    <cellStyle name="40% - Accent6 7 5 2 2" xfId="25670" xr:uid="{00000000-0005-0000-0000-0000BA500000}"/>
    <cellStyle name="40% - Accent6 7 5 3" xfId="23248" xr:uid="{00000000-0005-0000-0000-0000BB500000}"/>
    <cellStyle name="40% - Accent6 7 6" xfId="5210" xr:uid="{00000000-0005-0000-0000-0000BC500000}"/>
    <cellStyle name="40% - Accent6 7 6 2" xfId="13085" xr:uid="{00000000-0005-0000-0000-0000BD500000}"/>
    <cellStyle name="40% - Accent6 7 6 2 2" xfId="26797" xr:uid="{00000000-0005-0000-0000-0000BE500000}"/>
    <cellStyle name="40% - Accent6 7 6 3" xfId="22557" xr:uid="{00000000-0005-0000-0000-0000BF500000}"/>
    <cellStyle name="40% - Accent6 7 7" xfId="5211" xr:uid="{00000000-0005-0000-0000-0000C0500000}"/>
    <cellStyle name="40% - Accent6 7 7 2" xfId="13532" xr:uid="{00000000-0005-0000-0000-0000C1500000}"/>
    <cellStyle name="40% - Accent6 7 7 2 2" xfId="27081" xr:uid="{00000000-0005-0000-0000-0000C2500000}"/>
    <cellStyle name="40% - Accent6 7 7 3" xfId="22556" xr:uid="{00000000-0005-0000-0000-0000C3500000}"/>
    <cellStyle name="40% - Accent6 7 8" xfId="5212" xr:uid="{00000000-0005-0000-0000-0000C4500000}"/>
    <cellStyle name="40% - Accent6 7 8 2" xfId="14113" xr:uid="{00000000-0005-0000-0000-0000C5500000}"/>
    <cellStyle name="40% - Accent6 7 8 2 2" xfId="27662" xr:uid="{00000000-0005-0000-0000-0000C6500000}"/>
    <cellStyle name="40% - Accent6 7 8 3" xfId="22555" xr:uid="{00000000-0005-0000-0000-0000C7500000}"/>
    <cellStyle name="40% - Accent6 7 9" xfId="5213" xr:uid="{00000000-0005-0000-0000-0000C8500000}"/>
    <cellStyle name="40% - Accent6 7 9 2" xfId="15570" xr:uid="{00000000-0005-0000-0000-0000C9500000}"/>
    <cellStyle name="40% - Accent6 7 9 2 2" xfId="29119" xr:uid="{00000000-0005-0000-0000-0000CA500000}"/>
    <cellStyle name="40% - Accent6 7 9 3" xfId="22554" xr:uid="{00000000-0005-0000-0000-0000CB500000}"/>
    <cellStyle name="40% - Accent6 8" xfId="5214" xr:uid="{00000000-0005-0000-0000-0000CC500000}"/>
    <cellStyle name="40% - Accent6 8 10" xfId="9571" xr:uid="{00000000-0005-0000-0000-0000CD500000}"/>
    <cellStyle name="40% - Accent6 8 10 2" xfId="24046" xr:uid="{00000000-0005-0000-0000-0000CE500000}"/>
    <cellStyle name="40% - Accent6 8 11" xfId="22553" xr:uid="{00000000-0005-0000-0000-0000CF500000}"/>
    <cellStyle name="40% - Accent6 8 2" xfId="5215" xr:uid="{00000000-0005-0000-0000-0000D0500000}"/>
    <cellStyle name="40% - Accent6 8 2 2" xfId="5216" xr:uid="{00000000-0005-0000-0000-0000D1500000}"/>
    <cellStyle name="40% - Accent6 8 2 2 2" xfId="11299" xr:uid="{00000000-0005-0000-0000-0000D2500000}"/>
    <cellStyle name="40% - Accent6 8 2 2 2 2" xfId="25241" xr:uid="{00000000-0005-0000-0000-0000D3500000}"/>
    <cellStyle name="40% - Accent6 8 2 2 3" xfId="22551" xr:uid="{00000000-0005-0000-0000-0000D4500000}"/>
    <cellStyle name="40% - Accent6 8 2 3" xfId="5217" xr:uid="{00000000-0005-0000-0000-0000D5500000}"/>
    <cellStyle name="40% - Accent6 8 2 3 2" xfId="13090" xr:uid="{00000000-0005-0000-0000-0000D6500000}"/>
    <cellStyle name="40% - Accent6 8 2 3 2 2" xfId="26802" xr:uid="{00000000-0005-0000-0000-0000D7500000}"/>
    <cellStyle name="40% - Accent6 8 2 3 3" xfId="22550" xr:uid="{00000000-0005-0000-0000-0000D8500000}"/>
    <cellStyle name="40% - Accent6 8 2 4" xfId="5218" xr:uid="{00000000-0005-0000-0000-0000D9500000}"/>
    <cellStyle name="40% - Accent6 8 2 4 2" xfId="15577" xr:uid="{00000000-0005-0000-0000-0000DA500000}"/>
    <cellStyle name="40% - Accent6 8 2 4 2 2" xfId="29126" xr:uid="{00000000-0005-0000-0000-0000DB500000}"/>
    <cellStyle name="40% - Accent6 8 2 4 3" xfId="22549" xr:uid="{00000000-0005-0000-0000-0000DC500000}"/>
    <cellStyle name="40% - Accent6 8 2 5" xfId="5219" xr:uid="{00000000-0005-0000-0000-0000DD500000}"/>
    <cellStyle name="40% - Accent6 8 2 5 2" xfId="16723" xr:uid="{00000000-0005-0000-0000-0000DE500000}"/>
    <cellStyle name="40% - Accent6 8 2 5 2 2" xfId="30130" xr:uid="{00000000-0005-0000-0000-0000DF500000}"/>
    <cellStyle name="40% - Accent6 8 2 5 3" xfId="22548" xr:uid="{00000000-0005-0000-0000-0000E0500000}"/>
    <cellStyle name="40% - Accent6 8 2 6" xfId="9572" xr:uid="{00000000-0005-0000-0000-0000E1500000}"/>
    <cellStyle name="40% - Accent6 8 2 6 2" xfId="24047" xr:uid="{00000000-0005-0000-0000-0000E2500000}"/>
    <cellStyle name="40% - Accent6 8 2 7" xfId="22552" xr:uid="{00000000-0005-0000-0000-0000E3500000}"/>
    <cellStyle name="40% - Accent6 8 3" xfId="5220" xr:uid="{00000000-0005-0000-0000-0000E4500000}"/>
    <cellStyle name="40% - Accent6 8 3 2" xfId="5221" xr:uid="{00000000-0005-0000-0000-0000E5500000}"/>
    <cellStyle name="40% - Accent6 8 3 2 2" xfId="15578" xr:uid="{00000000-0005-0000-0000-0000E6500000}"/>
    <cellStyle name="40% - Accent6 8 3 2 2 2" xfId="29127" xr:uid="{00000000-0005-0000-0000-0000E7500000}"/>
    <cellStyle name="40% - Accent6 8 3 2 3" xfId="22546" xr:uid="{00000000-0005-0000-0000-0000E8500000}"/>
    <cellStyle name="40% - Accent6 8 3 3" xfId="11298" xr:uid="{00000000-0005-0000-0000-0000E9500000}"/>
    <cellStyle name="40% - Accent6 8 3 3 2" xfId="25240" xr:uid="{00000000-0005-0000-0000-0000EA500000}"/>
    <cellStyle name="40% - Accent6 8 3 4" xfId="22547" xr:uid="{00000000-0005-0000-0000-0000EB500000}"/>
    <cellStyle name="40% - Accent6 8 4" xfId="5222" xr:uid="{00000000-0005-0000-0000-0000EC500000}"/>
    <cellStyle name="40% - Accent6 8 4 2" xfId="12101" xr:uid="{00000000-0005-0000-0000-0000ED500000}"/>
    <cellStyle name="40% - Accent6 8 4 2 2" xfId="25815" xr:uid="{00000000-0005-0000-0000-0000EE500000}"/>
    <cellStyle name="40% - Accent6 8 4 3" xfId="22545" xr:uid="{00000000-0005-0000-0000-0000EF500000}"/>
    <cellStyle name="40% - Accent6 8 5" xfId="5223" xr:uid="{00000000-0005-0000-0000-0000F0500000}"/>
    <cellStyle name="40% - Accent6 8 5 2" xfId="13089" xr:uid="{00000000-0005-0000-0000-0000F1500000}"/>
    <cellStyle name="40% - Accent6 8 5 2 2" xfId="26801" xr:uid="{00000000-0005-0000-0000-0000F2500000}"/>
    <cellStyle name="40% - Accent6 8 5 3" xfId="22544" xr:uid="{00000000-0005-0000-0000-0000F3500000}"/>
    <cellStyle name="40% - Accent6 8 6" xfId="5224" xr:uid="{00000000-0005-0000-0000-0000F4500000}"/>
    <cellStyle name="40% - Accent6 8 6 2" xfId="13675" xr:uid="{00000000-0005-0000-0000-0000F5500000}"/>
    <cellStyle name="40% - Accent6 8 6 2 2" xfId="27224" xr:uid="{00000000-0005-0000-0000-0000F6500000}"/>
    <cellStyle name="40% - Accent6 8 6 3" xfId="22543" xr:uid="{00000000-0005-0000-0000-0000F7500000}"/>
    <cellStyle name="40% - Accent6 8 7" xfId="5225" xr:uid="{00000000-0005-0000-0000-0000F8500000}"/>
    <cellStyle name="40% - Accent6 8 7 2" xfId="14256" xr:uid="{00000000-0005-0000-0000-0000F9500000}"/>
    <cellStyle name="40% - Accent6 8 7 2 2" xfId="27805" xr:uid="{00000000-0005-0000-0000-0000FA500000}"/>
    <cellStyle name="40% - Accent6 8 7 3" xfId="22542" xr:uid="{00000000-0005-0000-0000-0000FB500000}"/>
    <cellStyle name="40% - Accent6 8 8" xfId="5226" xr:uid="{00000000-0005-0000-0000-0000FC500000}"/>
    <cellStyle name="40% - Accent6 8 8 2" xfId="15576" xr:uid="{00000000-0005-0000-0000-0000FD500000}"/>
    <cellStyle name="40% - Accent6 8 8 2 2" xfId="29125" xr:uid="{00000000-0005-0000-0000-0000FE500000}"/>
    <cellStyle name="40% - Accent6 8 8 3" xfId="22541" xr:uid="{00000000-0005-0000-0000-0000FF500000}"/>
    <cellStyle name="40% - Accent6 8 9" xfId="5227" xr:uid="{00000000-0005-0000-0000-000000510000}"/>
    <cellStyle name="40% - Accent6 8 9 2" xfId="16142" xr:uid="{00000000-0005-0000-0000-000001510000}"/>
    <cellStyle name="40% - Accent6 8 9 2 2" xfId="29549" xr:uid="{00000000-0005-0000-0000-000002510000}"/>
    <cellStyle name="40% - Accent6 8 9 3" xfId="22540" xr:uid="{00000000-0005-0000-0000-000003510000}"/>
    <cellStyle name="40% - Accent6 9" xfId="5228" xr:uid="{00000000-0005-0000-0000-000004510000}"/>
    <cellStyle name="40% - Accent6 9 2" xfId="5229" xr:uid="{00000000-0005-0000-0000-000005510000}"/>
    <cellStyle name="40% - Accent6 9 2 2" xfId="11300" xr:uid="{00000000-0005-0000-0000-000006510000}"/>
    <cellStyle name="40% - Accent6 9 2 2 2" xfId="25242" xr:uid="{00000000-0005-0000-0000-000007510000}"/>
    <cellStyle name="40% - Accent6 9 2 3" xfId="22538" xr:uid="{00000000-0005-0000-0000-000008510000}"/>
    <cellStyle name="40% - Accent6 9 3" xfId="5230" xr:uid="{00000000-0005-0000-0000-000009510000}"/>
    <cellStyle name="40% - Accent6 9 3 2" xfId="13091" xr:uid="{00000000-0005-0000-0000-00000A510000}"/>
    <cellStyle name="40% - Accent6 9 3 2 2" xfId="26803" xr:uid="{00000000-0005-0000-0000-00000B510000}"/>
    <cellStyle name="40% - Accent6 9 3 3" xfId="22537" xr:uid="{00000000-0005-0000-0000-00000C510000}"/>
    <cellStyle name="40% - Accent6 9 4" xfId="5231" xr:uid="{00000000-0005-0000-0000-00000D510000}"/>
    <cellStyle name="40% - Accent6 9 4 2" xfId="15579" xr:uid="{00000000-0005-0000-0000-00000E510000}"/>
    <cellStyle name="40% - Accent6 9 4 2 2" xfId="29128" xr:uid="{00000000-0005-0000-0000-00000F510000}"/>
    <cellStyle name="40% - Accent6 9 4 3" xfId="22536" xr:uid="{00000000-0005-0000-0000-000010510000}"/>
    <cellStyle name="40% - Accent6 9 5" xfId="5232" xr:uid="{00000000-0005-0000-0000-000011510000}"/>
    <cellStyle name="40% - Accent6 9 5 2" xfId="17107" xr:uid="{00000000-0005-0000-0000-000012510000}"/>
    <cellStyle name="40% - Accent6 9 5 2 2" xfId="30466" xr:uid="{00000000-0005-0000-0000-000013510000}"/>
    <cellStyle name="40% - Accent6 9 5 3" xfId="22535" xr:uid="{00000000-0005-0000-0000-000014510000}"/>
    <cellStyle name="40% - Accent6 9 6" xfId="9573" xr:uid="{00000000-0005-0000-0000-000015510000}"/>
    <cellStyle name="40% - Accent6 9 6 2" xfId="24048" xr:uid="{00000000-0005-0000-0000-000016510000}"/>
    <cellStyle name="40% - Accent6 9 7" xfId="22539" xr:uid="{00000000-0005-0000-0000-000017510000}"/>
    <cellStyle name="60% - Accent1" xfId="30" builtinId="32" customBuiltin="1"/>
    <cellStyle name="60% - Accent1 10" xfId="5233" xr:uid="{00000000-0005-0000-0000-000019510000}"/>
    <cellStyle name="60% - Accent1 10 2" xfId="9575" xr:uid="{00000000-0005-0000-0000-00001A510000}"/>
    <cellStyle name="60% - Accent1 10 3" xfId="22534" xr:uid="{00000000-0005-0000-0000-00001B510000}"/>
    <cellStyle name="60% - Accent1 11" xfId="5234" xr:uid="{00000000-0005-0000-0000-00001C510000}"/>
    <cellStyle name="60% - Accent1 11 2" xfId="9576" xr:uid="{00000000-0005-0000-0000-00001D510000}"/>
    <cellStyle name="60% - Accent1 11 3" xfId="22533" xr:uid="{00000000-0005-0000-0000-00001E510000}"/>
    <cellStyle name="60% - Accent1 12" xfId="5235" xr:uid="{00000000-0005-0000-0000-00001F510000}"/>
    <cellStyle name="60% - Accent1 12 2" xfId="5236" xr:uid="{00000000-0005-0000-0000-000020510000}"/>
    <cellStyle name="60% - Accent1 12 2 2" xfId="15580" xr:uid="{00000000-0005-0000-0000-000021510000}"/>
    <cellStyle name="60% - Accent1 12 2 3" xfId="22531" xr:uid="{00000000-0005-0000-0000-000022510000}"/>
    <cellStyle name="60% - Accent1 12 3" xfId="10474" xr:uid="{00000000-0005-0000-0000-000023510000}"/>
    <cellStyle name="60% - Accent1 12 4" xfId="22532" xr:uid="{00000000-0005-0000-0000-000024510000}"/>
    <cellStyle name="60% - Accent1 13" xfId="5237" xr:uid="{00000000-0005-0000-0000-000025510000}"/>
    <cellStyle name="60% - Accent1 13 2" xfId="11301" xr:uid="{00000000-0005-0000-0000-000026510000}"/>
    <cellStyle name="60% - Accent1 13 3" xfId="22530" xr:uid="{00000000-0005-0000-0000-000027510000}"/>
    <cellStyle name="60% - Accent1 14" xfId="5238" xr:uid="{00000000-0005-0000-0000-000028510000}"/>
    <cellStyle name="60% - Accent1 14 2" xfId="9574" xr:uid="{00000000-0005-0000-0000-000029510000}"/>
    <cellStyle name="60% - Accent1 14 3" xfId="22529" xr:uid="{00000000-0005-0000-0000-00002A510000}"/>
    <cellStyle name="60% - Accent1 2" xfId="5239" xr:uid="{00000000-0005-0000-0000-00002B510000}"/>
    <cellStyle name="60% - Accent1 2 2" xfId="9577" xr:uid="{00000000-0005-0000-0000-00002C510000}"/>
    <cellStyle name="60% - Accent1 2 3" xfId="22528" xr:uid="{00000000-0005-0000-0000-00002D510000}"/>
    <cellStyle name="60% - Accent1 2 4" xfId="33064" xr:uid="{00000000-0005-0000-0000-00002E510000}"/>
    <cellStyle name="60% - Accent1 3" xfId="5240" xr:uid="{00000000-0005-0000-0000-00002F510000}"/>
    <cellStyle name="60% - Accent1 3 2" xfId="5241" xr:uid="{00000000-0005-0000-0000-000030510000}"/>
    <cellStyle name="60% - Accent1 3 2 2" xfId="9579" xr:uid="{00000000-0005-0000-0000-000031510000}"/>
    <cellStyle name="60% - Accent1 3 2 3" xfId="22526" xr:uid="{00000000-0005-0000-0000-000032510000}"/>
    <cellStyle name="60% - Accent1 3 3" xfId="9578" xr:uid="{00000000-0005-0000-0000-000033510000}"/>
    <cellStyle name="60% - Accent1 3 4" xfId="22527" xr:uid="{00000000-0005-0000-0000-000034510000}"/>
    <cellStyle name="60% - Accent1 3 5" xfId="33104" xr:uid="{00000000-0005-0000-0000-000035510000}"/>
    <cellStyle name="60% - Accent1 4" xfId="5242" xr:uid="{00000000-0005-0000-0000-000036510000}"/>
    <cellStyle name="60% - Accent1 4 2" xfId="5243" xr:uid="{00000000-0005-0000-0000-000037510000}"/>
    <cellStyle name="60% - Accent1 4 2 2" xfId="13093" xr:uid="{00000000-0005-0000-0000-000038510000}"/>
    <cellStyle name="60% - Accent1 4 2 3" xfId="22524" xr:uid="{00000000-0005-0000-0000-000039510000}"/>
    <cellStyle name="60% - Accent1 4 3" xfId="5244" xr:uid="{00000000-0005-0000-0000-00003A510000}"/>
    <cellStyle name="60% - Accent1 4 3 2" xfId="13092" xr:uid="{00000000-0005-0000-0000-00003B510000}"/>
    <cellStyle name="60% - Accent1 4 3 3" xfId="22523" xr:uid="{00000000-0005-0000-0000-00003C510000}"/>
    <cellStyle name="60% - Accent1 4 4" xfId="9580" xr:uid="{00000000-0005-0000-0000-00003D510000}"/>
    <cellStyle name="60% - Accent1 4 5" xfId="22525" xr:uid="{00000000-0005-0000-0000-00003E510000}"/>
    <cellStyle name="60% - Accent1 5" xfId="5245" xr:uid="{00000000-0005-0000-0000-00003F510000}"/>
    <cellStyle name="60% - Accent1 5 2" xfId="5246" xr:uid="{00000000-0005-0000-0000-000040510000}"/>
    <cellStyle name="60% - Accent1 5 2 2" xfId="9582" xr:uid="{00000000-0005-0000-0000-000041510000}"/>
    <cellStyle name="60% - Accent1 5 2 3" xfId="22521" xr:uid="{00000000-0005-0000-0000-000042510000}"/>
    <cellStyle name="60% - Accent1 5 3" xfId="9581" xr:uid="{00000000-0005-0000-0000-000043510000}"/>
    <cellStyle name="60% - Accent1 5 4" xfId="22522" xr:uid="{00000000-0005-0000-0000-000044510000}"/>
    <cellStyle name="60% - Accent1 6" xfId="5247" xr:uid="{00000000-0005-0000-0000-000045510000}"/>
    <cellStyle name="60% - Accent1 6 2" xfId="9583" xr:uid="{00000000-0005-0000-0000-000046510000}"/>
    <cellStyle name="60% - Accent1 6 3" xfId="22520" xr:uid="{00000000-0005-0000-0000-000047510000}"/>
    <cellStyle name="60% - Accent1 7" xfId="5248" xr:uid="{00000000-0005-0000-0000-000048510000}"/>
    <cellStyle name="60% - Accent1 7 2" xfId="9584" xr:uid="{00000000-0005-0000-0000-000049510000}"/>
    <cellStyle name="60% - Accent1 7 3" xfId="22519" xr:uid="{00000000-0005-0000-0000-00004A510000}"/>
    <cellStyle name="60% - Accent1 8" xfId="5249" xr:uid="{00000000-0005-0000-0000-00004B510000}"/>
    <cellStyle name="60% - Accent1 8 2" xfId="9585" xr:uid="{00000000-0005-0000-0000-00004C510000}"/>
    <cellStyle name="60% - Accent1 8 3" xfId="22518" xr:uid="{00000000-0005-0000-0000-00004D510000}"/>
    <cellStyle name="60% - Accent1 9" xfId="5250" xr:uid="{00000000-0005-0000-0000-00004E510000}"/>
    <cellStyle name="60% - Accent1 9 2" xfId="9586" xr:uid="{00000000-0005-0000-0000-00004F510000}"/>
    <cellStyle name="60% - Accent1 9 3" xfId="22517" xr:uid="{00000000-0005-0000-0000-000050510000}"/>
    <cellStyle name="60% - Accent2" xfId="34" builtinId="36" customBuiltin="1"/>
    <cellStyle name="60% - Accent2 10" xfId="5251" xr:uid="{00000000-0005-0000-0000-000052510000}"/>
    <cellStyle name="60% - Accent2 10 2" xfId="9588" xr:uid="{00000000-0005-0000-0000-000053510000}"/>
    <cellStyle name="60% - Accent2 10 3" xfId="22516" xr:uid="{00000000-0005-0000-0000-000054510000}"/>
    <cellStyle name="60% - Accent2 11" xfId="5252" xr:uid="{00000000-0005-0000-0000-000055510000}"/>
    <cellStyle name="60% - Accent2 11 2" xfId="9589" xr:uid="{00000000-0005-0000-0000-000056510000}"/>
    <cellStyle name="60% - Accent2 11 3" xfId="22515" xr:uid="{00000000-0005-0000-0000-000057510000}"/>
    <cellStyle name="60% - Accent2 12" xfId="5253" xr:uid="{00000000-0005-0000-0000-000058510000}"/>
    <cellStyle name="60% - Accent2 12 2" xfId="5254" xr:uid="{00000000-0005-0000-0000-000059510000}"/>
    <cellStyle name="60% - Accent2 12 2 2" xfId="15581" xr:uid="{00000000-0005-0000-0000-00005A510000}"/>
    <cellStyle name="60% - Accent2 12 2 3" xfId="22513" xr:uid="{00000000-0005-0000-0000-00005B510000}"/>
    <cellStyle name="60% - Accent2 12 3" xfId="10475" xr:uid="{00000000-0005-0000-0000-00005C510000}"/>
    <cellStyle name="60% - Accent2 12 4" xfId="22514" xr:uid="{00000000-0005-0000-0000-00005D510000}"/>
    <cellStyle name="60% - Accent2 13" xfId="5255" xr:uid="{00000000-0005-0000-0000-00005E510000}"/>
    <cellStyle name="60% - Accent2 13 2" xfId="11302" xr:uid="{00000000-0005-0000-0000-00005F510000}"/>
    <cellStyle name="60% - Accent2 13 3" xfId="22512" xr:uid="{00000000-0005-0000-0000-000060510000}"/>
    <cellStyle name="60% - Accent2 14" xfId="5256" xr:uid="{00000000-0005-0000-0000-000061510000}"/>
    <cellStyle name="60% - Accent2 14 2" xfId="9587" xr:uid="{00000000-0005-0000-0000-000062510000}"/>
    <cellStyle name="60% - Accent2 14 3" xfId="22511" xr:uid="{00000000-0005-0000-0000-000063510000}"/>
    <cellStyle name="60% - Accent2 2" xfId="5257" xr:uid="{00000000-0005-0000-0000-000064510000}"/>
    <cellStyle name="60% - Accent2 2 2" xfId="9590" xr:uid="{00000000-0005-0000-0000-000065510000}"/>
    <cellStyle name="60% - Accent2 2 3" xfId="22510" xr:uid="{00000000-0005-0000-0000-000066510000}"/>
    <cellStyle name="60% - Accent2 2 4" xfId="33068" xr:uid="{00000000-0005-0000-0000-000067510000}"/>
    <cellStyle name="60% - Accent2 3" xfId="5258" xr:uid="{00000000-0005-0000-0000-000068510000}"/>
    <cellStyle name="60% - Accent2 3 2" xfId="5259" xr:uid="{00000000-0005-0000-0000-000069510000}"/>
    <cellStyle name="60% - Accent2 3 2 2" xfId="9592" xr:uid="{00000000-0005-0000-0000-00006A510000}"/>
    <cellStyle name="60% - Accent2 3 2 3" xfId="22508" xr:uid="{00000000-0005-0000-0000-00006B510000}"/>
    <cellStyle name="60% - Accent2 3 3" xfId="9591" xr:uid="{00000000-0005-0000-0000-00006C510000}"/>
    <cellStyle name="60% - Accent2 3 4" xfId="22509" xr:uid="{00000000-0005-0000-0000-00006D510000}"/>
    <cellStyle name="60% - Accent2 3 5" xfId="33105" xr:uid="{00000000-0005-0000-0000-00006E510000}"/>
    <cellStyle name="60% - Accent2 4" xfId="5260" xr:uid="{00000000-0005-0000-0000-00006F510000}"/>
    <cellStyle name="60% - Accent2 4 2" xfId="5261" xr:uid="{00000000-0005-0000-0000-000070510000}"/>
    <cellStyle name="60% - Accent2 4 2 2" xfId="13095" xr:uid="{00000000-0005-0000-0000-000071510000}"/>
    <cellStyle name="60% - Accent2 4 2 3" xfId="22506" xr:uid="{00000000-0005-0000-0000-000072510000}"/>
    <cellStyle name="60% - Accent2 4 3" xfId="5262" xr:uid="{00000000-0005-0000-0000-000073510000}"/>
    <cellStyle name="60% - Accent2 4 3 2" xfId="13094" xr:uid="{00000000-0005-0000-0000-000074510000}"/>
    <cellStyle name="60% - Accent2 4 3 3" xfId="22505" xr:uid="{00000000-0005-0000-0000-000075510000}"/>
    <cellStyle name="60% - Accent2 4 4" xfId="9593" xr:uid="{00000000-0005-0000-0000-000076510000}"/>
    <cellStyle name="60% - Accent2 4 5" xfId="22507" xr:uid="{00000000-0005-0000-0000-000077510000}"/>
    <cellStyle name="60% - Accent2 5" xfId="5263" xr:uid="{00000000-0005-0000-0000-000078510000}"/>
    <cellStyle name="60% - Accent2 5 2" xfId="5264" xr:uid="{00000000-0005-0000-0000-000079510000}"/>
    <cellStyle name="60% - Accent2 5 2 2" xfId="9595" xr:uid="{00000000-0005-0000-0000-00007A510000}"/>
    <cellStyle name="60% - Accent2 5 2 3" xfId="22503" xr:uid="{00000000-0005-0000-0000-00007B510000}"/>
    <cellStyle name="60% - Accent2 5 3" xfId="9594" xr:uid="{00000000-0005-0000-0000-00007C510000}"/>
    <cellStyle name="60% - Accent2 5 4" xfId="22504" xr:uid="{00000000-0005-0000-0000-00007D510000}"/>
    <cellStyle name="60% - Accent2 6" xfId="5265" xr:uid="{00000000-0005-0000-0000-00007E510000}"/>
    <cellStyle name="60% - Accent2 6 2" xfId="9596" xr:uid="{00000000-0005-0000-0000-00007F510000}"/>
    <cellStyle name="60% - Accent2 6 3" xfId="22502" xr:uid="{00000000-0005-0000-0000-000080510000}"/>
    <cellStyle name="60% - Accent2 7" xfId="5266" xr:uid="{00000000-0005-0000-0000-000081510000}"/>
    <cellStyle name="60% - Accent2 7 2" xfId="9597" xr:uid="{00000000-0005-0000-0000-000082510000}"/>
    <cellStyle name="60% - Accent2 7 3" xfId="22501" xr:uid="{00000000-0005-0000-0000-000083510000}"/>
    <cellStyle name="60% - Accent2 8" xfId="5267" xr:uid="{00000000-0005-0000-0000-000084510000}"/>
    <cellStyle name="60% - Accent2 8 2" xfId="9598" xr:uid="{00000000-0005-0000-0000-000085510000}"/>
    <cellStyle name="60% - Accent2 8 3" xfId="22500" xr:uid="{00000000-0005-0000-0000-000086510000}"/>
    <cellStyle name="60% - Accent2 9" xfId="5268" xr:uid="{00000000-0005-0000-0000-000087510000}"/>
    <cellStyle name="60% - Accent2 9 2" xfId="9599" xr:uid="{00000000-0005-0000-0000-000088510000}"/>
    <cellStyle name="60% - Accent2 9 3" xfId="22499" xr:uid="{00000000-0005-0000-0000-000089510000}"/>
    <cellStyle name="60% - Accent3" xfId="38" builtinId="40" customBuiltin="1"/>
    <cellStyle name="60% - Accent3 10" xfId="5269" xr:uid="{00000000-0005-0000-0000-00008B510000}"/>
    <cellStyle name="60% - Accent3 10 2" xfId="9601" xr:uid="{00000000-0005-0000-0000-00008C510000}"/>
    <cellStyle name="60% - Accent3 10 3" xfId="22498" xr:uid="{00000000-0005-0000-0000-00008D510000}"/>
    <cellStyle name="60% - Accent3 11" xfId="5270" xr:uid="{00000000-0005-0000-0000-00008E510000}"/>
    <cellStyle name="60% - Accent3 11 2" xfId="9602" xr:uid="{00000000-0005-0000-0000-00008F510000}"/>
    <cellStyle name="60% - Accent3 11 3" xfId="22497" xr:uid="{00000000-0005-0000-0000-000090510000}"/>
    <cellStyle name="60% - Accent3 12" xfId="5271" xr:uid="{00000000-0005-0000-0000-000091510000}"/>
    <cellStyle name="60% - Accent3 12 2" xfId="5272" xr:uid="{00000000-0005-0000-0000-000092510000}"/>
    <cellStyle name="60% - Accent3 12 2 2" xfId="15582" xr:uid="{00000000-0005-0000-0000-000093510000}"/>
    <cellStyle name="60% - Accent3 12 2 3" xfId="22495" xr:uid="{00000000-0005-0000-0000-000094510000}"/>
    <cellStyle name="60% - Accent3 12 3" xfId="10476" xr:uid="{00000000-0005-0000-0000-000095510000}"/>
    <cellStyle name="60% - Accent3 12 4" xfId="22496" xr:uid="{00000000-0005-0000-0000-000096510000}"/>
    <cellStyle name="60% - Accent3 13" xfId="5273" xr:uid="{00000000-0005-0000-0000-000097510000}"/>
    <cellStyle name="60% - Accent3 13 2" xfId="11303" xr:uid="{00000000-0005-0000-0000-000098510000}"/>
    <cellStyle name="60% - Accent3 13 3" xfId="22494" xr:uid="{00000000-0005-0000-0000-000099510000}"/>
    <cellStyle name="60% - Accent3 14" xfId="5274" xr:uid="{00000000-0005-0000-0000-00009A510000}"/>
    <cellStyle name="60% - Accent3 14 2" xfId="9600" xr:uid="{00000000-0005-0000-0000-00009B510000}"/>
    <cellStyle name="60% - Accent3 14 3" xfId="22493" xr:uid="{00000000-0005-0000-0000-00009C510000}"/>
    <cellStyle name="60% - Accent3 2" xfId="5275" xr:uid="{00000000-0005-0000-0000-00009D510000}"/>
    <cellStyle name="60% - Accent3 2 2" xfId="9603" xr:uid="{00000000-0005-0000-0000-00009E510000}"/>
    <cellStyle name="60% - Accent3 2 3" xfId="22492" xr:uid="{00000000-0005-0000-0000-00009F510000}"/>
    <cellStyle name="60% - Accent3 2 4" xfId="33072" xr:uid="{00000000-0005-0000-0000-0000A0510000}"/>
    <cellStyle name="60% - Accent3 3" xfId="5276" xr:uid="{00000000-0005-0000-0000-0000A1510000}"/>
    <cellStyle name="60% - Accent3 3 2" xfId="5277" xr:uid="{00000000-0005-0000-0000-0000A2510000}"/>
    <cellStyle name="60% - Accent3 3 2 2" xfId="9605" xr:uid="{00000000-0005-0000-0000-0000A3510000}"/>
    <cellStyle name="60% - Accent3 3 2 3" xfId="22490" xr:uid="{00000000-0005-0000-0000-0000A4510000}"/>
    <cellStyle name="60% - Accent3 3 3" xfId="9604" xr:uid="{00000000-0005-0000-0000-0000A5510000}"/>
    <cellStyle name="60% - Accent3 3 4" xfId="22491" xr:uid="{00000000-0005-0000-0000-0000A6510000}"/>
    <cellStyle name="60% - Accent3 3 5" xfId="33106" xr:uid="{00000000-0005-0000-0000-0000A7510000}"/>
    <cellStyle name="60% - Accent3 4" xfId="5278" xr:uid="{00000000-0005-0000-0000-0000A8510000}"/>
    <cellStyle name="60% - Accent3 4 2" xfId="5279" xr:uid="{00000000-0005-0000-0000-0000A9510000}"/>
    <cellStyle name="60% - Accent3 4 2 2" xfId="13097" xr:uid="{00000000-0005-0000-0000-0000AA510000}"/>
    <cellStyle name="60% - Accent3 4 2 3" xfId="22488" xr:uid="{00000000-0005-0000-0000-0000AB510000}"/>
    <cellStyle name="60% - Accent3 4 3" xfId="5280" xr:uid="{00000000-0005-0000-0000-0000AC510000}"/>
    <cellStyle name="60% - Accent3 4 3 2" xfId="13096" xr:uid="{00000000-0005-0000-0000-0000AD510000}"/>
    <cellStyle name="60% - Accent3 4 3 3" xfId="22487" xr:uid="{00000000-0005-0000-0000-0000AE510000}"/>
    <cellStyle name="60% - Accent3 4 4" xfId="9606" xr:uid="{00000000-0005-0000-0000-0000AF510000}"/>
    <cellStyle name="60% - Accent3 4 5" xfId="22489" xr:uid="{00000000-0005-0000-0000-0000B0510000}"/>
    <cellStyle name="60% - Accent3 5" xfId="5281" xr:uid="{00000000-0005-0000-0000-0000B1510000}"/>
    <cellStyle name="60% - Accent3 5 2" xfId="5282" xr:uid="{00000000-0005-0000-0000-0000B2510000}"/>
    <cellStyle name="60% - Accent3 5 2 2" xfId="9608" xr:uid="{00000000-0005-0000-0000-0000B3510000}"/>
    <cellStyle name="60% - Accent3 5 2 3" xfId="22485" xr:uid="{00000000-0005-0000-0000-0000B4510000}"/>
    <cellStyle name="60% - Accent3 5 3" xfId="9607" xr:uid="{00000000-0005-0000-0000-0000B5510000}"/>
    <cellStyle name="60% - Accent3 5 4" xfId="22486" xr:uid="{00000000-0005-0000-0000-0000B6510000}"/>
    <cellStyle name="60% - Accent3 6" xfId="5283" xr:uid="{00000000-0005-0000-0000-0000B7510000}"/>
    <cellStyle name="60% - Accent3 6 2" xfId="9609" xr:uid="{00000000-0005-0000-0000-0000B8510000}"/>
    <cellStyle name="60% - Accent3 6 3" xfId="22484" xr:uid="{00000000-0005-0000-0000-0000B9510000}"/>
    <cellStyle name="60% - Accent3 7" xfId="5284" xr:uid="{00000000-0005-0000-0000-0000BA510000}"/>
    <cellStyle name="60% - Accent3 7 2" xfId="9610" xr:uid="{00000000-0005-0000-0000-0000BB510000}"/>
    <cellStyle name="60% - Accent3 7 3" xfId="22483" xr:uid="{00000000-0005-0000-0000-0000BC510000}"/>
    <cellStyle name="60% - Accent3 8" xfId="5285" xr:uid="{00000000-0005-0000-0000-0000BD510000}"/>
    <cellStyle name="60% - Accent3 8 2" xfId="9611" xr:uid="{00000000-0005-0000-0000-0000BE510000}"/>
    <cellStyle name="60% - Accent3 8 3" xfId="22482" xr:uid="{00000000-0005-0000-0000-0000BF510000}"/>
    <cellStyle name="60% - Accent3 9" xfId="5286" xr:uid="{00000000-0005-0000-0000-0000C0510000}"/>
    <cellStyle name="60% - Accent3 9 2" xfId="9612" xr:uid="{00000000-0005-0000-0000-0000C1510000}"/>
    <cellStyle name="60% - Accent3 9 3" xfId="22481" xr:uid="{00000000-0005-0000-0000-0000C2510000}"/>
    <cellStyle name="60% - Accent4" xfId="42" builtinId="44" customBuiltin="1"/>
    <cellStyle name="60% - Accent4 10" xfId="5287" xr:uid="{00000000-0005-0000-0000-0000C4510000}"/>
    <cellStyle name="60% - Accent4 10 2" xfId="9614" xr:uid="{00000000-0005-0000-0000-0000C5510000}"/>
    <cellStyle name="60% - Accent4 10 3" xfId="22480" xr:uid="{00000000-0005-0000-0000-0000C6510000}"/>
    <cellStyle name="60% - Accent4 11" xfId="5288" xr:uid="{00000000-0005-0000-0000-0000C7510000}"/>
    <cellStyle name="60% - Accent4 11 2" xfId="9615" xr:uid="{00000000-0005-0000-0000-0000C8510000}"/>
    <cellStyle name="60% - Accent4 11 3" xfId="22479" xr:uid="{00000000-0005-0000-0000-0000C9510000}"/>
    <cellStyle name="60% - Accent4 12" xfId="5289" xr:uid="{00000000-0005-0000-0000-0000CA510000}"/>
    <cellStyle name="60% - Accent4 12 2" xfId="5290" xr:uid="{00000000-0005-0000-0000-0000CB510000}"/>
    <cellStyle name="60% - Accent4 12 2 2" xfId="15583" xr:uid="{00000000-0005-0000-0000-0000CC510000}"/>
    <cellStyle name="60% - Accent4 12 2 3" xfId="22477" xr:uid="{00000000-0005-0000-0000-0000CD510000}"/>
    <cellStyle name="60% - Accent4 12 3" xfId="10477" xr:uid="{00000000-0005-0000-0000-0000CE510000}"/>
    <cellStyle name="60% - Accent4 12 4" xfId="22478" xr:uid="{00000000-0005-0000-0000-0000CF510000}"/>
    <cellStyle name="60% - Accent4 13" xfId="5291" xr:uid="{00000000-0005-0000-0000-0000D0510000}"/>
    <cellStyle name="60% - Accent4 13 2" xfId="11304" xr:uid="{00000000-0005-0000-0000-0000D1510000}"/>
    <cellStyle name="60% - Accent4 13 3" xfId="22476" xr:uid="{00000000-0005-0000-0000-0000D2510000}"/>
    <cellStyle name="60% - Accent4 14" xfId="5292" xr:uid="{00000000-0005-0000-0000-0000D3510000}"/>
    <cellStyle name="60% - Accent4 14 2" xfId="9613" xr:uid="{00000000-0005-0000-0000-0000D4510000}"/>
    <cellStyle name="60% - Accent4 14 3" xfId="22475" xr:uid="{00000000-0005-0000-0000-0000D5510000}"/>
    <cellStyle name="60% - Accent4 2" xfId="5293" xr:uid="{00000000-0005-0000-0000-0000D6510000}"/>
    <cellStyle name="60% - Accent4 2 2" xfId="9616" xr:uid="{00000000-0005-0000-0000-0000D7510000}"/>
    <cellStyle name="60% - Accent4 2 3" xfId="22474" xr:uid="{00000000-0005-0000-0000-0000D8510000}"/>
    <cellStyle name="60% - Accent4 2 4" xfId="33076" xr:uid="{00000000-0005-0000-0000-0000D9510000}"/>
    <cellStyle name="60% - Accent4 3" xfId="5294" xr:uid="{00000000-0005-0000-0000-0000DA510000}"/>
    <cellStyle name="60% - Accent4 3 2" xfId="5295" xr:uid="{00000000-0005-0000-0000-0000DB510000}"/>
    <cellStyle name="60% - Accent4 3 2 2" xfId="9618" xr:uid="{00000000-0005-0000-0000-0000DC510000}"/>
    <cellStyle name="60% - Accent4 3 2 3" xfId="22472" xr:uid="{00000000-0005-0000-0000-0000DD510000}"/>
    <cellStyle name="60% - Accent4 3 3" xfId="9617" xr:uid="{00000000-0005-0000-0000-0000DE510000}"/>
    <cellStyle name="60% - Accent4 3 4" xfId="22473" xr:uid="{00000000-0005-0000-0000-0000DF510000}"/>
    <cellStyle name="60% - Accent4 3 5" xfId="33107" xr:uid="{00000000-0005-0000-0000-0000E0510000}"/>
    <cellStyle name="60% - Accent4 4" xfId="5296" xr:uid="{00000000-0005-0000-0000-0000E1510000}"/>
    <cellStyle name="60% - Accent4 4 2" xfId="5297" xr:uid="{00000000-0005-0000-0000-0000E2510000}"/>
    <cellStyle name="60% - Accent4 4 2 2" xfId="13099" xr:uid="{00000000-0005-0000-0000-0000E3510000}"/>
    <cellStyle name="60% - Accent4 4 2 3" xfId="22470" xr:uid="{00000000-0005-0000-0000-0000E4510000}"/>
    <cellStyle name="60% - Accent4 4 3" xfId="5298" xr:uid="{00000000-0005-0000-0000-0000E5510000}"/>
    <cellStyle name="60% - Accent4 4 3 2" xfId="13098" xr:uid="{00000000-0005-0000-0000-0000E6510000}"/>
    <cellStyle name="60% - Accent4 4 3 3" xfId="22469" xr:uid="{00000000-0005-0000-0000-0000E7510000}"/>
    <cellStyle name="60% - Accent4 4 4" xfId="9619" xr:uid="{00000000-0005-0000-0000-0000E8510000}"/>
    <cellStyle name="60% - Accent4 4 5" xfId="22471" xr:uid="{00000000-0005-0000-0000-0000E9510000}"/>
    <cellStyle name="60% - Accent4 5" xfId="5299" xr:uid="{00000000-0005-0000-0000-0000EA510000}"/>
    <cellStyle name="60% - Accent4 5 2" xfId="5300" xr:uid="{00000000-0005-0000-0000-0000EB510000}"/>
    <cellStyle name="60% - Accent4 5 2 2" xfId="9621" xr:uid="{00000000-0005-0000-0000-0000EC510000}"/>
    <cellStyle name="60% - Accent4 5 2 3" xfId="22467" xr:uid="{00000000-0005-0000-0000-0000ED510000}"/>
    <cellStyle name="60% - Accent4 5 3" xfId="9620" xr:uid="{00000000-0005-0000-0000-0000EE510000}"/>
    <cellStyle name="60% - Accent4 5 4" xfId="22468" xr:uid="{00000000-0005-0000-0000-0000EF510000}"/>
    <cellStyle name="60% - Accent4 6" xfId="5301" xr:uid="{00000000-0005-0000-0000-0000F0510000}"/>
    <cellStyle name="60% - Accent4 6 2" xfId="9622" xr:uid="{00000000-0005-0000-0000-0000F1510000}"/>
    <cellStyle name="60% - Accent4 6 3" xfId="22466" xr:uid="{00000000-0005-0000-0000-0000F2510000}"/>
    <cellStyle name="60% - Accent4 7" xfId="5302" xr:uid="{00000000-0005-0000-0000-0000F3510000}"/>
    <cellStyle name="60% - Accent4 7 2" xfId="9623" xr:uid="{00000000-0005-0000-0000-0000F4510000}"/>
    <cellStyle name="60% - Accent4 7 3" xfId="22465" xr:uid="{00000000-0005-0000-0000-0000F5510000}"/>
    <cellStyle name="60% - Accent4 8" xfId="5303" xr:uid="{00000000-0005-0000-0000-0000F6510000}"/>
    <cellStyle name="60% - Accent4 8 2" xfId="9624" xr:uid="{00000000-0005-0000-0000-0000F7510000}"/>
    <cellStyle name="60% - Accent4 8 3" xfId="22464" xr:uid="{00000000-0005-0000-0000-0000F8510000}"/>
    <cellStyle name="60% - Accent4 9" xfId="5304" xr:uid="{00000000-0005-0000-0000-0000F9510000}"/>
    <cellStyle name="60% - Accent4 9 2" xfId="9625" xr:uid="{00000000-0005-0000-0000-0000FA510000}"/>
    <cellStyle name="60% - Accent4 9 3" xfId="22463" xr:uid="{00000000-0005-0000-0000-0000FB510000}"/>
    <cellStyle name="60% - Accent5" xfId="45" builtinId="48" customBuiltin="1"/>
    <cellStyle name="60% - Accent5 10" xfId="5305" xr:uid="{00000000-0005-0000-0000-0000FD510000}"/>
    <cellStyle name="60% - Accent5 10 2" xfId="9627" xr:uid="{00000000-0005-0000-0000-0000FE510000}"/>
    <cellStyle name="60% - Accent5 10 3" xfId="22462" xr:uid="{00000000-0005-0000-0000-0000FF510000}"/>
    <cellStyle name="60% - Accent5 11" xfId="5306" xr:uid="{00000000-0005-0000-0000-000000520000}"/>
    <cellStyle name="60% - Accent5 11 2" xfId="9628" xr:uid="{00000000-0005-0000-0000-000001520000}"/>
    <cellStyle name="60% - Accent5 11 3" xfId="22461" xr:uid="{00000000-0005-0000-0000-000002520000}"/>
    <cellStyle name="60% - Accent5 12" xfId="5307" xr:uid="{00000000-0005-0000-0000-000003520000}"/>
    <cellStyle name="60% - Accent5 12 2" xfId="5308" xr:uid="{00000000-0005-0000-0000-000004520000}"/>
    <cellStyle name="60% - Accent5 12 2 2" xfId="15584" xr:uid="{00000000-0005-0000-0000-000005520000}"/>
    <cellStyle name="60% - Accent5 12 2 3" xfId="22459" xr:uid="{00000000-0005-0000-0000-000006520000}"/>
    <cellStyle name="60% - Accent5 12 3" xfId="10478" xr:uid="{00000000-0005-0000-0000-000007520000}"/>
    <cellStyle name="60% - Accent5 12 4" xfId="22460" xr:uid="{00000000-0005-0000-0000-000008520000}"/>
    <cellStyle name="60% - Accent5 13" xfId="5309" xr:uid="{00000000-0005-0000-0000-000009520000}"/>
    <cellStyle name="60% - Accent5 13 2" xfId="11305" xr:uid="{00000000-0005-0000-0000-00000A520000}"/>
    <cellStyle name="60% - Accent5 13 3" xfId="22458" xr:uid="{00000000-0005-0000-0000-00000B520000}"/>
    <cellStyle name="60% - Accent5 14" xfId="5310" xr:uid="{00000000-0005-0000-0000-00000C520000}"/>
    <cellStyle name="60% - Accent5 14 2" xfId="9626" xr:uid="{00000000-0005-0000-0000-00000D520000}"/>
    <cellStyle name="60% - Accent5 14 3" xfId="22457" xr:uid="{00000000-0005-0000-0000-00000E520000}"/>
    <cellStyle name="60% - Accent5 2" xfId="5311" xr:uid="{00000000-0005-0000-0000-00000F520000}"/>
    <cellStyle name="60% - Accent5 2 2" xfId="9629" xr:uid="{00000000-0005-0000-0000-000010520000}"/>
    <cellStyle name="60% - Accent5 2 3" xfId="22456" xr:uid="{00000000-0005-0000-0000-000011520000}"/>
    <cellStyle name="60% - Accent5 2 4" xfId="33080" xr:uid="{00000000-0005-0000-0000-000012520000}"/>
    <cellStyle name="60% - Accent5 3" xfId="5312" xr:uid="{00000000-0005-0000-0000-000013520000}"/>
    <cellStyle name="60% - Accent5 3 2" xfId="5313" xr:uid="{00000000-0005-0000-0000-000014520000}"/>
    <cellStyle name="60% - Accent5 3 2 2" xfId="9631" xr:uid="{00000000-0005-0000-0000-000015520000}"/>
    <cellStyle name="60% - Accent5 3 2 3" xfId="22454" xr:uid="{00000000-0005-0000-0000-000016520000}"/>
    <cellStyle name="60% - Accent5 3 3" xfId="9630" xr:uid="{00000000-0005-0000-0000-000017520000}"/>
    <cellStyle name="60% - Accent5 3 4" xfId="22455" xr:uid="{00000000-0005-0000-0000-000018520000}"/>
    <cellStyle name="60% - Accent5 3 5" xfId="33108" xr:uid="{00000000-0005-0000-0000-000019520000}"/>
    <cellStyle name="60% - Accent5 4" xfId="5314" xr:uid="{00000000-0005-0000-0000-00001A520000}"/>
    <cellStyle name="60% - Accent5 4 2" xfId="5315" xr:uid="{00000000-0005-0000-0000-00001B520000}"/>
    <cellStyle name="60% - Accent5 4 2 2" xfId="13101" xr:uid="{00000000-0005-0000-0000-00001C520000}"/>
    <cellStyle name="60% - Accent5 4 2 3" xfId="22452" xr:uid="{00000000-0005-0000-0000-00001D520000}"/>
    <cellStyle name="60% - Accent5 4 3" xfId="5316" xr:uid="{00000000-0005-0000-0000-00001E520000}"/>
    <cellStyle name="60% - Accent5 4 3 2" xfId="13100" xr:uid="{00000000-0005-0000-0000-00001F520000}"/>
    <cellStyle name="60% - Accent5 4 3 3" xfId="22451" xr:uid="{00000000-0005-0000-0000-000020520000}"/>
    <cellStyle name="60% - Accent5 4 4" xfId="9632" xr:uid="{00000000-0005-0000-0000-000021520000}"/>
    <cellStyle name="60% - Accent5 4 5" xfId="22453" xr:uid="{00000000-0005-0000-0000-000022520000}"/>
    <cellStyle name="60% - Accent5 5" xfId="5317" xr:uid="{00000000-0005-0000-0000-000023520000}"/>
    <cellStyle name="60% - Accent5 5 2" xfId="5318" xr:uid="{00000000-0005-0000-0000-000024520000}"/>
    <cellStyle name="60% - Accent5 5 2 2" xfId="9634" xr:uid="{00000000-0005-0000-0000-000025520000}"/>
    <cellStyle name="60% - Accent5 5 2 3" xfId="22449" xr:uid="{00000000-0005-0000-0000-000026520000}"/>
    <cellStyle name="60% - Accent5 5 3" xfId="9633" xr:uid="{00000000-0005-0000-0000-000027520000}"/>
    <cellStyle name="60% - Accent5 5 4" xfId="22450" xr:uid="{00000000-0005-0000-0000-000028520000}"/>
    <cellStyle name="60% - Accent5 6" xfId="5319" xr:uid="{00000000-0005-0000-0000-000029520000}"/>
    <cellStyle name="60% - Accent5 6 2" xfId="9635" xr:uid="{00000000-0005-0000-0000-00002A520000}"/>
    <cellStyle name="60% - Accent5 6 3" xfId="22448" xr:uid="{00000000-0005-0000-0000-00002B520000}"/>
    <cellStyle name="60% - Accent5 7" xfId="5320" xr:uid="{00000000-0005-0000-0000-00002C520000}"/>
    <cellStyle name="60% - Accent5 7 2" xfId="9636" xr:uid="{00000000-0005-0000-0000-00002D520000}"/>
    <cellStyle name="60% - Accent5 7 3" xfId="22447" xr:uid="{00000000-0005-0000-0000-00002E520000}"/>
    <cellStyle name="60% - Accent5 8" xfId="5321" xr:uid="{00000000-0005-0000-0000-00002F520000}"/>
    <cellStyle name="60% - Accent5 8 2" xfId="9637" xr:uid="{00000000-0005-0000-0000-000030520000}"/>
    <cellStyle name="60% - Accent5 8 3" xfId="22446" xr:uid="{00000000-0005-0000-0000-000031520000}"/>
    <cellStyle name="60% - Accent5 9" xfId="5322" xr:uid="{00000000-0005-0000-0000-000032520000}"/>
    <cellStyle name="60% - Accent5 9 2" xfId="9638" xr:uid="{00000000-0005-0000-0000-000033520000}"/>
    <cellStyle name="60% - Accent5 9 3" xfId="22445" xr:uid="{00000000-0005-0000-0000-000034520000}"/>
    <cellStyle name="60% - Accent6" xfId="49" builtinId="52" customBuiltin="1"/>
    <cellStyle name="60% - Accent6 10" xfId="5323" xr:uid="{00000000-0005-0000-0000-000036520000}"/>
    <cellStyle name="60% - Accent6 10 2" xfId="9640" xr:uid="{00000000-0005-0000-0000-000037520000}"/>
    <cellStyle name="60% - Accent6 10 3" xfId="22444" xr:uid="{00000000-0005-0000-0000-000038520000}"/>
    <cellStyle name="60% - Accent6 11" xfId="5324" xr:uid="{00000000-0005-0000-0000-000039520000}"/>
    <cellStyle name="60% - Accent6 11 2" xfId="9641" xr:uid="{00000000-0005-0000-0000-00003A520000}"/>
    <cellStyle name="60% - Accent6 11 3" xfId="22443" xr:uid="{00000000-0005-0000-0000-00003B520000}"/>
    <cellStyle name="60% - Accent6 12" xfId="5325" xr:uid="{00000000-0005-0000-0000-00003C520000}"/>
    <cellStyle name="60% - Accent6 12 2" xfId="5326" xr:uid="{00000000-0005-0000-0000-00003D520000}"/>
    <cellStyle name="60% - Accent6 12 2 2" xfId="15585" xr:uid="{00000000-0005-0000-0000-00003E520000}"/>
    <cellStyle name="60% - Accent6 12 2 3" xfId="22441" xr:uid="{00000000-0005-0000-0000-00003F520000}"/>
    <cellStyle name="60% - Accent6 12 3" xfId="10479" xr:uid="{00000000-0005-0000-0000-000040520000}"/>
    <cellStyle name="60% - Accent6 12 4" xfId="22442" xr:uid="{00000000-0005-0000-0000-000041520000}"/>
    <cellStyle name="60% - Accent6 13" xfId="5327" xr:uid="{00000000-0005-0000-0000-000042520000}"/>
    <cellStyle name="60% - Accent6 13 2" xfId="11306" xr:uid="{00000000-0005-0000-0000-000043520000}"/>
    <cellStyle name="60% - Accent6 13 3" xfId="22440" xr:uid="{00000000-0005-0000-0000-000044520000}"/>
    <cellStyle name="60% - Accent6 14" xfId="5328" xr:uid="{00000000-0005-0000-0000-000045520000}"/>
    <cellStyle name="60% - Accent6 14 2" xfId="9639" xr:uid="{00000000-0005-0000-0000-000046520000}"/>
    <cellStyle name="60% - Accent6 14 3" xfId="22439" xr:uid="{00000000-0005-0000-0000-000047520000}"/>
    <cellStyle name="60% - Accent6 2" xfId="5329" xr:uid="{00000000-0005-0000-0000-000048520000}"/>
    <cellStyle name="60% - Accent6 2 2" xfId="9642" xr:uid="{00000000-0005-0000-0000-000049520000}"/>
    <cellStyle name="60% - Accent6 2 3" xfId="22438" xr:uid="{00000000-0005-0000-0000-00004A520000}"/>
    <cellStyle name="60% - Accent6 2 4" xfId="33084" xr:uid="{00000000-0005-0000-0000-00004B520000}"/>
    <cellStyle name="60% - Accent6 3" xfId="5330" xr:uid="{00000000-0005-0000-0000-00004C520000}"/>
    <cellStyle name="60% - Accent6 3 2" xfId="5331" xr:uid="{00000000-0005-0000-0000-00004D520000}"/>
    <cellStyle name="60% - Accent6 3 2 2" xfId="9644" xr:uid="{00000000-0005-0000-0000-00004E520000}"/>
    <cellStyle name="60% - Accent6 3 2 3" xfId="22436" xr:uid="{00000000-0005-0000-0000-00004F520000}"/>
    <cellStyle name="60% - Accent6 3 3" xfId="9643" xr:uid="{00000000-0005-0000-0000-000050520000}"/>
    <cellStyle name="60% - Accent6 3 4" xfId="22437" xr:uid="{00000000-0005-0000-0000-000051520000}"/>
    <cellStyle name="60% - Accent6 3 5" xfId="33109" xr:uid="{00000000-0005-0000-0000-000052520000}"/>
    <cellStyle name="60% - Accent6 4" xfId="5332" xr:uid="{00000000-0005-0000-0000-000053520000}"/>
    <cellStyle name="60% - Accent6 4 2" xfId="5333" xr:uid="{00000000-0005-0000-0000-000054520000}"/>
    <cellStyle name="60% - Accent6 4 2 2" xfId="13103" xr:uid="{00000000-0005-0000-0000-000055520000}"/>
    <cellStyle name="60% - Accent6 4 2 3" xfId="22434" xr:uid="{00000000-0005-0000-0000-000056520000}"/>
    <cellStyle name="60% - Accent6 4 3" xfId="5334" xr:uid="{00000000-0005-0000-0000-000057520000}"/>
    <cellStyle name="60% - Accent6 4 3 2" xfId="13102" xr:uid="{00000000-0005-0000-0000-000058520000}"/>
    <cellStyle name="60% - Accent6 4 3 3" xfId="22433" xr:uid="{00000000-0005-0000-0000-000059520000}"/>
    <cellStyle name="60% - Accent6 4 4" xfId="9645" xr:uid="{00000000-0005-0000-0000-00005A520000}"/>
    <cellStyle name="60% - Accent6 4 5" xfId="22435" xr:uid="{00000000-0005-0000-0000-00005B520000}"/>
    <cellStyle name="60% - Accent6 5" xfId="5335" xr:uid="{00000000-0005-0000-0000-00005C520000}"/>
    <cellStyle name="60% - Accent6 5 2" xfId="5336" xr:uid="{00000000-0005-0000-0000-00005D520000}"/>
    <cellStyle name="60% - Accent6 5 2 2" xfId="9647" xr:uid="{00000000-0005-0000-0000-00005E520000}"/>
    <cellStyle name="60% - Accent6 5 2 3" xfId="22431" xr:uid="{00000000-0005-0000-0000-00005F520000}"/>
    <cellStyle name="60% - Accent6 5 3" xfId="9646" xr:uid="{00000000-0005-0000-0000-000060520000}"/>
    <cellStyle name="60% - Accent6 5 4" xfId="22432" xr:uid="{00000000-0005-0000-0000-000061520000}"/>
    <cellStyle name="60% - Accent6 6" xfId="5337" xr:uid="{00000000-0005-0000-0000-000062520000}"/>
    <cellStyle name="60% - Accent6 6 2" xfId="9648" xr:uid="{00000000-0005-0000-0000-000063520000}"/>
    <cellStyle name="60% - Accent6 6 3" xfId="22430" xr:uid="{00000000-0005-0000-0000-000064520000}"/>
    <cellStyle name="60% - Accent6 7" xfId="5338" xr:uid="{00000000-0005-0000-0000-000065520000}"/>
    <cellStyle name="60% - Accent6 7 2" xfId="9649" xr:uid="{00000000-0005-0000-0000-000066520000}"/>
    <cellStyle name="60% - Accent6 7 3" xfId="22429" xr:uid="{00000000-0005-0000-0000-000067520000}"/>
    <cellStyle name="60% - Accent6 8" xfId="5339" xr:uid="{00000000-0005-0000-0000-000068520000}"/>
    <cellStyle name="60% - Accent6 8 2" xfId="9650" xr:uid="{00000000-0005-0000-0000-000069520000}"/>
    <cellStyle name="60% - Accent6 8 3" xfId="22428" xr:uid="{00000000-0005-0000-0000-00006A520000}"/>
    <cellStyle name="60% - Accent6 9" xfId="5340" xr:uid="{00000000-0005-0000-0000-00006B520000}"/>
    <cellStyle name="60% - Accent6 9 2" xfId="9651" xr:uid="{00000000-0005-0000-0000-00006C520000}"/>
    <cellStyle name="60% - Accent6 9 3" xfId="22427" xr:uid="{00000000-0005-0000-0000-00006D520000}"/>
    <cellStyle name="Accent1" xfId="27" builtinId="29" customBuiltin="1"/>
    <cellStyle name="Accent1 10" xfId="5341" xr:uid="{00000000-0005-0000-0000-00006F520000}"/>
    <cellStyle name="Accent1 10 2" xfId="9653" xr:uid="{00000000-0005-0000-0000-000070520000}"/>
    <cellStyle name="Accent1 10 3" xfId="22426" xr:uid="{00000000-0005-0000-0000-000071520000}"/>
    <cellStyle name="Accent1 11" xfId="5342" xr:uid="{00000000-0005-0000-0000-000072520000}"/>
    <cellStyle name="Accent1 11 2" xfId="9654" xr:uid="{00000000-0005-0000-0000-000073520000}"/>
    <cellStyle name="Accent1 11 3" xfId="22425" xr:uid="{00000000-0005-0000-0000-000074520000}"/>
    <cellStyle name="Accent1 12" xfId="5343" xr:uid="{00000000-0005-0000-0000-000075520000}"/>
    <cellStyle name="Accent1 12 2" xfId="5344" xr:uid="{00000000-0005-0000-0000-000076520000}"/>
    <cellStyle name="Accent1 12 2 2" xfId="15586" xr:uid="{00000000-0005-0000-0000-000077520000}"/>
    <cellStyle name="Accent1 12 2 3" xfId="22423" xr:uid="{00000000-0005-0000-0000-000078520000}"/>
    <cellStyle name="Accent1 12 3" xfId="10480" xr:uid="{00000000-0005-0000-0000-000079520000}"/>
    <cellStyle name="Accent1 12 4" xfId="22424" xr:uid="{00000000-0005-0000-0000-00007A520000}"/>
    <cellStyle name="Accent1 13" xfId="5345" xr:uid="{00000000-0005-0000-0000-00007B520000}"/>
    <cellStyle name="Accent1 13 2" xfId="11307" xr:uid="{00000000-0005-0000-0000-00007C520000}"/>
    <cellStyle name="Accent1 13 3" xfId="22422" xr:uid="{00000000-0005-0000-0000-00007D520000}"/>
    <cellStyle name="Accent1 14" xfId="5346" xr:uid="{00000000-0005-0000-0000-00007E520000}"/>
    <cellStyle name="Accent1 14 2" xfId="9652" xr:uid="{00000000-0005-0000-0000-00007F520000}"/>
    <cellStyle name="Accent1 14 3" xfId="22421" xr:uid="{00000000-0005-0000-0000-000080520000}"/>
    <cellStyle name="Accent1 2" xfId="5347" xr:uid="{00000000-0005-0000-0000-000081520000}"/>
    <cellStyle name="Accent1 2 2" xfId="9655" xr:uid="{00000000-0005-0000-0000-000082520000}"/>
    <cellStyle name="Accent1 2 3" xfId="22420" xr:uid="{00000000-0005-0000-0000-000083520000}"/>
    <cellStyle name="Accent1 2 4" xfId="33061" xr:uid="{00000000-0005-0000-0000-000084520000}"/>
    <cellStyle name="Accent1 3" xfId="5348" xr:uid="{00000000-0005-0000-0000-000085520000}"/>
    <cellStyle name="Accent1 3 2" xfId="5349" xr:uid="{00000000-0005-0000-0000-000086520000}"/>
    <cellStyle name="Accent1 3 2 2" xfId="9657" xr:uid="{00000000-0005-0000-0000-000087520000}"/>
    <cellStyle name="Accent1 3 2 3" xfId="22418" xr:uid="{00000000-0005-0000-0000-000088520000}"/>
    <cellStyle name="Accent1 3 3" xfId="9656" xr:uid="{00000000-0005-0000-0000-000089520000}"/>
    <cellStyle name="Accent1 3 4" xfId="22419" xr:uid="{00000000-0005-0000-0000-00008A520000}"/>
    <cellStyle name="Accent1 4" xfId="5350" xr:uid="{00000000-0005-0000-0000-00008B520000}"/>
    <cellStyle name="Accent1 4 2" xfId="5351" xr:uid="{00000000-0005-0000-0000-00008C520000}"/>
    <cellStyle name="Accent1 4 2 2" xfId="13105" xr:uid="{00000000-0005-0000-0000-00008D520000}"/>
    <cellStyle name="Accent1 4 2 3" xfId="22416" xr:uid="{00000000-0005-0000-0000-00008E520000}"/>
    <cellStyle name="Accent1 4 3" xfId="5352" xr:uid="{00000000-0005-0000-0000-00008F520000}"/>
    <cellStyle name="Accent1 4 3 2" xfId="13104" xr:uid="{00000000-0005-0000-0000-000090520000}"/>
    <cellStyle name="Accent1 4 3 3" xfId="22415" xr:uid="{00000000-0005-0000-0000-000091520000}"/>
    <cellStyle name="Accent1 4 4" xfId="9658" xr:uid="{00000000-0005-0000-0000-000092520000}"/>
    <cellStyle name="Accent1 4 5" xfId="22417" xr:uid="{00000000-0005-0000-0000-000093520000}"/>
    <cellStyle name="Accent1 5" xfId="5353" xr:uid="{00000000-0005-0000-0000-000094520000}"/>
    <cellStyle name="Accent1 5 2" xfId="5354" xr:uid="{00000000-0005-0000-0000-000095520000}"/>
    <cellStyle name="Accent1 5 2 2" xfId="9660" xr:uid="{00000000-0005-0000-0000-000096520000}"/>
    <cellStyle name="Accent1 5 2 3" xfId="22413" xr:uid="{00000000-0005-0000-0000-000097520000}"/>
    <cellStyle name="Accent1 5 3" xfId="9659" xr:uid="{00000000-0005-0000-0000-000098520000}"/>
    <cellStyle name="Accent1 5 4" xfId="22414" xr:uid="{00000000-0005-0000-0000-000099520000}"/>
    <cellStyle name="Accent1 6" xfId="5355" xr:uid="{00000000-0005-0000-0000-00009A520000}"/>
    <cellStyle name="Accent1 6 2" xfId="9661" xr:uid="{00000000-0005-0000-0000-00009B520000}"/>
    <cellStyle name="Accent1 6 3" xfId="22412" xr:uid="{00000000-0005-0000-0000-00009C520000}"/>
    <cellStyle name="Accent1 7" xfId="5356" xr:uid="{00000000-0005-0000-0000-00009D520000}"/>
    <cellStyle name="Accent1 7 2" xfId="9662" xr:uid="{00000000-0005-0000-0000-00009E520000}"/>
    <cellStyle name="Accent1 7 3" xfId="22411" xr:uid="{00000000-0005-0000-0000-00009F520000}"/>
    <cellStyle name="Accent1 8" xfId="5357" xr:uid="{00000000-0005-0000-0000-0000A0520000}"/>
    <cellStyle name="Accent1 8 2" xfId="9663" xr:uid="{00000000-0005-0000-0000-0000A1520000}"/>
    <cellStyle name="Accent1 8 3" xfId="22410" xr:uid="{00000000-0005-0000-0000-0000A2520000}"/>
    <cellStyle name="Accent1 9" xfId="5358" xr:uid="{00000000-0005-0000-0000-0000A3520000}"/>
    <cellStyle name="Accent1 9 2" xfId="9664" xr:uid="{00000000-0005-0000-0000-0000A4520000}"/>
    <cellStyle name="Accent1 9 3" xfId="22409" xr:uid="{00000000-0005-0000-0000-0000A5520000}"/>
    <cellStyle name="Accent2" xfId="31" builtinId="33" customBuiltin="1"/>
    <cellStyle name="Accent2 10" xfId="5359" xr:uid="{00000000-0005-0000-0000-0000A7520000}"/>
    <cellStyle name="Accent2 10 2" xfId="9666" xr:uid="{00000000-0005-0000-0000-0000A8520000}"/>
    <cellStyle name="Accent2 10 3" xfId="22408" xr:uid="{00000000-0005-0000-0000-0000A9520000}"/>
    <cellStyle name="Accent2 11" xfId="5360" xr:uid="{00000000-0005-0000-0000-0000AA520000}"/>
    <cellStyle name="Accent2 11 2" xfId="9667" xr:uid="{00000000-0005-0000-0000-0000AB520000}"/>
    <cellStyle name="Accent2 11 3" xfId="22407" xr:uid="{00000000-0005-0000-0000-0000AC520000}"/>
    <cellStyle name="Accent2 12" xfId="5361" xr:uid="{00000000-0005-0000-0000-0000AD520000}"/>
    <cellStyle name="Accent2 12 2" xfId="5362" xr:uid="{00000000-0005-0000-0000-0000AE520000}"/>
    <cellStyle name="Accent2 12 2 2" xfId="15587" xr:uid="{00000000-0005-0000-0000-0000AF520000}"/>
    <cellStyle name="Accent2 12 2 3" xfId="22405" xr:uid="{00000000-0005-0000-0000-0000B0520000}"/>
    <cellStyle name="Accent2 12 3" xfId="10481" xr:uid="{00000000-0005-0000-0000-0000B1520000}"/>
    <cellStyle name="Accent2 12 4" xfId="22406" xr:uid="{00000000-0005-0000-0000-0000B2520000}"/>
    <cellStyle name="Accent2 13" xfId="5363" xr:uid="{00000000-0005-0000-0000-0000B3520000}"/>
    <cellStyle name="Accent2 13 2" xfId="11308" xr:uid="{00000000-0005-0000-0000-0000B4520000}"/>
    <cellStyle name="Accent2 13 3" xfId="22404" xr:uid="{00000000-0005-0000-0000-0000B5520000}"/>
    <cellStyle name="Accent2 14" xfId="5364" xr:uid="{00000000-0005-0000-0000-0000B6520000}"/>
    <cellStyle name="Accent2 14 2" xfId="9665" xr:uid="{00000000-0005-0000-0000-0000B7520000}"/>
    <cellStyle name="Accent2 14 3" xfId="22403" xr:uid="{00000000-0005-0000-0000-0000B8520000}"/>
    <cellStyle name="Accent2 2" xfId="5365" xr:uid="{00000000-0005-0000-0000-0000B9520000}"/>
    <cellStyle name="Accent2 2 2" xfId="9668" xr:uid="{00000000-0005-0000-0000-0000BA520000}"/>
    <cellStyle name="Accent2 2 3" xfId="22402" xr:uid="{00000000-0005-0000-0000-0000BB520000}"/>
    <cellStyle name="Accent2 2 4" xfId="33065" xr:uid="{00000000-0005-0000-0000-0000BC520000}"/>
    <cellStyle name="Accent2 3" xfId="5366" xr:uid="{00000000-0005-0000-0000-0000BD520000}"/>
    <cellStyle name="Accent2 3 2" xfId="5367" xr:uid="{00000000-0005-0000-0000-0000BE520000}"/>
    <cellStyle name="Accent2 3 2 2" xfId="9670" xr:uid="{00000000-0005-0000-0000-0000BF520000}"/>
    <cellStyle name="Accent2 3 2 3" xfId="22400" xr:uid="{00000000-0005-0000-0000-0000C0520000}"/>
    <cellStyle name="Accent2 3 3" xfId="9669" xr:uid="{00000000-0005-0000-0000-0000C1520000}"/>
    <cellStyle name="Accent2 3 4" xfId="22401" xr:uid="{00000000-0005-0000-0000-0000C2520000}"/>
    <cellStyle name="Accent2 4" xfId="5368" xr:uid="{00000000-0005-0000-0000-0000C3520000}"/>
    <cellStyle name="Accent2 4 2" xfId="5369" xr:uid="{00000000-0005-0000-0000-0000C4520000}"/>
    <cellStyle name="Accent2 4 2 2" xfId="13107" xr:uid="{00000000-0005-0000-0000-0000C5520000}"/>
    <cellStyle name="Accent2 4 2 3" xfId="22398" xr:uid="{00000000-0005-0000-0000-0000C6520000}"/>
    <cellStyle name="Accent2 4 3" xfId="5370" xr:uid="{00000000-0005-0000-0000-0000C7520000}"/>
    <cellStyle name="Accent2 4 3 2" xfId="13106" xr:uid="{00000000-0005-0000-0000-0000C8520000}"/>
    <cellStyle name="Accent2 4 3 3" xfId="22397" xr:uid="{00000000-0005-0000-0000-0000C9520000}"/>
    <cellStyle name="Accent2 4 4" xfId="9671" xr:uid="{00000000-0005-0000-0000-0000CA520000}"/>
    <cellStyle name="Accent2 4 5" xfId="22399" xr:uid="{00000000-0005-0000-0000-0000CB520000}"/>
    <cellStyle name="Accent2 5" xfId="5371" xr:uid="{00000000-0005-0000-0000-0000CC520000}"/>
    <cellStyle name="Accent2 5 2" xfId="5372" xr:uid="{00000000-0005-0000-0000-0000CD520000}"/>
    <cellStyle name="Accent2 5 2 2" xfId="9673" xr:uid="{00000000-0005-0000-0000-0000CE520000}"/>
    <cellStyle name="Accent2 5 2 3" xfId="22395" xr:uid="{00000000-0005-0000-0000-0000CF520000}"/>
    <cellStyle name="Accent2 5 3" xfId="9672" xr:uid="{00000000-0005-0000-0000-0000D0520000}"/>
    <cellStyle name="Accent2 5 4" xfId="22396" xr:uid="{00000000-0005-0000-0000-0000D1520000}"/>
    <cellStyle name="Accent2 6" xfId="5373" xr:uid="{00000000-0005-0000-0000-0000D2520000}"/>
    <cellStyle name="Accent2 6 2" xfId="9674" xr:uid="{00000000-0005-0000-0000-0000D3520000}"/>
    <cellStyle name="Accent2 6 3" xfId="22394" xr:uid="{00000000-0005-0000-0000-0000D4520000}"/>
    <cellStyle name="Accent2 7" xfId="5374" xr:uid="{00000000-0005-0000-0000-0000D5520000}"/>
    <cellStyle name="Accent2 7 2" xfId="9675" xr:uid="{00000000-0005-0000-0000-0000D6520000}"/>
    <cellStyle name="Accent2 7 3" xfId="22393" xr:uid="{00000000-0005-0000-0000-0000D7520000}"/>
    <cellStyle name="Accent2 8" xfId="5375" xr:uid="{00000000-0005-0000-0000-0000D8520000}"/>
    <cellStyle name="Accent2 8 2" xfId="9676" xr:uid="{00000000-0005-0000-0000-0000D9520000}"/>
    <cellStyle name="Accent2 8 3" xfId="22392" xr:uid="{00000000-0005-0000-0000-0000DA520000}"/>
    <cellStyle name="Accent2 9" xfId="5376" xr:uid="{00000000-0005-0000-0000-0000DB520000}"/>
    <cellStyle name="Accent2 9 2" xfId="9677" xr:uid="{00000000-0005-0000-0000-0000DC520000}"/>
    <cellStyle name="Accent2 9 3" xfId="22391" xr:uid="{00000000-0005-0000-0000-0000DD520000}"/>
    <cellStyle name="Accent3" xfId="35" builtinId="37" customBuiltin="1"/>
    <cellStyle name="Accent3 10" xfId="5377" xr:uid="{00000000-0005-0000-0000-0000DF520000}"/>
    <cellStyle name="Accent3 10 2" xfId="9679" xr:uid="{00000000-0005-0000-0000-0000E0520000}"/>
    <cellStyle name="Accent3 10 3" xfId="22390" xr:uid="{00000000-0005-0000-0000-0000E1520000}"/>
    <cellStyle name="Accent3 11" xfId="5378" xr:uid="{00000000-0005-0000-0000-0000E2520000}"/>
    <cellStyle name="Accent3 11 2" xfId="9680" xr:uid="{00000000-0005-0000-0000-0000E3520000}"/>
    <cellStyle name="Accent3 11 3" xfId="22389" xr:uid="{00000000-0005-0000-0000-0000E4520000}"/>
    <cellStyle name="Accent3 12" xfId="5379" xr:uid="{00000000-0005-0000-0000-0000E5520000}"/>
    <cellStyle name="Accent3 12 2" xfId="5380" xr:uid="{00000000-0005-0000-0000-0000E6520000}"/>
    <cellStyle name="Accent3 12 2 2" xfId="15588" xr:uid="{00000000-0005-0000-0000-0000E7520000}"/>
    <cellStyle name="Accent3 12 2 3" xfId="22387" xr:uid="{00000000-0005-0000-0000-0000E8520000}"/>
    <cellStyle name="Accent3 12 3" xfId="10482" xr:uid="{00000000-0005-0000-0000-0000E9520000}"/>
    <cellStyle name="Accent3 12 4" xfId="22388" xr:uid="{00000000-0005-0000-0000-0000EA520000}"/>
    <cellStyle name="Accent3 13" xfId="5381" xr:uid="{00000000-0005-0000-0000-0000EB520000}"/>
    <cellStyle name="Accent3 13 2" xfId="11309" xr:uid="{00000000-0005-0000-0000-0000EC520000}"/>
    <cellStyle name="Accent3 13 3" xfId="22386" xr:uid="{00000000-0005-0000-0000-0000ED520000}"/>
    <cellStyle name="Accent3 14" xfId="5382" xr:uid="{00000000-0005-0000-0000-0000EE520000}"/>
    <cellStyle name="Accent3 14 2" xfId="9678" xr:uid="{00000000-0005-0000-0000-0000EF520000}"/>
    <cellStyle name="Accent3 14 3" xfId="22385" xr:uid="{00000000-0005-0000-0000-0000F0520000}"/>
    <cellStyle name="Accent3 2" xfId="5383" xr:uid="{00000000-0005-0000-0000-0000F1520000}"/>
    <cellStyle name="Accent3 2 2" xfId="9681" xr:uid="{00000000-0005-0000-0000-0000F2520000}"/>
    <cellStyle name="Accent3 2 3" xfId="22384" xr:uid="{00000000-0005-0000-0000-0000F3520000}"/>
    <cellStyle name="Accent3 2 4" xfId="33069" xr:uid="{00000000-0005-0000-0000-0000F4520000}"/>
    <cellStyle name="Accent3 3" xfId="5384" xr:uid="{00000000-0005-0000-0000-0000F5520000}"/>
    <cellStyle name="Accent3 3 2" xfId="5385" xr:uid="{00000000-0005-0000-0000-0000F6520000}"/>
    <cellStyle name="Accent3 3 2 2" xfId="9683" xr:uid="{00000000-0005-0000-0000-0000F7520000}"/>
    <cellStyle name="Accent3 3 2 3" xfId="22382" xr:uid="{00000000-0005-0000-0000-0000F8520000}"/>
    <cellStyle name="Accent3 3 3" xfId="9682" xr:uid="{00000000-0005-0000-0000-0000F9520000}"/>
    <cellStyle name="Accent3 3 4" xfId="22383" xr:uid="{00000000-0005-0000-0000-0000FA520000}"/>
    <cellStyle name="Accent3 4" xfId="5386" xr:uid="{00000000-0005-0000-0000-0000FB520000}"/>
    <cellStyle name="Accent3 4 2" xfId="5387" xr:uid="{00000000-0005-0000-0000-0000FC520000}"/>
    <cellStyle name="Accent3 4 2 2" xfId="13109" xr:uid="{00000000-0005-0000-0000-0000FD520000}"/>
    <cellStyle name="Accent3 4 2 3" xfId="22380" xr:uid="{00000000-0005-0000-0000-0000FE520000}"/>
    <cellStyle name="Accent3 4 3" xfId="5388" xr:uid="{00000000-0005-0000-0000-0000FF520000}"/>
    <cellStyle name="Accent3 4 3 2" xfId="13108" xr:uid="{00000000-0005-0000-0000-000000530000}"/>
    <cellStyle name="Accent3 4 3 3" xfId="22379" xr:uid="{00000000-0005-0000-0000-000001530000}"/>
    <cellStyle name="Accent3 4 4" xfId="9684" xr:uid="{00000000-0005-0000-0000-000002530000}"/>
    <cellStyle name="Accent3 4 5" xfId="22381" xr:uid="{00000000-0005-0000-0000-000003530000}"/>
    <cellStyle name="Accent3 5" xfId="5389" xr:uid="{00000000-0005-0000-0000-000004530000}"/>
    <cellStyle name="Accent3 5 2" xfId="5390" xr:uid="{00000000-0005-0000-0000-000005530000}"/>
    <cellStyle name="Accent3 5 2 2" xfId="9686" xr:uid="{00000000-0005-0000-0000-000006530000}"/>
    <cellStyle name="Accent3 5 2 3" xfId="22377" xr:uid="{00000000-0005-0000-0000-000007530000}"/>
    <cellStyle name="Accent3 5 3" xfId="9685" xr:uid="{00000000-0005-0000-0000-000008530000}"/>
    <cellStyle name="Accent3 5 4" xfId="22378" xr:uid="{00000000-0005-0000-0000-000009530000}"/>
    <cellStyle name="Accent3 6" xfId="5391" xr:uid="{00000000-0005-0000-0000-00000A530000}"/>
    <cellStyle name="Accent3 6 2" xfId="9687" xr:uid="{00000000-0005-0000-0000-00000B530000}"/>
    <cellStyle name="Accent3 6 3" xfId="22376" xr:uid="{00000000-0005-0000-0000-00000C530000}"/>
    <cellStyle name="Accent3 7" xfId="5392" xr:uid="{00000000-0005-0000-0000-00000D530000}"/>
    <cellStyle name="Accent3 7 2" xfId="9688" xr:uid="{00000000-0005-0000-0000-00000E530000}"/>
    <cellStyle name="Accent3 7 3" xfId="22375" xr:uid="{00000000-0005-0000-0000-00000F530000}"/>
    <cellStyle name="Accent3 8" xfId="5393" xr:uid="{00000000-0005-0000-0000-000010530000}"/>
    <cellStyle name="Accent3 8 2" xfId="9689" xr:uid="{00000000-0005-0000-0000-000011530000}"/>
    <cellStyle name="Accent3 8 3" xfId="22374" xr:uid="{00000000-0005-0000-0000-000012530000}"/>
    <cellStyle name="Accent3 9" xfId="5394" xr:uid="{00000000-0005-0000-0000-000013530000}"/>
    <cellStyle name="Accent3 9 2" xfId="9690" xr:uid="{00000000-0005-0000-0000-000014530000}"/>
    <cellStyle name="Accent3 9 3" xfId="22373" xr:uid="{00000000-0005-0000-0000-000015530000}"/>
    <cellStyle name="Accent4" xfId="39" builtinId="41" customBuiltin="1"/>
    <cellStyle name="Accent4 10" xfId="5395" xr:uid="{00000000-0005-0000-0000-000017530000}"/>
    <cellStyle name="Accent4 10 2" xfId="9692" xr:uid="{00000000-0005-0000-0000-000018530000}"/>
    <cellStyle name="Accent4 10 3" xfId="22372" xr:uid="{00000000-0005-0000-0000-000019530000}"/>
    <cellStyle name="Accent4 11" xfId="5396" xr:uid="{00000000-0005-0000-0000-00001A530000}"/>
    <cellStyle name="Accent4 11 2" xfId="9693" xr:uid="{00000000-0005-0000-0000-00001B530000}"/>
    <cellStyle name="Accent4 11 3" xfId="22371" xr:uid="{00000000-0005-0000-0000-00001C530000}"/>
    <cellStyle name="Accent4 12" xfId="5397" xr:uid="{00000000-0005-0000-0000-00001D530000}"/>
    <cellStyle name="Accent4 12 2" xfId="5398" xr:uid="{00000000-0005-0000-0000-00001E530000}"/>
    <cellStyle name="Accent4 12 2 2" xfId="15589" xr:uid="{00000000-0005-0000-0000-00001F530000}"/>
    <cellStyle name="Accent4 12 2 3" xfId="22369" xr:uid="{00000000-0005-0000-0000-000020530000}"/>
    <cellStyle name="Accent4 12 3" xfId="10483" xr:uid="{00000000-0005-0000-0000-000021530000}"/>
    <cellStyle name="Accent4 12 4" xfId="22370" xr:uid="{00000000-0005-0000-0000-000022530000}"/>
    <cellStyle name="Accent4 13" xfId="5399" xr:uid="{00000000-0005-0000-0000-000023530000}"/>
    <cellStyle name="Accent4 13 2" xfId="11310" xr:uid="{00000000-0005-0000-0000-000024530000}"/>
    <cellStyle name="Accent4 13 3" xfId="22368" xr:uid="{00000000-0005-0000-0000-000025530000}"/>
    <cellStyle name="Accent4 14" xfId="5400" xr:uid="{00000000-0005-0000-0000-000026530000}"/>
    <cellStyle name="Accent4 14 2" xfId="9691" xr:uid="{00000000-0005-0000-0000-000027530000}"/>
    <cellStyle name="Accent4 14 3" xfId="22367" xr:uid="{00000000-0005-0000-0000-000028530000}"/>
    <cellStyle name="Accent4 2" xfId="5401" xr:uid="{00000000-0005-0000-0000-000029530000}"/>
    <cellStyle name="Accent4 2 2" xfId="9694" xr:uid="{00000000-0005-0000-0000-00002A530000}"/>
    <cellStyle name="Accent4 2 3" xfId="22366" xr:uid="{00000000-0005-0000-0000-00002B530000}"/>
    <cellStyle name="Accent4 2 4" xfId="33073" xr:uid="{00000000-0005-0000-0000-00002C530000}"/>
    <cellStyle name="Accent4 3" xfId="5402" xr:uid="{00000000-0005-0000-0000-00002D530000}"/>
    <cellStyle name="Accent4 3 2" xfId="5403" xr:uid="{00000000-0005-0000-0000-00002E530000}"/>
    <cellStyle name="Accent4 3 2 2" xfId="9696" xr:uid="{00000000-0005-0000-0000-00002F530000}"/>
    <cellStyle name="Accent4 3 2 3" xfId="22364" xr:uid="{00000000-0005-0000-0000-000030530000}"/>
    <cellStyle name="Accent4 3 3" xfId="9695" xr:uid="{00000000-0005-0000-0000-000031530000}"/>
    <cellStyle name="Accent4 3 4" xfId="22365" xr:uid="{00000000-0005-0000-0000-000032530000}"/>
    <cellStyle name="Accent4 4" xfId="5404" xr:uid="{00000000-0005-0000-0000-000033530000}"/>
    <cellStyle name="Accent4 4 2" xfId="5405" xr:uid="{00000000-0005-0000-0000-000034530000}"/>
    <cellStyle name="Accent4 4 2 2" xfId="13111" xr:uid="{00000000-0005-0000-0000-000035530000}"/>
    <cellStyle name="Accent4 4 2 3" xfId="22362" xr:uid="{00000000-0005-0000-0000-000036530000}"/>
    <cellStyle name="Accent4 4 3" xfId="5406" xr:uid="{00000000-0005-0000-0000-000037530000}"/>
    <cellStyle name="Accent4 4 3 2" xfId="13110" xr:uid="{00000000-0005-0000-0000-000038530000}"/>
    <cellStyle name="Accent4 4 3 3" xfId="22361" xr:uid="{00000000-0005-0000-0000-000039530000}"/>
    <cellStyle name="Accent4 4 4" xfId="9697" xr:uid="{00000000-0005-0000-0000-00003A530000}"/>
    <cellStyle name="Accent4 4 5" xfId="22363" xr:uid="{00000000-0005-0000-0000-00003B530000}"/>
    <cellStyle name="Accent4 5" xfId="5407" xr:uid="{00000000-0005-0000-0000-00003C530000}"/>
    <cellStyle name="Accent4 5 2" xfId="5408" xr:uid="{00000000-0005-0000-0000-00003D530000}"/>
    <cellStyle name="Accent4 5 2 2" xfId="9699" xr:uid="{00000000-0005-0000-0000-00003E530000}"/>
    <cellStyle name="Accent4 5 2 3" xfId="22359" xr:uid="{00000000-0005-0000-0000-00003F530000}"/>
    <cellStyle name="Accent4 5 3" xfId="9698" xr:uid="{00000000-0005-0000-0000-000040530000}"/>
    <cellStyle name="Accent4 5 4" xfId="22360" xr:uid="{00000000-0005-0000-0000-000041530000}"/>
    <cellStyle name="Accent4 6" xfId="5409" xr:uid="{00000000-0005-0000-0000-000042530000}"/>
    <cellStyle name="Accent4 6 2" xfId="9700" xr:uid="{00000000-0005-0000-0000-000043530000}"/>
    <cellStyle name="Accent4 6 3" xfId="22358" xr:uid="{00000000-0005-0000-0000-000044530000}"/>
    <cellStyle name="Accent4 7" xfId="5410" xr:uid="{00000000-0005-0000-0000-000045530000}"/>
    <cellStyle name="Accent4 7 2" xfId="9701" xr:uid="{00000000-0005-0000-0000-000046530000}"/>
    <cellStyle name="Accent4 7 3" xfId="22357" xr:uid="{00000000-0005-0000-0000-000047530000}"/>
    <cellStyle name="Accent4 8" xfId="5411" xr:uid="{00000000-0005-0000-0000-000048530000}"/>
    <cellStyle name="Accent4 8 2" xfId="9702" xr:uid="{00000000-0005-0000-0000-000049530000}"/>
    <cellStyle name="Accent4 8 3" xfId="22356" xr:uid="{00000000-0005-0000-0000-00004A530000}"/>
    <cellStyle name="Accent4 9" xfId="5412" xr:uid="{00000000-0005-0000-0000-00004B530000}"/>
    <cellStyle name="Accent4 9 2" xfId="9703" xr:uid="{00000000-0005-0000-0000-00004C530000}"/>
    <cellStyle name="Accent4 9 3" xfId="22355" xr:uid="{00000000-0005-0000-0000-00004D530000}"/>
    <cellStyle name="Accent5" xfId="33037" builtinId="45" customBuiltin="1"/>
    <cellStyle name="Accent5 2" xfId="8817" xr:uid="{00000000-0005-0000-0000-00004F530000}"/>
    <cellStyle name="Accent5 2 2" xfId="33077" xr:uid="{00000000-0005-0000-0000-000050530000}"/>
    <cellStyle name="Accent5 3" xfId="22354" xr:uid="{00000000-0005-0000-0000-000051530000}"/>
    <cellStyle name="Accent5 4" xfId="5413" xr:uid="{00000000-0005-0000-0000-000052530000}"/>
    <cellStyle name="Accent6" xfId="46" builtinId="49" customBuiltin="1"/>
    <cellStyle name="Accent6 10" xfId="5414" xr:uid="{00000000-0005-0000-0000-000054530000}"/>
    <cellStyle name="Accent6 10 2" xfId="9705" xr:uid="{00000000-0005-0000-0000-000055530000}"/>
    <cellStyle name="Accent6 10 3" xfId="22353" xr:uid="{00000000-0005-0000-0000-000056530000}"/>
    <cellStyle name="Accent6 11" xfId="5415" xr:uid="{00000000-0005-0000-0000-000057530000}"/>
    <cellStyle name="Accent6 11 2" xfId="9706" xr:uid="{00000000-0005-0000-0000-000058530000}"/>
    <cellStyle name="Accent6 11 3" xfId="22352" xr:uid="{00000000-0005-0000-0000-000059530000}"/>
    <cellStyle name="Accent6 12" xfId="5416" xr:uid="{00000000-0005-0000-0000-00005A530000}"/>
    <cellStyle name="Accent6 12 2" xfId="5417" xr:uid="{00000000-0005-0000-0000-00005B530000}"/>
    <cellStyle name="Accent6 12 2 2" xfId="15590" xr:uid="{00000000-0005-0000-0000-00005C530000}"/>
    <cellStyle name="Accent6 12 2 3" xfId="22350" xr:uid="{00000000-0005-0000-0000-00005D530000}"/>
    <cellStyle name="Accent6 12 3" xfId="10484" xr:uid="{00000000-0005-0000-0000-00005E530000}"/>
    <cellStyle name="Accent6 12 4" xfId="22351" xr:uid="{00000000-0005-0000-0000-00005F530000}"/>
    <cellStyle name="Accent6 13" xfId="5418" xr:uid="{00000000-0005-0000-0000-000060530000}"/>
    <cellStyle name="Accent6 13 2" xfId="11311" xr:uid="{00000000-0005-0000-0000-000061530000}"/>
    <cellStyle name="Accent6 13 3" xfId="22349" xr:uid="{00000000-0005-0000-0000-000062530000}"/>
    <cellStyle name="Accent6 14" xfId="5419" xr:uid="{00000000-0005-0000-0000-000063530000}"/>
    <cellStyle name="Accent6 14 2" xfId="9704" xr:uid="{00000000-0005-0000-0000-000064530000}"/>
    <cellStyle name="Accent6 14 3" xfId="22348" xr:uid="{00000000-0005-0000-0000-000065530000}"/>
    <cellStyle name="Accent6 2" xfId="5420" xr:uid="{00000000-0005-0000-0000-000066530000}"/>
    <cellStyle name="Accent6 2 2" xfId="9707" xr:uid="{00000000-0005-0000-0000-000067530000}"/>
    <cellStyle name="Accent6 2 3" xfId="22347" xr:uid="{00000000-0005-0000-0000-000068530000}"/>
    <cellStyle name="Accent6 2 4" xfId="33081" xr:uid="{00000000-0005-0000-0000-000069530000}"/>
    <cellStyle name="Accent6 3" xfId="5421" xr:uid="{00000000-0005-0000-0000-00006A530000}"/>
    <cellStyle name="Accent6 3 2" xfId="5422" xr:uid="{00000000-0005-0000-0000-00006B530000}"/>
    <cellStyle name="Accent6 3 2 2" xfId="9709" xr:uid="{00000000-0005-0000-0000-00006C530000}"/>
    <cellStyle name="Accent6 3 2 3" xfId="22345" xr:uid="{00000000-0005-0000-0000-00006D530000}"/>
    <cellStyle name="Accent6 3 3" xfId="9708" xr:uid="{00000000-0005-0000-0000-00006E530000}"/>
    <cellStyle name="Accent6 3 4" xfId="22346" xr:uid="{00000000-0005-0000-0000-00006F530000}"/>
    <cellStyle name="Accent6 4" xfId="5423" xr:uid="{00000000-0005-0000-0000-000070530000}"/>
    <cellStyle name="Accent6 4 2" xfId="5424" xr:uid="{00000000-0005-0000-0000-000071530000}"/>
    <cellStyle name="Accent6 4 2 2" xfId="13113" xr:uid="{00000000-0005-0000-0000-000072530000}"/>
    <cellStyle name="Accent6 4 2 3" xfId="22343" xr:uid="{00000000-0005-0000-0000-000073530000}"/>
    <cellStyle name="Accent6 4 3" xfId="5425" xr:uid="{00000000-0005-0000-0000-000074530000}"/>
    <cellStyle name="Accent6 4 3 2" xfId="13112" xr:uid="{00000000-0005-0000-0000-000075530000}"/>
    <cellStyle name="Accent6 4 3 3" xfId="22342" xr:uid="{00000000-0005-0000-0000-000076530000}"/>
    <cellStyle name="Accent6 4 4" xfId="9710" xr:uid="{00000000-0005-0000-0000-000077530000}"/>
    <cellStyle name="Accent6 4 5" xfId="22344" xr:uid="{00000000-0005-0000-0000-000078530000}"/>
    <cellStyle name="Accent6 5" xfId="5426" xr:uid="{00000000-0005-0000-0000-000079530000}"/>
    <cellStyle name="Accent6 5 2" xfId="5427" xr:uid="{00000000-0005-0000-0000-00007A530000}"/>
    <cellStyle name="Accent6 5 2 2" xfId="9712" xr:uid="{00000000-0005-0000-0000-00007B530000}"/>
    <cellStyle name="Accent6 5 2 3" xfId="22340" xr:uid="{00000000-0005-0000-0000-00007C530000}"/>
    <cellStyle name="Accent6 5 3" xfId="9711" xr:uid="{00000000-0005-0000-0000-00007D530000}"/>
    <cellStyle name="Accent6 5 4" xfId="22341" xr:uid="{00000000-0005-0000-0000-00007E530000}"/>
    <cellStyle name="Accent6 6" xfId="5428" xr:uid="{00000000-0005-0000-0000-00007F530000}"/>
    <cellStyle name="Accent6 6 2" xfId="9713" xr:uid="{00000000-0005-0000-0000-000080530000}"/>
    <cellStyle name="Accent6 6 3" xfId="22339" xr:uid="{00000000-0005-0000-0000-000081530000}"/>
    <cellStyle name="Accent6 7" xfId="5429" xr:uid="{00000000-0005-0000-0000-000082530000}"/>
    <cellStyle name="Accent6 7 2" xfId="9714" xr:uid="{00000000-0005-0000-0000-000083530000}"/>
    <cellStyle name="Accent6 7 3" xfId="22338" xr:uid="{00000000-0005-0000-0000-000084530000}"/>
    <cellStyle name="Accent6 8" xfId="5430" xr:uid="{00000000-0005-0000-0000-000085530000}"/>
    <cellStyle name="Accent6 8 2" xfId="9715" xr:uid="{00000000-0005-0000-0000-000086530000}"/>
    <cellStyle name="Accent6 8 3" xfId="22337" xr:uid="{00000000-0005-0000-0000-000087530000}"/>
    <cellStyle name="Accent6 9" xfId="5431" xr:uid="{00000000-0005-0000-0000-000088530000}"/>
    <cellStyle name="Accent6 9 2" xfId="9716" xr:uid="{00000000-0005-0000-0000-000089530000}"/>
    <cellStyle name="Accent6 9 3" xfId="22336" xr:uid="{00000000-0005-0000-0000-00008A530000}"/>
    <cellStyle name="ALSTEC Currency" xfId="1" xr:uid="{00000000-0005-0000-0000-00008B530000}"/>
    <cellStyle name="ALSTEC Detail Header" xfId="2" xr:uid="{00000000-0005-0000-0000-00008C530000}"/>
    <cellStyle name="ALSTEC Normal_RU EXP" xfId="3" xr:uid="{00000000-0005-0000-0000-00008D530000}"/>
    <cellStyle name="Bad" xfId="20" builtinId="27" customBuiltin="1"/>
    <cellStyle name="Bad 10" xfId="5432" xr:uid="{00000000-0005-0000-0000-00008F530000}"/>
    <cellStyle name="Bad 10 2" xfId="9718" xr:uid="{00000000-0005-0000-0000-000090530000}"/>
    <cellStyle name="Bad 10 3" xfId="22335" xr:uid="{00000000-0005-0000-0000-000091530000}"/>
    <cellStyle name="Bad 11" xfId="5433" xr:uid="{00000000-0005-0000-0000-000092530000}"/>
    <cellStyle name="Bad 11 2" xfId="9719" xr:uid="{00000000-0005-0000-0000-000093530000}"/>
    <cellStyle name="Bad 11 3" xfId="22334" xr:uid="{00000000-0005-0000-0000-000094530000}"/>
    <cellStyle name="Bad 12" xfId="5434" xr:uid="{00000000-0005-0000-0000-000095530000}"/>
    <cellStyle name="Bad 12 2" xfId="5435" xr:uid="{00000000-0005-0000-0000-000096530000}"/>
    <cellStyle name="Bad 12 2 2" xfId="15591" xr:uid="{00000000-0005-0000-0000-000097530000}"/>
    <cellStyle name="Bad 12 2 3" xfId="22332" xr:uid="{00000000-0005-0000-0000-000098530000}"/>
    <cellStyle name="Bad 12 3" xfId="10485" xr:uid="{00000000-0005-0000-0000-000099530000}"/>
    <cellStyle name="Bad 12 4" xfId="22333" xr:uid="{00000000-0005-0000-0000-00009A530000}"/>
    <cellStyle name="Bad 13" xfId="5436" xr:uid="{00000000-0005-0000-0000-00009B530000}"/>
    <cellStyle name="Bad 13 2" xfId="11312" xr:uid="{00000000-0005-0000-0000-00009C530000}"/>
    <cellStyle name="Bad 13 3" xfId="22331" xr:uid="{00000000-0005-0000-0000-00009D530000}"/>
    <cellStyle name="Bad 14" xfId="5437" xr:uid="{00000000-0005-0000-0000-00009E530000}"/>
    <cellStyle name="Bad 14 2" xfId="9717" xr:uid="{00000000-0005-0000-0000-00009F530000}"/>
    <cellStyle name="Bad 14 3" xfId="22330" xr:uid="{00000000-0005-0000-0000-0000A0530000}"/>
    <cellStyle name="Bad 2" xfId="5438" xr:uid="{00000000-0005-0000-0000-0000A1530000}"/>
    <cellStyle name="Bad 2 2" xfId="9720" xr:uid="{00000000-0005-0000-0000-0000A2530000}"/>
    <cellStyle name="Bad 2 3" xfId="22329" xr:uid="{00000000-0005-0000-0000-0000A3530000}"/>
    <cellStyle name="Bad 2 4" xfId="33050" xr:uid="{00000000-0005-0000-0000-0000A4530000}"/>
    <cellStyle name="Bad 3" xfId="5439" xr:uid="{00000000-0005-0000-0000-0000A5530000}"/>
    <cellStyle name="Bad 3 2" xfId="5440" xr:uid="{00000000-0005-0000-0000-0000A6530000}"/>
    <cellStyle name="Bad 3 2 2" xfId="9722" xr:uid="{00000000-0005-0000-0000-0000A7530000}"/>
    <cellStyle name="Bad 3 2 3" xfId="22327" xr:uid="{00000000-0005-0000-0000-0000A8530000}"/>
    <cellStyle name="Bad 3 3" xfId="9721" xr:uid="{00000000-0005-0000-0000-0000A9530000}"/>
    <cellStyle name="Bad 3 4" xfId="22328" xr:uid="{00000000-0005-0000-0000-0000AA530000}"/>
    <cellStyle name="Bad 4" xfId="5441" xr:uid="{00000000-0005-0000-0000-0000AB530000}"/>
    <cellStyle name="Bad 4 2" xfId="5442" xr:uid="{00000000-0005-0000-0000-0000AC530000}"/>
    <cellStyle name="Bad 4 2 2" xfId="13115" xr:uid="{00000000-0005-0000-0000-0000AD530000}"/>
    <cellStyle name="Bad 4 2 3" xfId="22325" xr:uid="{00000000-0005-0000-0000-0000AE530000}"/>
    <cellStyle name="Bad 4 3" xfId="5443" xr:uid="{00000000-0005-0000-0000-0000AF530000}"/>
    <cellStyle name="Bad 4 3 2" xfId="13114" xr:uid="{00000000-0005-0000-0000-0000B0530000}"/>
    <cellStyle name="Bad 4 3 3" xfId="22324" xr:uid="{00000000-0005-0000-0000-0000B1530000}"/>
    <cellStyle name="Bad 4 4" xfId="9723" xr:uid="{00000000-0005-0000-0000-0000B2530000}"/>
    <cellStyle name="Bad 4 5" xfId="22326" xr:uid="{00000000-0005-0000-0000-0000B3530000}"/>
    <cellStyle name="Bad 5" xfId="5444" xr:uid="{00000000-0005-0000-0000-0000B4530000}"/>
    <cellStyle name="Bad 5 2" xfId="5445" xr:uid="{00000000-0005-0000-0000-0000B5530000}"/>
    <cellStyle name="Bad 5 2 2" xfId="9725" xr:uid="{00000000-0005-0000-0000-0000B6530000}"/>
    <cellStyle name="Bad 5 2 3" xfId="22322" xr:uid="{00000000-0005-0000-0000-0000B7530000}"/>
    <cellStyle name="Bad 5 3" xfId="9724" xr:uid="{00000000-0005-0000-0000-0000B8530000}"/>
    <cellStyle name="Bad 5 4" xfId="22323" xr:uid="{00000000-0005-0000-0000-0000B9530000}"/>
    <cellStyle name="Bad 6" xfId="5446" xr:uid="{00000000-0005-0000-0000-0000BA530000}"/>
    <cellStyle name="Bad 6 2" xfId="9726" xr:uid="{00000000-0005-0000-0000-0000BB530000}"/>
    <cellStyle name="Bad 6 3" xfId="22321" xr:uid="{00000000-0005-0000-0000-0000BC530000}"/>
    <cellStyle name="Bad 7" xfId="5447" xr:uid="{00000000-0005-0000-0000-0000BD530000}"/>
    <cellStyle name="Bad 7 2" xfId="9727" xr:uid="{00000000-0005-0000-0000-0000BE530000}"/>
    <cellStyle name="Bad 7 3" xfId="22320" xr:uid="{00000000-0005-0000-0000-0000BF530000}"/>
    <cellStyle name="Bad 8" xfId="5448" xr:uid="{00000000-0005-0000-0000-0000C0530000}"/>
    <cellStyle name="Bad 8 2" xfId="9728" xr:uid="{00000000-0005-0000-0000-0000C1530000}"/>
    <cellStyle name="Bad 8 3" xfId="22319" xr:uid="{00000000-0005-0000-0000-0000C2530000}"/>
    <cellStyle name="Bad 9" xfId="5449" xr:uid="{00000000-0005-0000-0000-0000C3530000}"/>
    <cellStyle name="Bad 9 2" xfId="9729" xr:uid="{00000000-0005-0000-0000-0000C4530000}"/>
    <cellStyle name="Bad 9 3" xfId="22318" xr:uid="{00000000-0005-0000-0000-0000C5530000}"/>
    <cellStyle name="Calculation" xfId="24" builtinId="22" customBuiltin="1"/>
    <cellStyle name="Calculation 10" xfId="5450" xr:uid="{00000000-0005-0000-0000-0000C7530000}"/>
    <cellStyle name="Calculation 10 2" xfId="9731" xr:uid="{00000000-0005-0000-0000-0000C8530000}"/>
    <cellStyle name="Calculation 10 3" xfId="22317" xr:uid="{00000000-0005-0000-0000-0000C9530000}"/>
    <cellStyle name="Calculation 11" xfId="5451" xr:uid="{00000000-0005-0000-0000-0000CA530000}"/>
    <cellStyle name="Calculation 11 2" xfId="9732" xr:uid="{00000000-0005-0000-0000-0000CB530000}"/>
    <cellStyle name="Calculation 11 3" xfId="22316" xr:uid="{00000000-0005-0000-0000-0000CC530000}"/>
    <cellStyle name="Calculation 12" xfId="5452" xr:uid="{00000000-0005-0000-0000-0000CD530000}"/>
    <cellStyle name="Calculation 12 2" xfId="5453" xr:uid="{00000000-0005-0000-0000-0000CE530000}"/>
    <cellStyle name="Calculation 12 2 2" xfId="15592" xr:uid="{00000000-0005-0000-0000-0000CF530000}"/>
    <cellStyle name="Calculation 12 2 3" xfId="22314" xr:uid="{00000000-0005-0000-0000-0000D0530000}"/>
    <cellStyle name="Calculation 12 3" xfId="10486" xr:uid="{00000000-0005-0000-0000-0000D1530000}"/>
    <cellStyle name="Calculation 12 4" xfId="22315" xr:uid="{00000000-0005-0000-0000-0000D2530000}"/>
    <cellStyle name="Calculation 13" xfId="5454" xr:uid="{00000000-0005-0000-0000-0000D3530000}"/>
    <cellStyle name="Calculation 13 2" xfId="11313" xr:uid="{00000000-0005-0000-0000-0000D4530000}"/>
    <cellStyle name="Calculation 13 3" xfId="22313" xr:uid="{00000000-0005-0000-0000-0000D5530000}"/>
    <cellStyle name="Calculation 14" xfId="5455" xr:uid="{00000000-0005-0000-0000-0000D6530000}"/>
    <cellStyle name="Calculation 14 2" xfId="9730" xr:uid="{00000000-0005-0000-0000-0000D7530000}"/>
    <cellStyle name="Calculation 14 3" xfId="22312" xr:uid="{00000000-0005-0000-0000-0000D8530000}"/>
    <cellStyle name="Calculation 2" xfId="5456" xr:uid="{00000000-0005-0000-0000-0000D9530000}"/>
    <cellStyle name="Calculation 2 2" xfId="9733" xr:uid="{00000000-0005-0000-0000-0000DA530000}"/>
    <cellStyle name="Calculation 2 3" xfId="22311" xr:uid="{00000000-0005-0000-0000-0000DB530000}"/>
    <cellStyle name="Calculation 2 4" xfId="33054" xr:uid="{00000000-0005-0000-0000-0000DC530000}"/>
    <cellStyle name="Calculation 3" xfId="5457" xr:uid="{00000000-0005-0000-0000-0000DD530000}"/>
    <cellStyle name="Calculation 3 2" xfId="5458" xr:uid="{00000000-0005-0000-0000-0000DE530000}"/>
    <cellStyle name="Calculation 3 2 2" xfId="9735" xr:uid="{00000000-0005-0000-0000-0000DF530000}"/>
    <cellStyle name="Calculation 3 2 3" xfId="22309" xr:uid="{00000000-0005-0000-0000-0000E0530000}"/>
    <cellStyle name="Calculation 3 3" xfId="9734" xr:uid="{00000000-0005-0000-0000-0000E1530000}"/>
    <cellStyle name="Calculation 3 4" xfId="22310" xr:uid="{00000000-0005-0000-0000-0000E2530000}"/>
    <cellStyle name="Calculation 4" xfId="5459" xr:uid="{00000000-0005-0000-0000-0000E3530000}"/>
    <cellStyle name="Calculation 4 2" xfId="5460" xr:uid="{00000000-0005-0000-0000-0000E4530000}"/>
    <cellStyle name="Calculation 4 2 2" xfId="13117" xr:uid="{00000000-0005-0000-0000-0000E5530000}"/>
    <cellStyle name="Calculation 4 2 3" xfId="22307" xr:uid="{00000000-0005-0000-0000-0000E6530000}"/>
    <cellStyle name="Calculation 4 3" xfId="5461" xr:uid="{00000000-0005-0000-0000-0000E7530000}"/>
    <cellStyle name="Calculation 4 3 2" xfId="13116" xr:uid="{00000000-0005-0000-0000-0000E8530000}"/>
    <cellStyle name="Calculation 4 3 3" xfId="22306" xr:uid="{00000000-0005-0000-0000-0000E9530000}"/>
    <cellStyle name="Calculation 4 4" xfId="9736" xr:uid="{00000000-0005-0000-0000-0000EA530000}"/>
    <cellStyle name="Calculation 4 5" xfId="22308" xr:uid="{00000000-0005-0000-0000-0000EB530000}"/>
    <cellStyle name="Calculation 5" xfId="5462" xr:uid="{00000000-0005-0000-0000-0000EC530000}"/>
    <cellStyle name="Calculation 5 2" xfId="5463" xr:uid="{00000000-0005-0000-0000-0000ED530000}"/>
    <cellStyle name="Calculation 5 2 2" xfId="9738" xr:uid="{00000000-0005-0000-0000-0000EE530000}"/>
    <cellStyle name="Calculation 5 2 3" xfId="22304" xr:uid="{00000000-0005-0000-0000-0000EF530000}"/>
    <cellStyle name="Calculation 5 3" xfId="9737" xr:uid="{00000000-0005-0000-0000-0000F0530000}"/>
    <cellStyle name="Calculation 5 4" xfId="22305" xr:uid="{00000000-0005-0000-0000-0000F1530000}"/>
    <cellStyle name="Calculation 6" xfId="5464" xr:uid="{00000000-0005-0000-0000-0000F2530000}"/>
    <cellStyle name="Calculation 6 2" xfId="9739" xr:uid="{00000000-0005-0000-0000-0000F3530000}"/>
    <cellStyle name="Calculation 6 3" xfId="22303" xr:uid="{00000000-0005-0000-0000-0000F4530000}"/>
    <cellStyle name="Calculation 7" xfId="5465" xr:uid="{00000000-0005-0000-0000-0000F5530000}"/>
    <cellStyle name="Calculation 7 2" xfId="9740" xr:uid="{00000000-0005-0000-0000-0000F6530000}"/>
    <cellStyle name="Calculation 7 3" xfId="22302" xr:uid="{00000000-0005-0000-0000-0000F7530000}"/>
    <cellStyle name="Calculation 8" xfId="5466" xr:uid="{00000000-0005-0000-0000-0000F8530000}"/>
    <cellStyle name="Calculation 8 2" xfId="9741" xr:uid="{00000000-0005-0000-0000-0000F9530000}"/>
    <cellStyle name="Calculation 8 3" xfId="22301" xr:uid="{00000000-0005-0000-0000-0000FA530000}"/>
    <cellStyle name="Calculation 9" xfId="5467" xr:uid="{00000000-0005-0000-0000-0000FB530000}"/>
    <cellStyle name="Calculation 9 2" xfId="9742" xr:uid="{00000000-0005-0000-0000-0000FC530000}"/>
    <cellStyle name="Calculation 9 3" xfId="22300" xr:uid="{00000000-0005-0000-0000-0000FD530000}"/>
    <cellStyle name="Check Cell" xfId="33033" builtinId="23" customBuiltin="1"/>
    <cellStyle name="Check Cell 2" xfId="8813" xr:uid="{00000000-0005-0000-0000-0000FF530000}"/>
    <cellStyle name="Check Cell 2 2" xfId="33056" xr:uid="{00000000-0005-0000-0000-000000540000}"/>
    <cellStyle name="Check Cell 3" xfId="22299" xr:uid="{00000000-0005-0000-0000-000001540000}"/>
    <cellStyle name="Check Cell 4" xfId="5468" xr:uid="{00000000-0005-0000-0000-000002540000}"/>
    <cellStyle name="Comma" xfId="4" builtinId="3"/>
    <cellStyle name="Comma 10" xfId="5469" xr:uid="{00000000-0005-0000-0000-000004540000}"/>
    <cellStyle name="Comma 10 2" xfId="5470" xr:uid="{00000000-0005-0000-0000-000005540000}"/>
    <cellStyle name="Comma 10 2 2" xfId="13118" xr:uid="{00000000-0005-0000-0000-000006540000}"/>
    <cellStyle name="Comma 10 2 3" xfId="22297" xr:uid="{00000000-0005-0000-0000-000007540000}"/>
    <cellStyle name="Comma 10 3" xfId="10515" xr:uid="{00000000-0005-0000-0000-000008540000}"/>
    <cellStyle name="Comma 10 4" xfId="22298" xr:uid="{00000000-0005-0000-0000-000009540000}"/>
    <cellStyle name="Comma 11" xfId="8786" xr:uid="{00000000-0005-0000-0000-00000A540000}"/>
    <cellStyle name="Comma 12" xfId="50" xr:uid="{00000000-0005-0000-0000-00000B540000}"/>
    <cellStyle name="Comma 2" xfId="5" xr:uid="{00000000-0005-0000-0000-00000C540000}"/>
    <cellStyle name="Comma 2 2" xfId="5472" xr:uid="{00000000-0005-0000-0000-00000D540000}"/>
    <cellStyle name="Comma 2 2 2" xfId="5473" xr:uid="{00000000-0005-0000-0000-00000E540000}"/>
    <cellStyle name="Comma 2 2 2 2" xfId="9743" xr:uid="{00000000-0005-0000-0000-00000F540000}"/>
    <cellStyle name="Comma 2 2 2 3" xfId="22294" xr:uid="{00000000-0005-0000-0000-000010540000}"/>
    <cellStyle name="Comma 2 2 3" xfId="5474" xr:uid="{00000000-0005-0000-0000-000011540000}"/>
    <cellStyle name="Comma 2 2 3 2" xfId="9744" xr:uid="{00000000-0005-0000-0000-000012540000}"/>
    <cellStyle name="Comma 2 2 3 3" xfId="22293" xr:uid="{00000000-0005-0000-0000-000013540000}"/>
    <cellStyle name="Comma 2 2 4" xfId="8711" xr:uid="{00000000-0005-0000-0000-000014540000}"/>
    <cellStyle name="Comma 2 2 5" xfId="22295" xr:uid="{00000000-0005-0000-0000-000015540000}"/>
    <cellStyle name="Comma 2 3" xfId="5475" xr:uid="{00000000-0005-0000-0000-000016540000}"/>
    <cellStyle name="Comma 2 3 2" xfId="5476" xr:uid="{00000000-0005-0000-0000-000017540000}"/>
    <cellStyle name="Comma 2 3 2 2" xfId="9745" xr:uid="{00000000-0005-0000-0000-000018540000}"/>
    <cellStyle name="Comma 2 3 2 3" xfId="22291" xr:uid="{00000000-0005-0000-0000-000019540000}"/>
    <cellStyle name="Comma 2 3 3" xfId="5477" xr:uid="{00000000-0005-0000-0000-00001A540000}"/>
    <cellStyle name="Comma 2 3 3 2" xfId="13119" xr:uid="{00000000-0005-0000-0000-00001B540000}"/>
    <cellStyle name="Comma 2 3 3 3" xfId="22290" xr:uid="{00000000-0005-0000-0000-00001C540000}"/>
    <cellStyle name="Comma 2 3 4" xfId="8677" xr:uid="{00000000-0005-0000-0000-00001D540000}"/>
    <cellStyle name="Comma 2 3 5" xfId="22292" xr:uid="{00000000-0005-0000-0000-00001E540000}"/>
    <cellStyle name="Comma 2 4" xfId="5478" xr:uid="{00000000-0005-0000-0000-00001F540000}"/>
    <cellStyle name="Comma 2 4 2" xfId="5479" xr:uid="{00000000-0005-0000-0000-000020540000}"/>
    <cellStyle name="Comma 2 4 2 2" xfId="13120" xr:uid="{00000000-0005-0000-0000-000021540000}"/>
    <cellStyle name="Comma 2 4 2 3" xfId="22288" xr:uid="{00000000-0005-0000-0000-000022540000}"/>
    <cellStyle name="Comma 2 4 3" xfId="5480" xr:uid="{00000000-0005-0000-0000-000023540000}"/>
    <cellStyle name="Comma 2 4 3 2" xfId="17369" xr:uid="{00000000-0005-0000-0000-000024540000}"/>
    <cellStyle name="Comma 2 4 3 3" xfId="22287" xr:uid="{00000000-0005-0000-0000-000025540000}"/>
    <cellStyle name="Comma 2 4 4" xfId="8726" xr:uid="{00000000-0005-0000-0000-000026540000}"/>
    <cellStyle name="Comma 2 4 5" xfId="22289" xr:uid="{00000000-0005-0000-0000-000027540000}"/>
    <cellStyle name="Comma 2 5" xfId="8658" xr:uid="{00000000-0005-0000-0000-000028540000}"/>
    <cellStyle name="Comma 2 6" xfId="22296" xr:uid="{00000000-0005-0000-0000-000029540000}"/>
    <cellStyle name="Comma 2 7" xfId="33031" xr:uid="{00000000-0005-0000-0000-00002A540000}"/>
    <cellStyle name="Comma 2 8" xfId="5471" xr:uid="{00000000-0005-0000-0000-00002B540000}"/>
    <cellStyle name="Comma 3" xfId="5481" xr:uid="{00000000-0005-0000-0000-00002C540000}"/>
    <cellStyle name="Comma 3 10" xfId="5482" xr:uid="{00000000-0005-0000-0000-00002D540000}"/>
    <cellStyle name="Comma 3 10 2" xfId="9747" xr:uid="{00000000-0005-0000-0000-00002E540000}"/>
    <cellStyle name="Comma 3 10 3" xfId="22285" xr:uid="{00000000-0005-0000-0000-00002F540000}"/>
    <cellStyle name="Comma 3 11" xfId="5483" xr:uid="{00000000-0005-0000-0000-000030540000}"/>
    <cellStyle name="Comma 3 11 2" xfId="5484" xr:uid="{00000000-0005-0000-0000-000031540000}"/>
    <cellStyle name="Comma 3 11 2 2" xfId="13121" xr:uid="{00000000-0005-0000-0000-000032540000}"/>
    <cellStyle name="Comma 3 11 2 3" xfId="22283" xr:uid="{00000000-0005-0000-0000-000033540000}"/>
    <cellStyle name="Comma 3 11 3" xfId="5485" xr:uid="{00000000-0005-0000-0000-000034540000}"/>
    <cellStyle name="Comma 3 11 3 2" xfId="17019" xr:uid="{00000000-0005-0000-0000-000035540000}"/>
    <cellStyle name="Comma 3 11 3 2 2" xfId="30426" xr:uid="{00000000-0005-0000-0000-000036540000}"/>
    <cellStyle name="Comma 3 11 3 3" xfId="22282" xr:uid="{00000000-0005-0000-0000-000037540000}"/>
    <cellStyle name="Comma 3 11 4" xfId="9748" xr:uid="{00000000-0005-0000-0000-000038540000}"/>
    <cellStyle name="Comma 3 11 5" xfId="22284" xr:uid="{00000000-0005-0000-0000-000039540000}"/>
    <cellStyle name="Comma 3 12" xfId="5486" xr:uid="{00000000-0005-0000-0000-00003A540000}"/>
    <cellStyle name="Comma 3 12 2" xfId="5487" xr:uid="{00000000-0005-0000-0000-00003B540000}"/>
    <cellStyle name="Comma 3 12 2 2" xfId="13123" xr:uid="{00000000-0005-0000-0000-00003C540000}"/>
    <cellStyle name="Comma 3 12 2 3" xfId="22280" xr:uid="{00000000-0005-0000-0000-00003D540000}"/>
    <cellStyle name="Comma 3 12 3" xfId="5488" xr:uid="{00000000-0005-0000-0000-00003E540000}"/>
    <cellStyle name="Comma 3 12 3 2" xfId="13122" xr:uid="{00000000-0005-0000-0000-00003F540000}"/>
    <cellStyle name="Comma 3 12 3 2 2" xfId="26834" xr:uid="{00000000-0005-0000-0000-000040540000}"/>
    <cellStyle name="Comma 3 12 3 3" xfId="22279" xr:uid="{00000000-0005-0000-0000-000041540000}"/>
    <cellStyle name="Comma 3 12 4" xfId="5489" xr:uid="{00000000-0005-0000-0000-000042540000}"/>
    <cellStyle name="Comma 3 12 4 2" xfId="17108" xr:uid="{00000000-0005-0000-0000-000043540000}"/>
    <cellStyle name="Comma 3 12 4 2 2" xfId="30467" xr:uid="{00000000-0005-0000-0000-000044540000}"/>
    <cellStyle name="Comma 3 12 4 3" xfId="22278" xr:uid="{00000000-0005-0000-0000-000045540000}"/>
    <cellStyle name="Comma 3 12 5" xfId="9749" xr:uid="{00000000-0005-0000-0000-000046540000}"/>
    <cellStyle name="Comma 3 12 6" xfId="22281" xr:uid="{00000000-0005-0000-0000-000047540000}"/>
    <cellStyle name="Comma 3 13" xfId="5490" xr:uid="{00000000-0005-0000-0000-000048540000}"/>
    <cellStyle name="Comma 3 13 2" xfId="5491" xr:uid="{00000000-0005-0000-0000-000049540000}"/>
    <cellStyle name="Comma 3 13 2 2" xfId="17197" xr:uid="{00000000-0005-0000-0000-00004A540000}"/>
    <cellStyle name="Comma 3 13 2 2 2" xfId="30556" xr:uid="{00000000-0005-0000-0000-00004B540000}"/>
    <cellStyle name="Comma 3 13 2 3" xfId="22276" xr:uid="{00000000-0005-0000-0000-00004C540000}"/>
    <cellStyle name="Comma 3 13 3" xfId="9750" xr:uid="{00000000-0005-0000-0000-00004D540000}"/>
    <cellStyle name="Comma 3 13 4" xfId="22277" xr:uid="{00000000-0005-0000-0000-00004E540000}"/>
    <cellStyle name="Comma 3 14" xfId="5492" xr:uid="{00000000-0005-0000-0000-00004F540000}"/>
    <cellStyle name="Comma 3 14 2" xfId="5493" xr:uid="{00000000-0005-0000-0000-000050540000}"/>
    <cellStyle name="Comma 3 14 2 2" xfId="5494" xr:uid="{00000000-0005-0000-0000-000051540000}"/>
    <cellStyle name="Comma 3 14 2 2 2" xfId="11316" xr:uid="{00000000-0005-0000-0000-000052540000}"/>
    <cellStyle name="Comma 3 14 2 2 3" xfId="22273" xr:uid="{00000000-0005-0000-0000-000053540000}"/>
    <cellStyle name="Comma 3 14 2 3" xfId="9752" xr:uid="{00000000-0005-0000-0000-000054540000}"/>
    <cellStyle name="Comma 3 14 2 4" xfId="22274" xr:uid="{00000000-0005-0000-0000-000055540000}"/>
    <cellStyle name="Comma 3 14 3" xfId="5495" xr:uid="{00000000-0005-0000-0000-000056540000}"/>
    <cellStyle name="Comma 3 14 3 2" xfId="11315" xr:uid="{00000000-0005-0000-0000-000057540000}"/>
    <cellStyle name="Comma 3 14 3 3" xfId="22272" xr:uid="{00000000-0005-0000-0000-000058540000}"/>
    <cellStyle name="Comma 3 14 4" xfId="5496" xr:uid="{00000000-0005-0000-0000-000059540000}"/>
    <cellStyle name="Comma 3 14 4 2" xfId="17286" xr:uid="{00000000-0005-0000-0000-00005A540000}"/>
    <cellStyle name="Comma 3 14 4 2 2" xfId="30645" xr:uid="{00000000-0005-0000-0000-00005B540000}"/>
    <cellStyle name="Comma 3 14 4 3" xfId="22271" xr:uid="{00000000-0005-0000-0000-00005C540000}"/>
    <cellStyle name="Comma 3 14 5" xfId="9751" xr:uid="{00000000-0005-0000-0000-00005D540000}"/>
    <cellStyle name="Comma 3 14 6" xfId="22275" xr:uid="{00000000-0005-0000-0000-00005E540000}"/>
    <cellStyle name="Comma 3 15" xfId="5497" xr:uid="{00000000-0005-0000-0000-00005F540000}"/>
    <cellStyle name="Comma 3 15 2" xfId="5498" xr:uid="{00000000-0005-0000-0000-000060540000}"/>
    <cellStyle name="Comma 3 15 2 2" xfId="11317" xr:uid="{00000000-0005-0000-0000-000061540000}"/>
    <cellStyle name="Comma 3 15 2 3" xfId="22269" xr:uid="{00000000-0005-0000-0000-000062540000}"/>
    <cellStyle name="Comma 3 15 3" xfId="5499" xr:uid="{00000000-0005-0000-0000-000063540000}"/>
    <cellStyle name="Comma 3 15 3 2" xfId="16438" xr:uid="{00000000-0005-0000-0000-000064540000}"/>
    <cellStyle name="Comma 3 15 3 2 2" xfId="29845" xr:uid="{00000000-0005-0000-0000-000065540000}"/>
    <cellStyle name="Comma 3 15 3 3" xfId="22268" xr:uid="{00000000-0005-0000-0000-000066540000}"/>
    <cellStyle name="Comma 3 15 4" xfId="9753" xr:uid="{00000000-0005-0000-0000-000067540000}"/>
    <cellStyle name="Comma 3 15 5" xfId="22270" xr:uid="{00000000-0005-0000-0000-000068540000}"/>
    <cellStyle name="Comma 3 16" xfId="5500" xr:uid="{00000000-0005-0000-0000-000069540000}"/>
    <cellStyle name="Comma 3 16 2" xfId="5501" xr:uid="{00000000-0005-0000-0000-00006A540000}"/>
    <cellStyle name="Comma 3 16 2 2" xfId="11318" xr:uid="{00000000-0005-0000-0000-00006B540000}"/>
    <cellStyle name="Comma 3 16 2 3" xfId="22266" xr:uid="{00000000-0005-0000-0000-00006C540000}"/>
    <cellStyle name="Comma 3 16 3" xfId="9754" xr:uid="{00000000-0005-0000-0000-00006D540000}"/>
    <cellStyle name="Comma 3 16 4" xfId="22267" xr:uid="{00000000-0005-0000-0000-00006E540000}"/>
    <cellStyle name="Comma 3 17" xfId="5502" xr:uid="{00000000-0005-0000-0000-00006F540000}"/>
    <cellStyle name="Comma 3 17 2" xfId="5503" xr:uid="{00000000-0005-0000-0000-000070540000}"/>
    <cellStyle name="Comma 3 17 2 2" xfId="11319" xr:uid="{00000000-0005-0000-0000-000071540000}"/>
    <cellStyle name="Comma 3 17 2 3" xfId="22264" xr:uid="{00000000-0005-0000-0000-000072540000}"/>
    <cellStyle name="Comma 3 17 3" xfId="9755" xr:uid="{00000000-0005-0000-0000-000073540000}"/>
    <cellStyle name="Comma 3 17 4" xfId="22265" xr:uid="{00000000-0005-0000-0000-000074540000}"/>
    <cellStyle name="Comma 3 18" xfId="5504" xr:uid="{00000000-0005-0000-0000-000075540000}"/>
    <cellStyle name="Comma 3 18 2" xfId="5505" xr:uid="{00000000-0005-0000-0000-000076540000}"/>
    <cellStyle name="Comma 3 18 2 2" xfId="11320" xr:uid="{00000000-0005-0000-0000-000077540000}"/>
    <cellStyle name="Comma 3 18 2 3" xfId="22262" xr:uid="{00000000-0005-0000-0000-000078540000}"/>
    <cellStyle name="Comma 3 18 3" xfId="9756" xr:uid="{00000000-0005-0000-0000-000079540000}"/>
    <cellStyle name="Comma 3 18 4" xfId="22263" xr:uid="{00000000-0005-0000-0000-00007A540000}"/>
    <cellStyle name="Comma 3 19" xfId="5506" xr:uid="{00000000-0005-0000-0000-00007B540000}"/>
    <cellStyle name="Comma 3 19 2" xfId="5507" xr:uid="{00000000-0005-0000-0000-00007C540000}"/>
    <cellStyle name="Comma 3 19 2 2" xfId="11321" xr:uid="{00000000-0005-0000-0000-00007D540000}"/>
    <cellStyle name="Comma 3 19 2 3" xfId="22260" xr:uid="{00000000-0005-0000-0000-00007E540000}"/>
    <cellStyle name="Comma 3 19 3" xfId="9757" xr:uid="{00000000-0005-0000-0000-00007F540000}"/>
    <cellStyle name="Comma 3 19 4" xfId="22261" xr:uid="{00000000-0005-0000-0000-000080540000}"/>
    <cellStyle name="Comma 3 2" xfId="5508" xr:uid="{00000000-0005-0000-0000-000081540000}"/>
    <cellStyle name="Comma 3 2 10" xfId="5509" xr:uid="{00000000-0005-0000-0000-000082540000}"/>
    <cellStyle name="Comma 3 2 10 2" xfId="11322" xr:uid="{00000000-0005-0000-0000-000083540000}"/>
    <cellStyle name="Comma 3 2 10 3" xfId="22258" xr:uid="{00000000-0005-0000-0000-000084540000}"/>
    <cellStyle name="Comma 3 2 11" xfId="5510" xr:uid="{00000000-0005-0000-0000-000085540000}"/>
    <cellStyle name="Comma 3 2 11 2" xfId="5511" xr:uid="{00000000-0005-0000-0000-000086540000}"/>
    <cellStyle name="Comma 3 2 11 2 2" xfId="13124" xr:uid="{00000000-0005-0000-0000-000087540000}"/>
    <cellStyle name="Comma 3 2 11 2 2 2" xfId="26836" xr:uid="{00000000-0005-0000-0000-000088540000}"/>
    <cellStyle name="Comma 3 2 11 2 3" xfId="22256" xr:uid="{00000000-0005-0000-0000-000089540000}"/>
    <cellStyle name="Comma 3 2 11 3" xfId="5512" xr:uid="{00000000-0005-0000-0000-00008A540000}"/>
    <cellStyle name="Comma 3 2 11 3 2" xfId="15593" xr:uid="{00000000-0005-0000-0000-00008B540000}"/>
    <cellStyle name="Comma 3 2 11 3 3" xfId="22255" xr:uid="{00000000-0005-0000-0000-00008C540000}"/>
    <cellStyle name="Comma 3 2 11 4" xfId="11735" xr:uid="{00000000-0005-0000-0000-00008D540000}"/>
    <cellStyle name="Comma 3 2 11 5" xfId="22257" xr:uid="{00000000-0005-0000-0000-00008E540000}"/>
    <cellStyle name="Comma 3 2 12" xfId="5513" xr:uid="{00000000-0005-0000-0000-00008F540000}"/>
    <cellStyle name="Comma 3 2 12 2" xfId="11853" xr:uid="{00000000-0005-0000-0000-000090540000}"/>
    <cellStyle name="Comma 3 2 12 2 2" xfId="25568" xr:uid="{00000000-0005-0000-0000-000091540000}"/>
    <cellStyle name="Comma 3 2 12 3" xfId="22254" xr:uid="{00000000-0005-0000-0000-000092540000}"/>
    <cellStyle name="Comma 3 2 13" xfId="5514" xr:uid="{00000000-0005-0000-0000-000093540000}"/>
    <cellStyle name="Comma 3 2 13 2" xfId="13447" xr:uid="{00000000-0005-0000-0000-000094540000}"/>
    <cellStyle name="Comma 3 2 13 2 2" xfId="26996" xr:uid="{00000000-0005-0000-0000-000095540000}"/>
    <cellStyle name="Comma 3 2 13 3" xfId="22253" xr:uid="{00000000-0005-0000-0000-000096540000}"/>
    <cellStyle name="Comma 3 2 14" xfId="5515" xr:uid="{00000000-0005-0000-0000-000097540000}"/>
    <cellStyle name="Comma 3 2 14 2" xfId="14028" xr:uid="{00000000-0005-0000-0000-000098540000}"/>
    <cellStyle name="Comma 3 2 14 2 2" xfId="27577" xr:uid="{00000000-0005-0000-0000-000099540000}"/>
    <cellStyle name="Comma 3 2 14 3" xfId="22252" xr:uid="{00000000-0005-0000-0000-00009A540000}"/>
    <cellStyle name="Comma 3 2 15" xfId="5516" xr:uid="{00000000-0005-0000-0000-00009B540000}"/>
    <cellStyle name="Comma 3 2 15 2" xfId="15914" xr:uid="{00000000-0005-0000-0000-00009C540000}"/>
    <cellStyle name="Comma 3 2 15 2 2" xfId="29321" xr:uid="{00000000-0005-0000-0000-00009D540000}"/>
    <cellStyle name="Comma 3 2 15 3" xfId="22251" xr:uid="{00000000-0005-0000-0000-00009E540000}"/>
    <cellStyle name="Comma 3 2 16" xfId="5517" xr:uid="{00000000-0005-0000-0000-00009F540000}"/>
    <cellStyle name="Comma 3 2 16 2" xfId="9758" xr:uid="{00000000-0005-0000-0000-0000A0540000}"/>
    <cellStyle name="Comma 3 2 16 3" xfId="22250" xr:uid="{00000000-0005-0000-0000-0000A1540000}"/>
    <cellStyle name="Comma 3 2 17" xfId="8712" xr:uid="{00000000-0005-0000-0000-0000A2540000}"/>
    <cellStyle name="Comma 3 2 18" xfId="22259" xr:uid="{00000000-0005-0000-0000-0000A3540000}"/>
    <cellStyle name="Comma 3 2 19" xfId="33088" xr:uid="{00000000-0005-0000-0000-0000A4540000}"/>
    <cellStyle name="Comma 3 2 2" xfId="5518" xr:uid="{00000000-0005-0000-0000-0000A5540000}"/>
    <cellStyle name="Comma 3 2 2 10" xfId="9759" xr:uid="{00000000-0005-0000-0000-0000A6540000}"/>
    <cellStyle name="Comma 3 2 2 11" xfId="22249" xr:uid="{00000000-0005-0000-0000-0000A7540000}"/>
    <cellStyle name="Comma 3 2 2 12" xfId="32938" xr:uid="{00000000-0005-0000-0000-0000A8540000}"/>
    <cellStyle name="Comma 3 2 2 2" xfId="5519" xr:uid="{00000000-0005-0000-0000-0000A9540000}"/>
    <cellStyle name="Comma 3 2 2 2 2" xfId="5520" xr:uid="{00000000-0005-0000-0000-0000AA540000}"/>
    <cellStyle name="Comma 3 2 2 2 2 2" xfId="5521" xr:uid="{00000000-0005-0000-0000-0000AB540000}"/>
    <cellStyle name="Comma 3 2 2 2 2 2 2" xfId="5522" xr:uid="{00000000-0005-0000-0000-0000AC540000}"/>
    <cellStyle name="Comma 3 2 2 2 2 2 2 2" xfId="11323" xr:uid="{00000000-0005-0000-0000-0000AD540000}"/>
    <cellStyle name="Comma 3 2 2 2 2 2 2 3" xfId="22245" xr:uid="{00000000-0005-0000-0000-0000AE540000}"/>
    <cellStyle name="Comma 3 2 2 2 2 2 3" xfId="5523" xr:uid="{00000000-0005-0000-0000-0000AF540000}"/>
    <cellStyle name="Comma 3 2 2 2 2 2 3 2" xfId="16973" xr:uid="{00000000-0005-0000-0000-0000B0540000}"/>
    <cellStyle name="Comma 3 2 2 2 2 2 3 2 2" xfId="30380" xr:uid="{00000000-0005-0000-0000-0000B1540000}"/>
    <cellStyle name="Comma 3 2 2 2 2 2 3 3" xfId="22244" xr:uid="{00000000-0005-0000-0000-0000B2540000}"/>
    <cellStyle name="Comma 3 2 2 2 2 2 4" xfId="9762" xr:uid="{00000000-0005-0000-0000-0000B3540000}"/>
    <cellStyle name="Comma 3 2 2 2 2 2 5" xfId="22246" xr:uid="{00000000-0005-0000-0000-0000B4540000}"/>
    <cellStyle name="Comma 3 2 2 2 2 3" xfId="5524" xr:uid="{00000000-0005-0000-0000-0000B5540000}"/>
    <cellStyle name="Comma 3 2 2 2 2 3 2" xfId="5525" xr:uid="{00000000-0005-0000-0000-0000B6540000}"/>
    <cellStyle name="Comma 3 2 2 2 2 3 2 2" xfId="13125" xr:uid="{00000000-0005-0000-0000-0000B7540000}"/>
    <cellStyle name="Comma 3 2 2 2 2 3 2 3" xfId="22242" xr:uid="{00000000-0005-0000-0000-0000B8540000}"/>
    <cellStyle name="Comma 3 2 2 2 2 3 3" xfId="12361" xr:uid="{00000000-0005-0000-0000-0000B9540000}"/>
    <cellStyle name="Comma 3 2 2 2 2 3 3 2" xfId="26073" xr:uid="{00000000-0005-0000-0000-0000BA540000}"/>
    <cellStyle name="Comma 3 2 2 2 2 3 4" xfId="22243" xr:uid="{00000000-0005-0000-0000-0000BB540000}"/>
    <cellStyle name="Comma 3 2 2 2 2 4" xfId="5526" xr:uid="{00000000-0005-0000-0000-0000BC540000}"/>
    <cellStyle name="Comma 3 2 2 2 2 4 2" xfId="5527" xr:uid="{00000000-0005-0000-0000-0000BD540000}"/>
    <cellStyle name="Comma 3 2 2 2 2 4 2 2" xfId="15594" xr:uid="{00000000-0005-0000-0000-0000BE540000}"/>
    <cellStyle name="Comma 3 2 2 2 2 4 2 3" xfId="22240" xr:uid="{00000000-0005-0000-0000-0000BF540000}"/>
    <cellStyle name="Comma 3 2 2 2 2 4 3" xfId="13925" xr:uid="{00000000-0005-0000-0000-0000C0540000}"/>
    <cellStyle name="Comma 3 2 2 2 2 4 3 2" xfId="27474" xr:uid="{00000000-0005-0000-0000-0000C1540000}"/>
    <cellStyle name="Comma 3 2 2 2 2 4 4" xfId="22241" xr:uid="{00000000-0005-0000-0000-0000C2540000}"/>
    <cellStyle name="Comma 3 2 2 2 2 5" xfId="5528" xr:uid="{00000000-0005-0000-0000-0000C3540000}"/>
    <cellStyle name="Comma 3 2 2 2 2 5 2" xfId="14506" xr:uid="{00000000-0005-0000-0000-0000C4540000}"/>
    <cellStyle name="Comma 3 2 2 2 2 5 2 2" xfId="28055" xr:uid="{00000000-0005-0000-0000-0000C5540000}"/>
    <cellStyle name="Comma 3 2 2 2 2 5 3" xfId="22239" xr:uid="{00000000-0005-0000-0000-0000C6540000}"/>
    <cellStyle name="Comma 3 2 2 2 2 6" xfId="5529" xr:uid="{00000000-0005-0000-0000-0000C7540000}"/>
    <cellStyle name="Comma 3 2 2 2 2 6 2" xfId="16392" xr:uid="{00000000-0005-0000-0000-0000C8540000}"/>
    <cellStyle name="Comma 3 2 2 2 2 6 2 2" xfId="29799" xr:uid="{00000000-0005-0000-0000-0000C9540000}"/>
    <cellStyle name="Comma 3 2 2 2 2 6 3" xfId="22238" xr:uid="{00000000-0005-0000-0000-0000CA540000}"/>
    <cellStyle name="Comma 3 2 2 2 2 7" xfId="9761" xr:uid="{00000000-0005-0000-0000-0000CB540000}"/>
    <cellStyle name="Comma 3 2 2 2 2 8" xfId="22247" xr:uid="{00000000-0005-0000-0000-0000CC540000}"/>
    <cellStyle name="Comma 3 2 2 2 3" xfId="5530" xr:uid="{00000000-0005-0000-0000-0000CD540000}"/>
    <cellStyle name="Comma 3 2 2 2 3 2" xfId="5531" xr:uid="{00000000-0005-0000-0000-0000CE540000}"/>
    <cellStyle name="Comma 3 2 2 2 3 2 2" xfId="11324" xr:uid="{00000000-0005-0000-0000-0000CF540000}"/>
    <cellStyle name="Comma 3 2 2 2 3 2 3" xfId="22236" xr:uid="{00000000-0005-0000-0000-0000D0540000}"/>
    <cellStyle name="Comma 3 2 2 2 3 3" xfId="5532" xr:uid="{00000000-0005-0000-0000-0000D1540000}"/>
    <cellStyle name="Comma 3 2 2 2 3 3 2" xfId="16684" xr:uid="{00000000-0005-0000-0000-0000D2540000}"/>
    <cellStyle name="Comma 3 2 2 2 3 3 2 2" xfId="30091" xr:uid="{00000000-0005-0000-0000-0000D3540000}"/>
    <cellStyle name="Comma 3 2 2 2 3 3 3" xfId="22235" xr:uid="{00000000-0005-0000-0000-0000D4540000}"/>
    <cellStyle name="Comma 3 2 2 2 3 4" xfId="9763" xr:uid="{00000000-0005-0000-0000-0000D5540000}"/>
    <cellStyle name="Comma 3 2 2 2 3 5" xfId="22237" xr:uid="{00000000-0005-0000-0000-0000D6540000}"/>
    <cellStyle name="Comma 3 2 2 2 4" xfId="5533" xr:uid="{00000000-0005-0000-0000-0000D7540000}"/>
    <cellStyle name="Comma 3 2 2 2 4 2" xfId="5534" xr:uid="{00000000-0005-0000-0000-0000D8540000}"/>
    <cellStyle name="Comma 3 2 2 2 4 2 2" xfId="13126" xr:uid="{00000000-0005-0000-0000-0000D9540000}"/>
    <cellStyle name="Comma 3 2 2 2 4 2 3" xfId="22233" xr:uid="{00000000-0005-0000-0000-0000DA540000}"/>
    <cellStyle name="Comma 3 2 2 2 4 3" xfId="12061" xr:uid="{00000000-0005-0000-0000-0000DB540000}"/>
    <cellStyle name="Comma 3 2 2 2 4 3 2" xfId="25776" xr:uid="{00000000-0005-0000-0000-0000DC540000}"/>
    <cellStyle name="Comma 3 2 2 2 4 4" xfId="22234" xr:uid="{00000000-0005-0000-0000-0000DD540000}"/>
    <cellStyle name="Comma 3 2 2 2 5" xfId="5535" xr:uid="{00000000-0005-0000-0000-0000DE540000}"/>
    <cellStyle name="Comma 3 2 2 2 5 2" xfId="5536" xr:uid="{00000000-0005-0000-0000-0000DF540000}"/>
    <cellStyle name="Comma 3 2 2 2 5 2 2" xfId="15595" xr:uid="{00000000-0005-0000-0000-0000E0540000}"/>
    <cellStyle name="Comma 3 2 2 2 5 2 3" xfId="22231" xr:uid="{00000000-0005-0000-0000-0000E1540000}"/>
    <cellStyle name="Comma 3 2 2 2 5 3" xfId="13636" xr:uid="{00000000-0005-0000-0000-0000E2540000}"/>
    <cellStyle name="Comma 3 2 2 2 5 3 2" xfId="27185" xr:uid="{00000000-0005-0000-0000-0000E3540000}"/>
    <cellStyle name="Comma 3 2 2 2 5 4" xfId="22232" xr:uid="{00000000-0005-0000-0000-0000E4540000}"/>
    <cellStyle name="Comma 3 2 2 2 6" xfId="5537" xr:uid="{00000000-0005-0000-0000-0000E5540000}"/>
    <cellStyle name="Comma 3 2 2 2 6 2" xfId="14217" xr:uid="{00000000-0005-0000-0000-0000E6540000}"/>
    <cellStyle name="Comma 3 2 2 2 6 2 2" xfId="27766" xr:uid="{00000000-0005-0000-0000-0000E7540000}"/>
    <cellStyle name="Comma 3 2 2 2 6 3" xfId="22230" xr:uid="{00000000-0005-0000-0000-0000E8540000}"/>
    <cellStyle name="Comma 3 2 2 2 7" xfId="5538" xr:uid="{00000000-0005-0000-0000-0000E9540000}"/>
    <cellStyle name="Comma 3 2 2 2 7 2" xfId="16103" xr:uid="{00000000-0005-0000-0000-0000EA540000}"/>
    <cellStyle name="Comma 3 2 2 2 7 2 2" xfId="29510" xr:uid="{00000000-0005-0000-0000-0000EB540000}"/>
    <cellStyle name="Comma 3 2 2 2 7 3" xfId="22229" xr:uid="{00000000-0005-0000-0000-0000EC540000}"/>
    <cellStyle name="Comma 3 2 2 2 8" xfId="9760" xr:uid="{00000000-0005-0000-0000-0000ED540000}"/>
    <cellStyle name="Comma 3 2 2 2 9" xfId="22248" xr:uid="{00000000-0005-0000-0000-0000EE540000}"/>
    <cellStyle name="Comma 3 2 2 3" xfId="5539" xr:uid="{00000000-0005-0000-0000-0000EF540000}"/>
    <cellStyle name="Comma 3 2 2 3 2" xfId="5540" xr:uid="{00000000-0005-0000-0000-0000F0540000}"/>
    <cellStyle name="Comma 3 2 2 3 2 2" xfId="5541" xr:uid="{00000000-0005-0000-0000-0000F1540000}"/>
    <cellStyle name="Comma 3 2 2 3 2 2 2" xfId="11325" xr:uid="{00000000-0005-0000-0000-0000F2540000}"/>
    <cellStyle name="Comma 3 2 2 3 2 2 3" xfId="22226" xr:uid="{00000000-0005-0000-0000-0000F3540000}"/>
    <cellStyle name="Comma 3 2 2 3 2 3" xfId="5542" xr:uid="{00000000-0005-0000-0000-0000F4540000}"/>
    <cellStyle name="Comma 3 2 2 3 2 3 2" xfId="16830" xr:uid="{00000000-0005-0000-0000-0000F5540000}"/>
    <cellStyle name="Comma 3 2 2 3 2 3 2 2" xfId="30237" xr:uid="{00000000-0005-0000-0000-0000F6540000}"/>
    <cellStyle name="Comma 3 2 2 3 2 3 3" xfId="22225" xr:uid="{00000000-0005-0000-0000-0000F7540000}"/>
    <cellStyle name="Comma 3 2 2 3 2 4" xfId="9765" xr:uid="{00000000-0005-0000-0000-0000F8540000}"/>
    <cellStyle name="Comma 3 2 2 3 2 5" xfId="22227" xr:uid="{00000000-0005-0000-0000-0000F9540000}"/>
    <cellStyle name="Comma 3 2 2 3 3" xfId="5543" xr:uid="{00000000-0005-0000-0000-0000FA540000}"/>
    <cellStyle name="Comma 3 2 2 3 3 2" xfId="5544" xr:uid="{00000000-0005-0000-0000-0000FB540000}"/>
    <cellStyle name="Comma 3 2 2 3 3 2 2" xfId="13127" xr:uid="{00000000-0005-0000-0000-0000FC540000}"/>
    <cellStyle name="Comma 3 2 2 3 3 2 3" xfId="22223" xr:uid="{00000000-0005-0000-0000-0000FD540000}"/>
    <cellStyle name="Comma 3 2 2 3 3 3" xfId="12218" xr:uid="{00000000-0005-0000-0000-0000FE540000}"/>
    <cellStyle name="Comma 3 2 2 3 3 3 2" xfId="25930" xr:uid="{00000000-0005-0000-0000-0000FF540000}"/>
    <cellStyle name="Comma 3 2 2 3 3 4" xfId="22224" xr:uid="{00000000-0005-0000-0000-000000550000}"/>
    <cellStyle name="Comma 3 2 2 3 4" xfId="5545" xr:uid="{00000000-0005-0000-0000-000001550000}"/>
    <cellStyle name="Comma 3 2 2 3 4 2" xfId="5546" xr:uid="{00000000-0005-0000-0000-000002550000}"/>
    <cellStyle name="Comma 3 2 2 3 4 2 2" xfId="15596" xr:uid="{00000000-0005-0000-0000-000003550000}"/>
    <cellStyle name="Comma 3 2 2 3 4 2 3" xfId="22221" xr:uid="{00000000-0005-0000-0000-000004550000}"/>
    <cellStyle name="Comma 3 2 2 3 4 3" xfId="13782" xr:uid="{00000000-0005-0000-0000-000005550000}"/>
    <cellStyle name="Comma 3 2 2 3 4 3 2" xfId="27331" xr:uid="{00000000-0005-0000-0000-000006550000}"/>
    <cellStyle name="Comma 3 2 2 3 4 4" xfId="22222" xr:uid="{00000000-0005-0000-0000-000007550000}"/>
    <cellStyle name="Comma 3 2 2 3 5" xfId="5547" xr:uid="{00000000-0005-0000-0000-000008550000}"/>
    <cellStyle name="Comma 3 2 2 3 5 2" xfId="14363" xr:uid="{00000000-0005-0000-0000-000009550000}"/>
    <cellStyle name="Comma 3 2 2 3 5 2 2" xfId="27912" xr:uid="{00000000-0005-0000-0000-00000A550000}"/>
    <cellStyle name="Comma 3 2 2 3 5 3" xfId="22220" xr:uid="{00000000-0005-0000-0000-00000B550000}"/>
    <cellStyle name="Comma 3 2 2 3 6" xfId="5548" xr:uid="{00000000-0005-0000-0000-00000C550000}"/>
    <cellStyle name="Comma 3 2 2 3 6 2" xfId="16249" xr:uid="{00000000-0005-0000-0000-00000D550000}"/>
    <cellStyle name="Comma 3 2 2 3 6 2 2" xfId="29656" xr:uid="{00000000-0005-0000-0000-00000E550000}"/>
    <cellStyle name="Comma 3 2 2 3 6 3" xfId="22219" xr:uid="{00000000-0005-0000-0000-00000F550000}"/>
    <cellStyle name="Comma 3 2 2 3 7" xfId="9764" xr:uid="{00000000-0005-0000-0000-000010550000}"/>
    <cellStyle name="Comma 3 2 2 3 8" xfId="22228" xr:uid="{00000000-0005-0000-0000-000011550000}"/>
    <cellStyle name="Comma 3 2 2 4" xfId="5549" xr:uid="{00000000-0005-0000-0000-000012550000}"/>
    <cellStyle name="Comma 3 2 2 4 2" xfId="5550" xr:uid="{00000000-0005-0000-0000-000013550000}"/>
    <cellStyle name="Comma 3 2 2 4 2 2" xfId="17177" xr:uid="{00000000-0005-0000-0000-000014550000}"/>
    <cellStyle name="Comma 3 2 2 4 2 2 2" xfId="30536" xr:uid="{00000000-0005-0000-0000-000015550000}"/>
    <cellStyle name="Comma 3 2 2 4 2 3" xfId="22217" xr:uid="{00000000-0005-0000-0000-000016550000}"/>
    <cellStyle name="Comma 3 2 2 4 3" xfId="9766" xr:uid="{00000000-0005-0000-0000-000017550000}"/>
    <cellStyle name="Comma 3 2 2 4 4" xfId="22218" xr:uid="{00000000-0005-0000-0000-000018550000}"/>
    <cellStyle name="Comma 3 2 2 5" xfId="5551" xr:uid="{00000000-0005-0000-0000-000019550000}"/>
    <cellStyle name="Comma 3 2 2 5 2" xfId="5552" xr:uid="{00000000-0005-0000-0000-00001A550000}"/>
    <cellStyle name="Comma 3 2 2 5 2 2" xfId="11326" xr:uid="{00000000-0005-0000-0000-00001B550000}"/>
    <cellStyle name="Comma 3 2 2 5 2 3" xfId="22215" xr:uid="{00000000-0005-0000-0000-00001C550000}"/>
    <cellStyle name="Comma 3 2 2 5 3" xfId="5553" xr:uid="{00000000-0005-0000-0000-00001D550000}"/>
    <cellStyle name="Comma 3 2 2 5 3 2" xfId="17266" xr:uid="{00000000-0005-0000-0000-00001E550000}"/>
    <cellStyle name="Comma 3 2 2 5 3 2 2" xfId="30625" xr:uid="{00000000-0005-0000-0000-00001F550000}"/>
    <cellStyle name="Comma 3 2 2 5 3 3" xfId="22214" xr:uid="{00000000-0005-0000-0000-000020550000}"/>
    <cellStyle name="Comma 3 2 2 5 4" xfId="9767" xr:uid="{00000000-0005-0000-0000-000021550000}"/>
    <cellStyle name="Comma 3 2 2 5 5" xfId="22216" xr:uid="{00000000-0005-0000-0000-000022550000}"/>
    <cellStyle name="Comma 3 2 2 6" xfId="5554" xr:uid="{00000000-0005-0000-0000-000023550000}"/>
    <cellStyle name="Comma 3 2 2 6 2" xfId="5555" xr:uid="{00000000-0005-0000-0000-000024550000}"/>
    <cellStyle name="Comma 3 2 2 6 2 2" xfId="13128" xr:uid="{00000000-0005-0000-0000-000025550000}"/>
    <cellStyle name="Comma 3 2 2 6 2 3" xfId="22212" xr:uid="{00000000-0005-0000-0000-000026550000}"/>
    <cellStyle name="Comma 3 2 2 6 3" xfId="5556" xr:uid="{00000000-0005-0000-0000-000027550000}"/>
    <cellStyle name="Comma 3 2 2 6 3 2" xfId="16541" xr:uid="{00000000-0005-0000-0000-000028550000}"/>
    <cellStyle name="Comma 3 2 2 6 3 2 2" xfId="29948" xr:uid="{00000000-0005-0000-0000-000029550000}"/>
    <cellStyle name="Comma 3 2 2 6 3 3" xfId="22211" xr:uid="{00000000-0005-0000-0000-00002A550000}"/>
    <cellStyle name="Comma 3 2 2 6 4" xfId="11916" xr:uid="{00000000-0005-0000-0000-00002B550000}"/>
    <cellStyle name="Comma 3 2 2 6 4 2" xfId="25631" xr:uid="{00000000-0005-0000-0000-00002C550000}"/>
    <cellStyle name="Comma 3 2 2 6 5" xfId="22213" xr:uid="{00000000-0005-0000-0000-00002D550000}"/>
    <cellStyle name="Comma 3 2 2 7" xfId="5557" xr:uid="{00000000-0005-0000-0000-00002E550000}"/>
    <cellStyle name="Comma 3 2 2 7 2" xfId="5558" xr:uid="{00000000-0005-0000-0000-00002F550000}"/>
    <cellStyle name="Comma 3 2 2 7 2 2" xfId="15597" xr:uid="{00000000-0005-0000-0000-000030550000}"/>
    <cellStyle name="Comma 3 2 2 7 2 3" xfId="22209" xr:uid="{00000000-0005-0000-0000-000031550000}"/>
    <cellStyle name="Comma 3 2 2 7 3" xfId="13493" xr:uid="{00000000-0005-0000-0000-000032550000}"/>
    <cellStyle name="Comma 3 2 2 7 3 2" xfId="27042" xr:uid="{00000000-0005-0000-0000-000033550000}"/>
    <cellStyle name="Comma 3 2 2 7 4" xfId="22210" xr:uid="{00000000-0005-0000-0000-000034550000}"/>
    <cellStyle name="Comma 3 2 2 8" xfId="5559" xr:uid="{00000000-0005-0000-0000-000035550000}"/>
    <cellStyle name="Comma 3 2 2 8 2" xfId="14074" xr:uid="{00000000-0005-0000-0000-000036550000}"/>
    <cellStyle name="Comma 3 2 2 8 2 2" xfId="27623" xr:uid="{00000000-0005-0000-0000-000037550000}"/>
    <cellStyle name="Comma 3 2 2 8 3" xfId="22208" xr:uid="{00000000-0005-0000-0000-000038550000}"/>
    <cellStyle name="Comma 3 2 2 9" xfId="5560" xr:uid="{00000000-0005-0000-0000-000039550000}"/>
    <cellStyle name="Comma 3 2 2 9 2" xfId="15960" xr:uid="{00000000-0005-0000-0000-00003A550000}"/>
    <cellStyle name="Comma 3 2 2 9 2 2" xfId="29367" xr:uid="{00000000-0005-0000-0000-00003B550000}"/>
    <cellStyle name="Comma 3 2 2 9 3" xfId="22207" xr:uid="{00000000-0005-0000-0000-00003C550000}"/>
    <cellStyle name="Comma 3 2 3" xfId="5561" xr:uid="{00000000-0005-0000-0000-00003D550000}"/>
    <cellStyle name="Comma 3 2 3 2" xfId="5562" xr:uid="{00000000-0005-0000-0000-00003E550000}"/>
    <cellStyle name="Comma 3 2 3 2 2" xfId="5563" xr:uid="{00000000-0005-0000-0000-00003F550000}"/>
    <cellStyle name="Comma 3 2 3 2 2 2" xfId="5564" xr:uid="{00000000-0005-0000-0000-000040550000}"/>
    <cellStyle name="Comma 3 2 3 2 2 2 2" xfId="11327" xr:uid="{00000000-0005-0000-0000-000041550000}"/>
    <cellStyle name="Comma 3 2 3 2 2 2 3" xfId="22203" xr:uid="{00000000-0005-0000-0000-000042550000}"/>
    <cellStyle name="Comma 3 2 3 2 2 3" xfId="5565" xr:uid="{00000000-0005-0000-0000-000043550000}"/>
    <cellStyle name="Comma 3 2 3 2 2 3 2" xfId="16927" xr:uid="{00000000-0005-0000-0000-000044550000}"/>
    <cellStyle name="Comma 3 2 3 2 2 3 2 2" xfId="30334" xr:uid="{00000000-0005-0000-0000-000045550000}"/>
    <cellStyle name="Comma 3 2 3 2 2 3 3" xfId="22202" xr:uid="{00000000-0005-0000-0000-000046550000}"/>
    <cellStyle name="Comma 3 2 3 2 2 4" xfId="9770" xr:uid="{00000000-0005-0000-0000-000047550000}"/>
    <cellStyle name="Comma 3 2 3 2 2 5" xfId="22204" xr:uid="{00000000-0005-0000-0000-000048550000}"/>
    <cellStyle name="Comma 3 2 3 2 3" xfId="5566" xr:uid="{00000000-0005-0000-0000-000049550000}"/>
    <cellStyle name="Comma 3 2 3 2 3 2" xfId="5567" xr:uid="{00000000-0005-0000-0000-00004A550000}"/>
    <cellStyle name="Comma 3 2 3 2 3 2 2" xfId="13129" xr:uid="{00000000-0005-0000-0000-00004B550000}"/>
    <cellStyle name="Comma 3 2 3 2 3 2 3" xfId="22200" xr:uid="{00000000-0005-0000-0000-00004C550000}"/>
    <cellStyle name="Comma 3 2 3 2 3 3" xfId="12315" xr:uid="{00000000-0005-0000-0000-00004D550000}"/>
    <cellStyle name="Comma 3 2 3 2 3 3 2" xfId="26027" xr:uid="{00000000-0005-0000-0000-00004E550000}"/>
    <cellStyle name="Comma 3 2 3 2 3 4" xfId="22201" xr:uid="{00000000-0005-0000-0000-00004F550000}"/>
    <cellStyle name="Comma 3 2 3 2 4" xfId="5568" xr:uid="{00000000-0005-0000-0000-000050550000}"/>
    <cellStyle name="Comma 3 2 3 2 4 2" xfId="5569" xr:uid="{00000000-0005-0000-0000-000051550000}"/>
    <cellStyle name="Comma 3 2 3 2 4 2 2" xfId="15598" xr:uid="{00000000-0005-0000-0000-000052550000}"/>
    <cellStyle name="Comma 3 2 3 2 4 2 3" xfId="22198" xr:uid="{00000000-0005-0000-0000-000053550000}"/>
    <cellStyle name="Comma 3 2 3 2 4 3" xfId="13879" xr:uid="{00000000-0005-0000-0000-000054550000}"/>
    <cellStyle name="Comma 3 2 3 2 4 3 2" xfId="27428" xr:uid="{00000000-0005-0000-0000-000055550000}"/>
    <cellStyle name="Comma 3 2 3 2 4 4" xfId="22199" xr:uid="{00000000-0005-0000-0000-000056550000}"/>
    <cellStyle name="Comma 3 2 3 2 5" xfId="5570" xr:uid="{00000000-0005-0000-0000-000057550000}"/>
    <cellStyle name="Comma 3 2 3 2 5 2" xfId="14460" xr:uid="{00000000-0005-0000-0000-000058550000}"/>
    <cellStyle name="Comma 3 2 3 2 5 2 2" xfId="28009" xr:uid="{00000000-0005-0000-0000-000059550000}"/>
    <cellStyle name="Comma 3 2 3 2 5 3" xfId="22197" xr:uid="{00000000-0005-0000-0000-00005A550000}"/>
    <cellStyle name="Comma 3 2 3 2 6" xfId="5571" xr:uid="{00000000-0005-0000-0000-00005B550000}"/>
    <cellStyle name="Comma 3 2 3 2 6 2" xfId="16346" xr:uid="{00000000-0005-0000-0000-00005C550000}"/>
    <cellStyle name="Comma 3 2 3 2 6 2 2" xfId="29753" xr:uid="{00000000-0005-0000-0000-00005D550000}"/>
    <cellStyle name="Comma 3 2 3 2 6 3" xfId="22196" xr:uid="{00000000-0005-0000-0000-00005E550000}"/>
    <cellStyle name="Comma 3 2 3 2 7" xfId="9769" xr:uid="{00000000-0005-0000-0000-00005F550000}"/>
    <cellStyle name="Comma 3 2 3 2 8" xfId="22205" xr:uid="{00000000-0005-0000-0000-000060550000}"/>
    <cellStyle name="Comma 3 2 3 3" xfId="5572" xr:uid="{00000000-0005-0000-0000-000061550000}"/>
    <cellStyle name="Comma 3 2 3 3 2" xfId="5573" xr:uid="{00000000-0005-0000-0000-000062550000}"/>
    <cellStyle name="Comma 3 2 3 3 2 2" xfId="11328" xr:uid="{00000000-0005-0000-0000-000063550000}"/>
    <cellStyle name="Comma 3 2 3 3 2 3" xfId="22194" xr:uid="{00000000-0005-0000-0000-000064550000}"/>
    <cellStyle name="Comma 3 2 3 3 3" xfId="5574" xr:uid="{00000000-0005-0000-0000-000065550000}"/>
    <cellStyle name="Comma 3 2 3 3 3 2" xfId="16638" xr:uid="{00000000-0005-0000-0000-000066550000}"/>
    <cellStyle name="Comma 3 2 3 3 3 2 2" xfId="30045" xr:uid="{00000000-0005-0000-0000-000067550000}"/>
    <cellStyle name="Comma 3 2 3 3 3 3" xfId="22193" xr:uid="{00000000-0005-0000-0000-000068550000}"/>
    <cellStyle name="Comma 3 2 3 3 4" xfId="9771" xr:uid="{00000000-0005-0000-0000-000069550000}"/>
    <cellStyle name="Comma 3 2 3 3 5" xfId="22195" xr:uid="{00000000-0005-0000-0000-00006A550000}"/>
    <cellStyle name="Comma 3 2 3 4" xfId="5575" xr:uid="{00000000-0005-0000-0000-00006B550000}"/>
    <cellStyle name="Comma 3 2 3 4 2" xfId="5576" xr:uid="{00000000-0005-0000-0000-00006C550000}"/>
    <cellStyle name="Comma 3 2 3 4 2 2" xfId="13130" xr:uid="{00000000-0005-0000-0000-00006D550000}"/>
    <cellStyle name="Comma 3 2 3 4 2 3" xfId="22191" xr:uid="{00000000-0005-0000-0000-00006E550000}"/>
    <cellStyle name="Comma 3 2 3 4 3" xfId="12015" xr:uid="{00000000-0005-0000-0000-00006F550000}"/>
    <cellStyle name="Comma 3 2 3 4 3 2" xfId="25730" xr:uid="{00000000-0005-0000-0000-000070550000}"/>
    <cellStyle name="Comma 3 2 3 4 4" xfId="22192" xr:uid="{00000000-0005-0000-0000-000071550000}"/>
    <cellStyle name="Comma 3 2 3 5" xfId="5577" xr:uid="{00000000-0005-0000-0000-000072550000}"/>
    <cellStyle name="Comma 3 2 3 5 2" xfId="5578" xr:uid="{00000000-0005-0000-0000-000073550000}"/>
    <cellStyle name="Comma 3 2 3 5 2 2" xfId="15599" xr:uid="{00000000-0005-0000-0000-000074550000}"/>
    <cellStyle name="Comma 3 2 3 5 2 3" xfId="22189" xr:uid="{00000000-0005-0000-0000-000075550000}"/>
    <cellStyle name="Comma 3 2 3 5 3" xfId="13590" xr:uid="{00000000-0005-0000-0000-000076550000}"/>
    <cellStyle name="Comma 3 2 3 5 3 2" xfId="27139" xr:uid="{00000000-0005-0000-0000-000077550000}"/>
    <cellStyle name="Comma 3 2 3 5 4" xfId="22190" xr:uid="{00000000-0005-0000-0000-000078550000}"/>
    <cellStyle name="Comma 3 2 3 6" xfId="5579" xr:uid="{00000000-0005-0000-0000-000079550000}"/>
    <cellStyle name="Comma 3 2 3 6 2" xfId="14171" xr:uid="{00000000-0005-0000-0000-00007A550000}"/>
    <cellStyle name="Comma 3 2 3 6 2 2" xfId="27720" xr:uid="{00000000-0005-0000-0000-00007B550000}"/>
    <cellStyle name="Comma 3 2 3 6 3" xfId="22188" xr:uid="{00000000-0005-0000-0000-00007C550000}"/>
    <cellStyle name="Comma 3 2 3 7" xfId="5580" xr:uid="{00000000-0005-0000-0000-00007D550000}"/>
    <cellStyle name="Comma 3 2 3 7 2" xfId="16057" xr:uid="{00000000-0005-0000-0000-00007E550000}"/>
    <cellStyle name="Comma 3 2 3 7 2 2" xfId="29464" xr:uid="{00000000-0005-0000-0000-00007F550000}"/>
    <cellStyle name="Comma 3 2 3 7 3" xfId="22187" xr:uid="{00000000-0005-0000-0000-000080550000}"/>
    <cellStyle name="Comma 3 2 3 8" xfId="9768" xr:uid="{00000000-0005-0000-0000-000081550000}"/>
    <cellStyle name="Comma 3 2 3 9" xfId="22206" xr:uid="{00000000-0005-0000-0000-000082550000}"/>
    <cellStyle name="Comma 3 2 4" xfId="5581" xr:uid="{00000000-0005-0000-0000-000083550000}"/>
    <cellStyle name="Comma 3 2 4 2" xfId="5582" xr:uid="{00000000-0005-0000-0000-000084550000}"/>
    <cellStyle name="Comma 3 2 4 2 2" xfId="5583" xr:uid="{00000000-0005-0000-0000-000085550000}"/>
    <cellStyle name="Comma 3 2 4 2 2 2" xfId="11329" xr:uid="{00000000-0005-0000-0000-000086550000}"/>
    <cellStyle name="Comma 3 2 4 2 2 3" xfId="22184" xr:uid="{00000000-0005-0000-0000-000087550000}"/>
    <cellStyle name="Comma 3 2 4 2 3" xfId="5584" xr:uid="{00000000-0005-0000-0000-000088550000}"/>
    <cellStyle name="Comma 3 2 4 2 3 2" xfId="16784" xr:uid="{00000000-0005-0000-0000-000089550000}"/>
    <cellStyle name="Comma 3 2 4 2 3 2 2" xfId="30191" xr:uid="{00000000-0005-0000-0000-00008A550000}"/>
    <cellStyle name="Comma 3 2 4 2 3 3" xfId="22183" xr:uid="{00000000-0005-0000-0000-00008B550000}"/>
    <cellStyle name="Comma 3 2 4 2 4" xfId="9773" xr:uid="{00000000-0005-0000-0000-00008C550000}"/>
    <cellStyle name="Comma 3 2 4 2 5" xfId="22185" xr:uid="{00000000-0005-0000-0000-00008D550000}"/>
    <cellStyle name="Comma 3 2 4 3" xfId="5585" xr:uid="{00000000-0005-0000-0000-00008E550000}"/>
    <cellStyle name="Comma 3 2 4 3 2" xfId="5586" xr:uid="{00000000-0005-0000-0000-00008F550000}"/>
    <cellStyle name="Comma 3 2 4 3 2 2" xfId="13131" xr:uid="{00000000-0005-0000-0000-000090550000}"/>
    <cellStyle name="Comma 3 2 4 3 2 3" xfId="22181" xr:uid="{00000000-0005-0000-0000-000091550000}"/>
    <cellStyle name="Comma 3 2 4 3 3" xfId="12172" xr:uid="{00000000-0005-0000-0000-000092550000}"/>
    <cellStyle name="Comma 3 2 4 3 3 2" xfId="25884" xr:uid="{00000000-0005-0000-0000-000093550000}"/>
    <cellStyle name="Comma 3 2 4 3 4" xfId="22182" xr:uid="{00000000-0005-0000-0000-000094550000}"/>
    <cellStyle name="Comma 3 2 4 4" xfId="5587" xr:uid="{00000000-0005-0000-0000-000095550000}"/>
    <cellStyle name="Comma 3 2 4 4 2" xfId="5588" xr:uid="{00000000-0005-0000-0000-000096550000}"/>
    <cellStyle name="Comma 3 2 4 4 2 2" xfId="15600" xr:uid="{00000000-0005-0000-0000-000097550000}"/>
    <cellStyle name="Comma 3 2 4 4 2 3" xfId="22179" xr:uid="{00000000-0005-0000-0000-000098550000}"/>
    <cellStyle name="Comma 3 2 4 4 3" xfId="13736" xr:uid="{00000000-0005-0000-0000-000099550000}"/>
    <cellStyle name="Comma 3 2 4 4 3 2" xfId="27285" xr:uid="{00000000-0005-0000-0000-00009A550000}"/>
    <cellStyle name="Comma 3 2 4 4 4" xfId="22180" xr:uid="{00000000-0005-0000-0000-00009B550000}"/>
    <cellStyle name="Comma 3 2 4 5" xfId="5589" xr:uid="{00000000-0005-0000-0000-00009C550000}"/>
    <cellStyle name="Comma 3 2 4 5 2" xfId="14317" xr:uid="{00000000-0005-0000-0000-00009D550000}"/>
    <cellStyle name="Comma 3 2 4 5 2 2" xfId="27866" xr:uid="{00000000-0005-0000-0000-00009E550000}"/>
    <cellStyle name="Comma 3 2 4 5 3" xfId="22178" xr:uid="{00000000-0005-0000-0000-00009F550000}"/>
    <cellStyle name="Comma 3 2 4 6" xfId="5590" xr:uid="{00000000-0005-0000-0000-0000A0550000}"/>
    <cellStyle name="Comma 3 2 4 6 2" xfId="16203" xr:uid="{00000000-0005-0000-0000-0000A1550000}"/>
    <cellStyle name="Comma 3 2 4 6 2 2" xfId="29610" xr:uid="{00000000-0005-0000-0000-0000A2550000}"/>
    <cellStyle name="Comma 3 2 4 6 3" xfId="22177" xr:uid="{00000000-0005-0000-0000-0000A3550000}"/>
    <cellStyle name="Comma 3 2 4 7" xfId="9772" xr:uid="{00000000-0005-0000-0000-0000A4550000}"/>
    <cellStyle name="Comma 3 2 4 8" xfId="22186" xr:uid="{00000000-0005-0000-0000-0000A5550000}"/>
    <cellStyle name="Comma 3 2 5" xfId="5591" xr:uid="{00000000-0005-0000-0000-0000A6550000}"/>
    <cellStyle name="Comma 3 2 5 2" xfId="5592" xr:uid="{00000000-0005-0000-0000-0000A7550000}"/>
    <cellStyle name="Comma 3 2 5 2 2" xfId="5593" xr:uid="{00000000-0005-0000-0000-0000A8550000}"/>
    <cellStyle name="Comma 3 2 5 2 2 2" xfId="11331" xr:uid="{00000000-0005-0000-0000-0000A9550000}"/>
    <cellStyle name="Comma 3 2 5 2 2 3" xfId="22174" xr:uid="{00000000-0005-0000-0000-0000AA550000}"/>
    <cellStyle name="Comma 3 2 5 2 3" xfId="9775" xr:uid="{00000000-0005-0000-0000-0000AB550000}"/>
    <cellStyle name="Comma 3 2 5 2 4" xfId="22175" xr:uid="{00000000-0005-0000-0000-0000AC550000}"/>
    <cellStyle name="Comma 3 2 5 3" xfId="5594" xr:uid="{00000000-0005-0000-0000-0000AD550000}"/>
    <cellStyle name="Comma 3 2 5 3 2" xfId="11330" xr:uid="{00000000-0005-0000-0000-0000AE550000}"/>
    <cellStyle name="Comma 3 2 5 3 3" xfId="22173" xr:uid="{00000000-0005-0000-0000-0000AF550000}"/>
    <cellStyle name="Comma 3 2 5 4" xfId="5595" xr:uid="{00000000-0005-0000-0000-0000B0550000}"/>
    <cellStyle name="Comma 3 2 5 4 2" xfId="17020" xr:uid="{00000000-0005-0000-0000-0000B1550000}"/>
    <cellStyle name="Comma 3 2 5 4 2 2" xfId="30427" xr:uid="{00000000-0005-0000-0000-0000B2550000}"/>
    <cellStyle name="Comma 3 2 5 4 3" xfId="22172" xr:uid="{00000000-0005-0000-0000-0000B3550000}"/>
    <cellStyle name="Comma 3 2 5 5" xfId="9774" xr:uid="{00000000-0005-0000-0000-0000B4550000}"/>
    <cellStyle name="Comma 3 2 5 6" xfId="22176" xr:uid="{00000000-0005-0000-0000-0000B5550000}"/>
    <cellStyle name="Comma 3 2 6" xfId="5596" xr:uid="{00000000-0005-0000-0000-0000B6550000}"/>
    <cellStyle name="Comma 3 2 6 2" xfId="5597" xr:uid="{00000000-0005-0000-0000-0000B7550000}"/>
    <cellStyle name="Comma 3 2 6 2 2" xfId="17131" xr:uid="{00000000-0005-0000-0000-0000B8550000}"/>
    <cellStyle name="Comma 3 2 6 2 2 2" xfId="30490" xr:uid="{00000000-0005-0000-0000-0000B9550000}"/>
    <cellStyle name="Comma 3 2 6 2 3" xfId="22170" xr:uid="{00000000-0005-0000-0000-0000BA550000}"/>
    <cellStyle name="Comma 3 2 6 3" xfId="9776" xr:uid="{00000000-0005-0000-0000-0000BB550000}"/>
    <cellStyle name="Comma 3 2 6 4" xfId="22171" xr:uid="{00000000-0005-0000-0000-0000BC550000}"/>
    <cellStyle name="Comma 3 2 7" xfId="5598" xr:uid="{00000000-0005-0000-0000-0000BD550000}"/>
    <cellStyle name="Comma 3 2 7 2" xfId="5599" xr:uid="{00000000-0005-0000-0000-0000BE550000}"/>
    <cellStyle name="Comma 3 2 7 2 2" xfId="11332" xr:uid="{00000000-0005-0000-0000-0000BF550000}"/>
    <cellStyle name="Comma 3 2 7 2 3" xfId="22168" xr:uid="{00000000-0005-0000-0000-0000C0550000}"/>
    <cellStyle name="Comma 3 2 7 3" xfId="5600" xr:uid="{00000000-0005-0000-0000-0000C1550000}"/>
    <cellStyle name="Comma 3 2 7 3 2" xfId="17220" xr:uid="{00000000-0005-0000-0000-0000C2550000}"/>
    <cellStyle name="Comma 3 2 7 3 2 2" xfId="30579" xr:uid="{00000000-0005-0000-0000-0000C3550000}"/>
    <cellStyle name="Comma 3 2 7 3 3" xfId="22167" xr:uid="{00000000-0005-0000-0000-0000C4550000}"/>
    <cellStyle name="Comma 3 2 7 4" xfId="9777" xr:uid="{00000000-0005-0000-0000-0000C5550000}"/>
    <cellStyle name="Comma 3 2 7 5" xfId="22169" xr:uid="{00000000-0005-0000-0000-0000C6550000}"/>
    <cellStyle name="Comma 3 2 8" xfId="5601" xr:uid="{00000000-0005-0000-0000-0000C7550000}"/>
    <cellStyle name="Comma 3 2 8 2" xfId="5602" xr:uid="{00000000-0005-0000-0000-0000C8550000}"/>
    <cellStyle name="Comma 3 2 8 2 2" xfId="11333" xr:uid="{00000000-0005-0000-0000-0000C9550000}"/>
    <cellStyle name="Comma 3 2 8 2 3" xfId="22165" xr:uid="{00000000-0005-0000-0000-0000CA550000}"/>
    <cellStyle name="Comma 3 2 8 3" xfId="5603" xr:uid="{00000000-0005-0000-0000-0000CB550000}"/>
    <cellStyle name="Comma 3 2 8 3 2" xfId="16495" xr:uid="{00000000-0005-0000-0000-0000CC550000}"/>
    <cellStyle name="Comma 3 2 8 3 2 2" xfId="29902" xr:uid="{00000000-0005-0000-0000-0000CD550000}"/>
    <cellStyle name="Comma 3 2 8 3 3" xfId="22164" xr:uid="{00000000-0005-0000-0000-0000CE550000}"/>
    <cellStyle name="Comma 3 2 8 4" xfId="9778" xr:uid="{00000000-0005-0000-0000-0000CF550000}"/>
    <cellStyle name="Comma 3 2 8 5" xfId="22166" xr:uid="{00000000-0005-0000-0000-0000D0550000}"/>
    <cellStyle name="Comma 3 2 9" xfId="5604" xr:uid="{00000000-0005-0000-0000-0000D1550000}"/>
    <cellStyle name="Comma 3 2 9 2" xfId="5605" xr:uid="{00000000-0005-0000-0000-0000D2550000}"/>
    <cellStyle name="Comma 3 2 9 2 2" xfId="13132" xr:uid="{00000000-0005-0000-0000-0000D3550000}"/>
    <cellStyle name="Comma 3 2 9 2 2 2" xfId="26844" xr:uid="{00000000-0005-0000-0000-0000D4550000}"/>
    <cellStyle name="Comma 3 2 9 2 3" xfId="22162" xr:uid="{00000000-0005-0000-0000-0000D5550000}"/>
    <cellStyle name="Comma 3 2 9 3" xfId="5606" xr:uid="{00000000-0005-0000-0000-0000D6550000}"/>
    <cellStyle name="Comma 3 2 9 3 2" xfId="15601" xr:uid="{00000000-0005-0000-0000-0000D7550000}"/>
    <cellStyle name="Comma 3 2 9 3 3" xfId="22161" xr:uid="{00000000-0005-0000-0000-0000D8550000}"/>
    <cellStyle name="Comma 3 2 9 4" xfId="10540" xr:uid="{00000000-0005-0000-0000-0000D9550000}"/>
    <cellStyle name="Comma 3 2 9 4 2" xfId="24482" xr:uid="{00000000-0005-0000-0000-0000DA550000}"/>
    <cellStyle name="Comma 3 2 9 5" xfId="22163" xr:uid="{00000000-0005-0000-0000-0000DB550000}"/>
    <cellStyle name="Comma 3 20" xfId="5607" xr:uid="{00000000-0005-0000-0000-0000DC550000}"/>
    <cellStyle name="Comma 3 20 2" xfId="5608" xr:uid="{00000000-0005-0000-0000-0000DD550000}"/>
    <cellStyle name="Comma 3 20 2 2" xfId="11334" xr:uid="{00000000-0005-0000-0000-0000DE550000}"/>
    <cellStyle name="Comma 3 20 2 3" xfId="22159" xr:uid="{00000000-0005-0000-0000-0000DF550000}"/>
    <cellStyle name="Comma 3 20 3" xfId="9779" xr:uid="{00000000-0005-0000-0000-0000E0550000}"/>
    <cellStyle name="Comma 3 20 4" xfId="22160" xr:uid="{00000000-0005-0000-0000-0000E1550000}"/>
    <cellStyle name="Comma 3 21" xfId="5609" xr:uid="{00000000-0005-0000-0000-0000E2550000}"/>
    <cellStyle name="Comma 3 21 2" xfId="5610" xr:uid="{00000000-0005-0000-0000-0000E3550000}"/>
    <cellStyle name="Comma 3 21 2 2" xfId="11722" xr:uid="{00000000-0005-0000-0000-0000E4550000}"/>
    <cellStyle name="Comma 3 21 2 2 2" xfId="25442" xr:uid="{00000000-0005-0000-0000-0000E5550000}"/>
    <cellStyle name="Comma 3 21 2 3" xfId="22157" xr:uid="{00000000-0005-0000-0000-0000E6550000}"/>
    <cellStyle name="Comma 3 21 3" xfId="5611" xr:uid="{00000000-0005-0000-0000-0000E7550000}"/>
    <cellStyle name="Comma 3 21 3 2" xfId="13133" xr:uid="{00000000-0005-0000-0000-0000E8550000}"/>
    <cellStyle name="Comma 3 21 3 2 2" xfId="26845" xr:uid="{00000000-0005-0000-0000-0000E9550000}"/>
    <cellStyle name="Comma 3 21 3 3" xfId="22156" xr:uid="{00000000-0005-0000-0000-0000EA550000}"/>
    <cellStyle name="Comma 3 21 4" xfId="5612" xr:uid="{00000000-0005-0000-0000-0000EB550000}"/>
    <cellStyle name="Comma 3 21 4 2" xfId="15602" xr:uid="{00000000-0005-0000-0000-0000EC550000}"/>
    <cellStyle name="Comma 3 21 4 3" xfId="22155" xr:uid="{00000000-0005-0000-0000-0000ED550000}"/>
    <cellStyle name="Comma 3 21 5" xfId="10487" xr:uid="{00000000-0005-0000-0000-0000EE550000}"/>
    <cellStyle name="Comma 3 21 5 2" xfId="24446" xr:uid="{00000000-0005-0000-0000-0000EF550000}"/>
    <cellStyle name="Comma 3 21 6" xfId="22158" xr:uid="{00000000-0005-0000-0000-0000F0550000}"/>
    <cellStyle name="Comma 3 22" xfId="5613" xr:uid="{00000000-0005-0000-0000-0000F1550000}"/>
    <cellStyle name="Comma 3 22 2" xfId="5614" xr:uid="{00000000-0005-0000-0000-0000F2550000}"/>
    <cellStyle name="Comma 3 22 2 2" xfId="13134" xr:uid="{00000000-0005-0000-0000-0000F3550000}"/>
    <cellStyle name="Comma 3 22 2 2 2" xfId="26846" xr:uid="{00000000-0005-0000-0000-0000F4550000}"/>
    <cellStyle name="Comma 3 22 2 3" xfId="22153" xr:uid="{00000000-0005-0000-0000-0000F5550000}"/>
    <cellStyle name="Comma 3 22 3" xfId="5615" xr:uid="{00000000-0005-0000-0000-0000F6550000}"/>
    <cellStyle name="Comma 3 22 3 2" xfId="15603" xr:uid="{00000000-0005-0000-0000-0000F7550000}"/>
    <cellStyle name="Comma 3 22 3 3" xfId="22152" xr:uid="{00000000-0005-0000-0000-0000F8550000}"/>
    <cellStyle name="Comma 3 22 4" xfId="10517" xr:uid="{00000000-0005-0000-0000-0000F9550000}"/>
    <cellStyle name="Comma 3 22 4 2" xfId="24465" xr:uid="{00000000-0005-0000-0000-0000FA550000}"/>
    <cellStyle name="Comma 3 22 5" xfId="22154" xr:uid="{00000000-0005-0000-0000-0000FB550000}"/>
    <cellStyle name="Comma 3 23" xfId="5616" xr:uid="{00000000-0005-0000-0000-0000FC550000}"/>
    <cellStyle name="Comma 3 23 2" xfId="11314" xr:uid="{00000000-0005-0000-0000-0000FD550000}"/>
    <cellStyle name="Comma 3 23 3" xfId="22151" xr:uid="{00000000-0005-0000-0000-0000FE550000}"/>
    <cellStyle name="Comma 3 24" xfId="5617" xr:uid="{00000000-0005-0000-0000-0000FF550000}"/>
    <cellStyle name="Comma 3 24 2" xfId="11760" xr:uid="{00000000-0005-0000-0000-000000560000}"/>
    <cellStyle name="Comma 3 24 2 2" xfId="25475" xr:uid="{00000000-0005-0000-0000-000001560000}"/>
    <cellStyle name="Comma 3 24 3" xfId="22150" xr:uid="{00000000-0005-0000-0000-000002560000}"/>
    <cellStyle name="Comma 3 25" xfId="5618" xr:uid="{00000000-0005-0000-0000-000003560000}"/>
    <cellStyle name="Comma 3 25 2" xfId="13390" xr:uid="{00000000-0005-0000-0000-000004560000}"/>
    <cellStyle name="Comma 3 25 2 2" xfId="26939" xr:uid="{00000000-0005-0000-0000-000005560000}"/>
    <cellStyle name="Comma 3 25 3" xfId="22149" xr:uid="{00000000-0005-0000-0000-000006560000}"/>
    <cellStyle name="Comma 3 26" xfId="5619" xr:uid="{00000000-0005-0000-0000-000007560000}"/>
    <cellStyle name="Comma 3 26 2" xfId="13971" xr:uid="{00000000-0005-0000-0000-000008560000}"/>
    <cellStyle name="Comma 3 26 2 2" xfId="27520" xr:uid="{00000000-0005-0000-0000-000009560000}"/>
    <cellStyle name="Comma 3 26 3" xfId="22148" xr:uid="{00000000-0005-0000-0000-00000A560000}"/>
    <cellStyle name="Comma 3 27" xfId="5620" xr:uid="{00000000-0005-0000-0000-00000B560000}"/>
    <cellStyle name="Comma 3 27 2" xfId="15829" xr:uid="{00000000-0005-0000-0000-00000C560000}"/>
    <cellStyle name="Comma 3 27 2 2" xfId="29236" xr:uid="{00000000-0005-0000-0000-00000D560000}"/>
    <cellStyle name="Comma 3 27 3" xfId="22147" xr:uid="{00000000-0005-0000-0000-00000E560000}"/>
    <cellStyle name="Comma 3 28" xfId="5621" xr:uid="{00000000-0005-0000-0000-00000F560000}"/>
    <cellStyle name="Comma 3 28 2" xfId="15857" xr:uid="{00000000-0005-0000-0000-000010560000}"/>
    <cellStyle name="Comma 3 28 2 2" xfId="29264" xr:uid="{00000000-0005-0000-0000-000011560000}"/>
    <cellStyle name="Comma 3 28 3" xfId="22146" xr:uid="{00000000-0005-0000-0000-000012560000}"/>
    <cellStyle name="Comma 3 29" xfId="8659" xr:uid="{00000000-0005-0000-0000-000013560000}"/>
    <cellStyle name="Comma 3 29 2" xfId="9746" xr:uid="{00000000-0005-0000-0000-000014560000}"/>
    <cellStyle name="Comma 3 3" xfId="5622" xr:uid="{00000000-0005-0000-0000-000015560000}"/>
    <cellStyle name="Comma 3 3 10" xfId="5623" xr:uid="{00000000-0005-0000-0000-000016560000}"/>
    <cellStyle name="Comma 3 3 10 2" xfId="17331" xr:uid="{00000000-0005-0000-0000-000017560000}"/>
    <cellStyle name="Comma 3 3 10 3" xfId="22144" xr:uid="{00000000-0005-0000-0000-000018560000}"/>
    <cellStyle name="Comma 3 3 11" xfId="8739" xr:uid="{00000000-0005-0000-0000-000019560000}"/>
    <cellStyle name="Comma 3 3 12" xfId="9780" xr:uid="{00000000-0005-0000-0000-00001A560000}"/>
    <cellStyle name="Comma 3 3 13" xfId="22145" xr:uid="{00000000-0005-0000-0000-00001B560000}"/>
    <cellStyle name="Comma 3 3 2" xfId="5624" xr:uid="{00000000-0005-0000-0000-00001C560000}"/>
    <cellStyle name="Comma 3 3 2 2" xfId="5625" xr:uid="{00000000-0005-0000-0000-00001D560000}"/>
    <cellStyle name="Comma 3 3 2 2 2" xfId="5626" xr:uid="{00000000-0005-0000-0000-00001E560000}"/>
    <cellStyle name="Comma 3 3 2 2 2 2" xfId="5627" xr:uid="{00000000-0005-0000-0000-00001F560000}"/>
    <cellStyle name="Comma 3 3 2 2 2 2 2" xfId="11335" xr:uid="{00000000-0005-0000-0000-000020560000}"/>
    <cellStyle name="Comma 3 3 2 2 2 2 3" xfId="22140" xr:uid="{00000000-0005-0000-0000-000021560000}"/>
    <cellStyle name="Comma 3 3 2 2 2 3" xfId="5628" xr:uid="{00000000-0005-0000-0000-000022560000}"/>
    <cellStyle name="Comma 3 3 2 2 2 3 2" xfId="16950" xr:uid="{00000000-0005-0000-0000-000023560000}"/>
    <cellStyle name="Comma 3 3 2 2 2 3 2 2" xfId="30357" xr:uid="{00000000-0005-0000-0000-000024560000}"/>
    <cellStyle name="Comma 3 3 2 2 2 3 3" xfId="22139" xr:uid="{00000000-0005-0000-0000-000025560000}"/>
    <cellStyle name="Comma 3 3 2 2 2 4" xfId="9783" xr:uid="{00000000-0005-0000-0000-000026560000}"/>
    <cellStyle name="Comma 3 3 2 2 2 5" xfId="22141" xr:uid="{00000000-0005-0000-0000-000027560000}"/>
    <cellStyle name="Comma 3 3 2 2 3" xfId="5629" xr:uid="{00000000-0005-0000-0000-000028560000}"/>
    <cellStyle name="Comma 3 3 2 2 3 2" xfId="5630" xr:uid="{00000000-0005-0000-0000-000029560000}"/>
    <cellStyle name="Comma 3 3 2 2 3 2 2" xfId="13135" xr:uid="{00000000-0005-0000-0000-00002A560000}"/>
    <cellStyle name="Comma 3 3 2 2 3 2 3" xfId="22137" xr:uid="{00000000-0005-0000-0000-00002B560000}"/>
    <cellStyle name="Comma 3 3 2 2 3 3" xfId="12338" xr:uid="{00000000-0005-0000-0000-00002C560000}"/>
    <cellStyle name="Comma 3 3 2 2 3 3 2" xfId="26050" xr:uid="{00000000-0005-0000-0000-00002D560000}"/>
    <cellStyle name="Comma 3 3 2 2 3 4" xfId="22138" xr:uid="{00000000-0005-0000-0000-00002E560000}"/>
    <cellStyle name="Comma 3 3 2 2 4" xfId="5631" xr:uid="{00000000-0005-0000-0000-00002F560000}"/>
    <cellStyle name="Comma 3 3 2 2 4 2" xfId="5632" xr:uid="{00000000-0005-0000-0000-000030560000}"/>
    <cellStyle name="Comma 3 3 2 2 4 2 2" xfId="15604" xr:uid="{00000000-0005-0000-0000-000031560000}"/>
    <cellStyle name="Comma 3 3 2 2 4 2 3" xfId="22135" xr:uid="{00000000-0005-0000-0000-000032560000}"/>
    <cellStyle name="Comma 3 3 2 2 4 3" xfId="13902" xr:uid="{00000000-0005-0000-0000-000033560000}"/>
    <cellStyle name="Comma 3 3 2 2 4 3 2" xfId="27451" xr:uid="{00000000-0005-0000-0000-000034560000}"/>
    <cellStyle name="Comma 3 3 2 2 4 4" xfId="22136" xr:uid="{00000000-0005-0000-0000-000035560000}"/>
    <cellStyle name="Comma 3 3 2 2 5" xfId="5633" xr:uid="{00000000-0005-0000-0000-000036560000}"/>
    <cellStyle name="Comma 3 3 2 2 5 2" xfId="14483" xr:uid="{00000000-0005-0000-0000-000037560000}"/>
    <cellStyle name="Comma 3 3 2 2 5 2 2" xfId="28032" xr:uid="{00000000-0005-0000-0000-000038560000}"/>
    <cellStyle name="Comma 3 3 2 2 5 3" xfId="22134" xr:uid="{00000000-0005-0000-0000-000039560000}"/>
    <cellStyle name="Comma 3 3 2 2 6" xfId="5634" xr:uid="{00000000-0005-0000-0000-00003A560000}"/>
    <cellStyle name="Comma 3 3 2 2 6 2" xfId="16369" xr:uid="{00000000-0005-0000-0000-00003B560000}"/>
    <cellStyle name="Comma 3 3 2 2 6 2 2" xfId="29776" xr:uid="{00000000-0005-0000-0000-00003C560000}"/>
    <cellStyle name="Comma 3 3 2 2 6 3" xfId="22133" xr:uid="{00000000-0005-0000-0000-00003D560000}"/>
    <cellStyle name="Comma 3 3 2 2 7" xfId="9782" xr:uid="{00000000-0005-0000-0000-00003E560000}"/>
    <cellStyle name="Comma 3 3 2 2 8" xfId="22142" xr:uid="{00000000-0005-0000-0000-00003F560000}"/>
    <cellStyle name="Comma 3 3 2 3" xfId="5635" xr:uid="{00000000-0005-0000-0000-000040560000}"/>
    <cellStyle name="Comma 3 3 2 3 2" xfId="5636" xr:uid="{00000000-0005-0000-0000-000041560000}"/>
    <cellStyle name="Comma 3 3 2 3 2 2" xfId="11336" xr:uid="{00000000-0005-0000-0000-000042560000}"/>
    <cellStyle name="Comma 3 3 2 3 2 3" xfId="22131" xr:uid="{00000000-0005-0000-0000-000043560000}"/>
    <cellStyle name="Comma 3 3 2 3 3" xfId="5637" xr:uid="{00000000-0005-0000-0000-000044560000}"/>
    <cellStyle name="Comma 3 3 2 3 3 2" xfId="16661" xr:uid="{00000000-0005-0000-0000-000045560000}"/>
    <cellStyle name="Comma 3 3 2 3 3 2 2" xfId="30068" xr:uid="{00000000-0005-0000-0000-000046560000}"/>
    <cellStyle name="Comma 3 3 2 3 3 3" xfId="22130" xr:uid="{00000000-0005-0000-0000-000047560000}"/>
    <cellStyle name="Comma 3 3 2 3 4" xfId="9784" xr:uid="{00000000-0005-0000-0000-000048560000}"/>
    <cellStyle name="Comma 3 3 2 3 5" xfId="22132" xr:uid="{00000000-0005-0000-0000-000049560000}"/>
    <cellStyle name="Comma 3 3 2 4" xfId="5638" xr:uid="{00000000-0005-0000-0000-00004A560000}"/>
    <cellStyle name="Comma 3 3 2 4 2" xfId="5639" xr:uid="{00000000-0005-0000-0000-00004B560000}"/>
    <cellStyle name="Comma 3 3 2 4 2 2" xfId="13136" xr:uid="{00000000-0005-0000-0000-00004C560000}"/>
    <cellStyle name="Comma 3 3 2 4 2 3" xfId="22128" xr:uid="{00000000-0005-0000-0000-00004D560000}"/>
    <cellStyle name="Comma 3 3 2 4 3" xfId="12038" xr:uid="{00000000-0005-0000-0000-00004E560000}"/>
    <cellStyle name="Comma 3 3 2 4 3 2" xfId="25753" xr:uid="{00000000-0005-0000-0000-00004F560000}"/>
    <cellStyle name="Comma 3 3 2 4 4" xfId="22129" xr:uid="{00000000-0005-0000-0000-000050560000}"/>
    <cellStyle name="Comma 3 3 2 5" xfId="5640" xr:uid="{00000000-0005-0000-0000-000051560000}"/>
    <cellStyle name="Comma 3 3 2 5 2" xfId="5641" xr:uid="{00000000-0005-0000-0000-000052560000}"/>
    <cellStyle name="Comma 3 3 2 5 2 2" xfId="15605" xr:uid="{00000000-0005-0000-0000-000053560000}"/>
    <cellStyle name="Comma 3 3 2 5 2 3" xfId="22126" xr:uid="{00000000-0005-0000-0000-000054560000}"/>
    <cellStyle name="Comma 3 3 2 5 3" xfId="13613" xr:uid="{00000000-0005-0000-0000-000055560000}"/>
    <cellStyle name="Comma 3 3 2 5 3 2" xfId="27162" xr:uid="{00000000-0005-0000-0000-000056560000}"/>
    <cellStyle name="Comma 3 3 2 5 4" xfId="22127" xr:uid="{00000000-0005-0000-0000-000057560000}"/>
    <cellStyle name="Comma 3 3 2 6" xfId="5642" xr:uid="{00000000-0005-0000-0000-000058560000}"/>
    <cellStyle name="Comma 3 3 2 6 2" xfId="14194" xr:uid="{00000000-0005-0000-0000-000059560000}"/>
    <cellStyle name="Comma 3 3 2 6 2 2" xfId="27743" xr:uid="{00000000-0005-0000-0000-00005A560000}"/>
    <cellStyle name="Comma 3 3 2 6 3" xfId="22125" xr:uid="{00000000-0005-0000-0000-00005B560000}"/>
    <cellStyle name="Comma 3 3 2 7" xfId="5643" xr:uid="{00000000-0005-0000-0000-00005C560000}"/>
    <cellStyle name="Comma 3 3 2 7 2" xfId="16080" xr:uid="{00000000-0005-0000-0000-00005D560000}"/>
    <cellStyle name="Comma 3 3 2 7 2 2" xfId="29487" xr:uid="{00000000-0005-0000-0000-00005E560000}"/>
    <cellStyle name="Comma 3 3 2 7 3" xfId="22124" xr:uid="{00000000-0005-0000-0000-00005F560000}"/>
    <cellStyle name="Comma 3 3 2 8" xfId="9781" xr:uid="{00000000-0005-0000-0000-000060560000}"/>
    <cellStyle name="Comma 3 3 2 9" xfId="22143" xr:uid="{00000000-0005-0000-0000-000061560000}"/>
    <cellStyle name="Comma 3 3 3" xfId="5644" xr:uid="{00000000-0005-0000-0000-000062560000}"/>
    <cellStyle name="Comma 3 3 3 2" xfId="5645" xr:uid="{00000000-0005-0000-0000-000063560000}"/>
    <cellStyle name="Comma 3 3 3 2 2" xfId="5646" xr:uid="{00000000-0005-0000-0000-000064560000}"/>
    <cellStyle name="Comma 3 3 3 2 2 2" xfId="11337" xr:uid="{00000000-0005-0000-0000-000065560000}"/>
    <cellStyle name="Comma 3 3 3 2 2 3" xfId="22121" xr:uid="{00000000-0005-0000-0000-000066560000}"/>
    <cellStyle name="Comma 3 3 3 2 3" xfId="5647" xr:uid="{00000000-0005-0000-0000-000067560000}"/>
    <cellStyle name="Comma 3 3 3 2 3 2" xfId="16807" xr:uid="{00000000-0005-0000-0000-000068560000}"/>
    <cellStyle name="Comma 3 3 3 2 3 2 2" xfId="30214" xr:uid="{00000000-0005-0000-0000-000069560000}"/>
    <cellStyle name="Comma 3 3 3 2 3 3" xfId="22120" xr:uid="{00000000-0005-0000-0000-00006A560000}"/>
    <cellStyle name="Comma 3 3 3 2 4" xfId="9786" xr:uid="{00000000-0005-0000-0000-00006B560000}"/>
    <cellStyle name="Comma 3 3 3 2 5" xfId="22122" xr:uid="{00000000-0005-0000-0000-00006C560000}"/>
    <cellStyle name="Comma 3 3 3 3" xfId="5648" xr:uid="{00000000-0005-0000-0000-00006D560000}"/>
    <cellStyle name="Comma 3 3 3 3 2" xfId="5649" xr:uid="{00000000-0005-0000-0000-00006E560000}"/>
    <cellStyle name="Comma 3 3 3 3 2 2" xfId="13137" xr:uid="{00000000-0005-0000-0000-00006F560000}"/>
    <cellStyle name="Comma 3 3 3 3 2 3" xfId="22118" xr:uid="{00000000-0005-0000-0000-000070560000}"/>
    <cellStyle name="Comma 3 3 3 3 3" xfId="12195" xr:uid="{00000000-0005-0000-0000-000071560000}"/>
    <cellStyle name="Comma 3 3 3 3 3 2" xfId="25907" xr:uid="{00000000-0005-0000-0000-000072560000}"/>
    <cellStyle name="Comma 3 3 3 3 4" xfId="22119" xr:uid="{00000000-0005-0000-0000-000073560000}"/>
    <cellStyle name="Comma 3 3 3 4" xfId="5650" xr:uid="{00000000-0005-0000-0000-000074560000}"/>
    <cellStyle name="Comma 3 3 3 4 2" xfId="5651" xr:uid="{00000000-0005-0000-0000-000075560000}"/>
    <cellStyle name="Comma 3 3 3 4 2 2" xfId="15606" xr:uid="{00000000-0005-0000-0000-000076560000}"/>
    <cellStyle name="Comma 3 3 3 4 2 3" xfId="22116" xr:uid="{00000000-0005-0000-0000-000077560000}"/>
    <cellStyle name="Comma 3 3 3 4 3" xfId="13759" xr:uid="{00000000-0005-0000-0000-000078560000}"/>
    <cellStyle name="Comma 3 3 3 4 3 2" xfId="27308" xr:uid="{00000000-0005-0000-0000-000079560000}"/>
    <cellStyle name="Comma 3 3 3 4 4" xfId="22117" xr:uid="{00000000-0005-0000-0000-00007A560000}"/>
    <cellStyle name="Comma 3 3 3 5" xfId="5652" xr:uid="{00000000-0005-0000-0000-00007B560000}"/>
    <cellStyle name="Comma 3 3 3 5 2" xfId="14340" xr:uid="{00000000-0005-0000-0000-00007C560000}"/>
    <cellStyle name="Comma 3 3 3 5 2 2" xfId="27889" xr:uid="{00000000-0005-0000-0000-00007D560000}"/>
    <cellStyle name="Comma 3 3 3 5 3" xfId="22115" xr:uid="{00000000-0005-0000-0000-00007E560000}"/>
    <cellStyle name="Comma 3 3 3 6" xfId="5653" xr:uid="{00000000-0005-0000-0000-00007F560000}"/>
    <cellStyle name="Comma 3 3 3 6 2" xfId="16226" xr:uid="{00000000-0005-0000-0000-000080560000}"/>
    <cellStyle name="Comma 3 3 3 6 2 2" xfId="29633" xr:uid="{00000000-0005-0000-0000-000081560000}"/>
    <cellStyle name="Comma 3 3 3 6 3" xfId="22114" xr:uid="{00000000-0005-0000-0000-000082560000}"/>
    <cellStyle name="Comma 3 3 3 7" xfId="9785" xr:uid="{00000000-0005-0000-0000-000083560000}"/>
    <cellStyle name="Comma 3 3 3 8" xfId="22123" xr:uid="{00000000-0005-0000-0000-000084560000}"/>
    <cellStyle name="Comma 3 3 4" xfId="5654" xr:uid="{00000000-0005-0000-0000-000085560000}"/>
    <cellStyle name="Comma 3 3 4 2" xfId="5655" xr:uid="{00000000-0005-0000-0000-000086560000}"/>
    <cellStyle name="Comma 3 3 4 2 2" xfId="13138" xr:uid="{00000000-0005-0000-0000-000087560000}"/>
    <cellStyle name="Comma 3 3 4 2 3" xfId="22112" xr:uid="{00000000-0005-0000-0000-000088560000}"/>
    <cellStyle name="Comma 3 3 4 3" xfId="5656" xr:uid="{00000000-0005-0000-0000-000089560000}"/>
    <cellStyle name="Comma 3 3 4 3 2" xfId="17154" xr:uid="{00000000-0005-0000-0000-00008A560000}"/>
    <cellStyle name="Comma 3 3 4 3 2 2" xfId="30513" xr:uid="{00000000-0005-0000-0000-00008B560000}"/>
    <cellStyle name="Comma 3 3 4 3 3" xfId="22111" xr:uid="{00000000-0005-0000-0000-00008C560000}"/>
    <cellStyle name="Comma 3 3 4 4" xfId="9787" xr:uid="{00000000-0005-0000-0000-00008D560000}"/>
    <cellStyle name="Comma 3 3 4 5" xfId="22113" xr:uid="{00000000-0005-0000-0000-00008E560000}"/>
    <cellStyle name="Comma 3 3 5" xfId="5657" xr:uid="{00000000-0005-0000-0000-00008F560000}"/>
    <cellStyle name="Comma 3 3 5 2" xfId="5658" xr:uid="{00000000-0005-0000-0000-000090560000}"/>
    <cellStyle name="Comma 3 3 5 2 2" xfId="11338" xr:uid="{00000000-0005-0000-0000-000091560000}"/>
    <cellStyle name="Comma 3 3 5 2 3" xfId="22109" xr:uid="{00000000-0005-0000-0000-000092560000}"/>
    <cellStyle name="Comma 3 3 5 3" xfId="5659" xr:uid="{00000000-0005-0000-0000-000093560000}"/>
    <cellStyle name="Comma 3 3 5 3 2" xfId="17243" xr:uid="{00000000-0005-0000-0000-000094560000}"/>
    <cellStyle name="Comma 3 3 5 3 2 2" xfId="30602" xr:uid="{00000000-0005-0000-0000-000095560000}"/>
    <cellStyle name="Comma 3 3 5 3 3" xfId="22108" xr:uid="{00000000-0005-0000-0000-000096560000}"/>
    <cellStyle name="Comma 3 3 5 4" xfId="9788" xr:uid="{00000000-0005-0000-0000-000097560000}"/>
    <cellStyle name="Comma 3 3 5 5" xfId="22110" xr:uid="{00000000-0005-0000-0000-000098560000}"/>
    <cellStyle name="Comma 3 3 6" xfId="5660" xr:uid="{00000000-0005-0000-0000-000099560000}"/>
    <cellStyle name="Comma 3 3 6 2" xfId="5661" xr:uid="{00000000-0005-0000-0000-00009A560000}"/>
    <cellStyle name="Comma 3 3 6 2 2" xfId="15607" xr:uid="{00000000-0005-0000-0000-00009B560000}"/>
    <cellStyle name="Comma 3 3 6 2 3" xfId="22106" xr:uid="{00000000-0005-0000-0000-00009C560000}"/>
    <cellStyle name="Comma 3 3 6 3" xfId="5662" xr:uid="{00000000-0005-0000-0000-00009D560000}"/>
    <cellStyle name="Comma 3 3 6 3 2" xfId="16518" xr:uid="{00000000-0005-0000-0000-00009E560000}"/>
    <cellStyle name="Comma 3 3 6 3 2 2" xfId="29925" xr:uid="{00000000-0005-0000-0000-00009F560000}"/>
    <cellStyle name="Comma 3 3 6 3 3" xfId="22105" xr:uid="{00000000-0005-0000-0000-0000A0560000}"/>
    <cellStyle name="Comma 3 3 6 4" xfId="11891" xr:uid="{00000000-0005-0000-0000-0000A1560000}"/>
    <cellStyle name="Comma 3 3 6 4 2" xfId="25606" xr:uid="{00000000-0005-0000-0000-0000A2560000}"/>
    <cellStyle name="Comma 3 3 6 5" xfId="22107" xr:uid="{00000000-0005-0000-0000-0000A3560000}"/>
    <cellStyle name="Comma 3 3 7" xfId="5663" xr:uid="{00000000-0005-0000-0000-0000A4560000}"/>
    <cellStyle name="Comma 3 3 7 2" xfId="13470" xr:uid="{00000000-0005-0000-0000-0000A5560000}"/>
    <cellStyle name="Comma 3 3 7 2 2" xfId="27019" xr:uid="{00000000-0005-0000-0000-0000A6560000}"/>
    <cellStyle name="Comma 3 3 7 3" xfId="22104" xr:uid="{00000000-0005-0000-0000-0000A7560000}"/>
    <cellStyle name="Comma 3 3 8" xfId="5664" xr:uid="{00000000-0005-0000-0000-0000A8560000}"/>
    <cellStyle name="Comma 3 3 8 2" xfId="14051" xr:uid="{00000000-0005-0000-0000-0000A9560000}"/>
    <cellStyle name="Comma 3 3 8 2 2" xfId="27600" xr:uid="{00000000-0005-0000-0000-0000AA560000}"/>
    <cellStyle name="Comma 3 3 8 3" xfId="22103" xr:uid="{00000000-0005-0000-0000-0000AB560000}"/>
    <cellStyle name="Comma 3 3 9" xfId="5665" xr:uid="{00000000-0005-0000-0000-0000AC560000}"/>
    <cellStyle name="Comma 3 3 9 2" xfId="15937" xr:uid="{00000000-0005-0000-0000-0000AD560000}"/>
    <cellStyle name="Comma 3 3 9 2 2" xfId="29344" xr:uid="{00000000-0005-0000-0000-0000AE560000}"/>
    <cellStyle name="Comma 3 3 9 3" xfId="22102" xr:uid="{00000000-0005-0000-0000-0000AF560000}"/>
    <cellStyle name="Comma 3 30" xfId="17302" xr:uid="{00000000-0005-0000-0000-0000B0560000}"/>
    <cellStyle name="Comma 3 31" xfId="22286" xr:uid="{00000000-0005-0000-0000-0000B1560000}"/>
    <cellStyle name="Comma 3 4" xfId="5666" xr:uid="{00000000-0005-0000-0000-0000B2560000}"/>
    <cellStyle name="Comma 3 4 10" xfId="9789" xr:uid="{00000000-0005-0000-0000-0000B3560000}"/>
    <cellStyle name="Comma 3 4 11" xfId="22101" xr:uid="{00000000-0005-0000-0000-0000B4560000}"/>
    <cellStyle name="Comma 3 4 2" xfId="5667" xr:uid="{00000000-0005-0000-0000-0000B5560000}"/>
    <cellStyle name="Comma 3 4 2 2" xfId="5668" xr:uid="{00000000-0005-0000-0000-0000B6560000}"/>
    <cellStyle name="Comma 3 4 2 2 2" xfId="5669" xr:uid="{00000000-0005-0000-0000-0000B7560000}"/>
    <cellStyle name="Comma 3 4 2 2 2 2" xfId="5670" xr:uid="{00000000-0005-0000-0000-0000B8560000}"/>
    <cellStyle name="Comma 3 4 2 2 2 2 2" xfId="11339" xr:uid="{00000000-0005-0000-0000-0000B9560000}"/>
    <cellStyle name="Comma 3 4 2 2 2 2 3" xfId="22097" xr:uid="{00000000-0005-0000-0000-0000BA560000}"/>
    <cellStyle name="Comma 3 4 2 2 2 3" xfId="5671" xr:uid="{00000000-0005-0000-0000-0000BB560000}"/>
    <cellStyle name="Comma 3 4 2 2 2 3 2" xfId="16904" xr:uid="{00000000-0005-0000-0000-0000BC560000}"/>
    <cellStyle name="Comma 3 4 2 2 2 3 2 2" xfId="30311" xr:uid="{00000000-0005-0000-0000-0000BD560000}"/>
    <cellStyle name="Comma 3 4 2 2 2 3 3" xfId="22096" xr:uid="{00000000-0005-0000-0000-0000BE560000}"/>
    <cellStyle name="Comma 3 4 2 2 2 4" xfId="9792" xr:uid="{00000000-0005-0000-0000-0000BF560000}"/>
    <cellStyle name="Comma 3 4 2 2 2 5" xfId="22098" xr:uid="{00000000-0005-0000-0000-0000C0560000}"/>
    <cellStyle name="Comma 3 4 2 2 3" xfId="5672" xr:uid="{00000000-0005-0000-0000-0000C1560000}"/>
    <cellStyle name="Comma 3 4 2 2 3 2" xfId="5673" xr:uid="{00000000-0005-0000-0000-0000C2560000}"/>
    <cellStyle name="Comma 3 4 2 2 3 2 2" xfId="13139" xr:uid="{00000000-0005-0000-0000-0000C3560000}"/>
    <cellStyle name="Comma 3 4 2 2 3 2 3" xfId="22094" xr:uid="{00000000-0005-0000-0000-0000C4560000}"/>
    <cellStyle name="Comma 3 4 2 2 3 3" xfId="12292" xr:uid="{00000000-0005-0000-0000-0000C5560000}"/>
    <cellStyle name="Comma 3 4 2 2 3 3 2" xfId="26004" xr:uid="{00000000-0005-0000-0000-0000C6560000}"/>
    <cellStyle name="Comma 3 4 2 2 3 4" xfId="22095" xr:uid="{00000000-0005-0000-0000-0000C7560000}"/>
    <cellStyle name="Comma 3 4 2 2 4" xfId="5674" xr:uid="{00000000-0005-0000-0000-0000C8560000}"/>
    <cellStyle name="Comma 3 4 2 2 4 2" xfId="5675" xr:uid="{00000000-0005-0000-0000-0000C9560000}"/>
    <cellStyle name="Comma 3 4 2 2 4 2 2" xfId="15608" xr:uid="{00000000-0005-0000-0000-0000CA560000}"/>
    <cellStyle name="Comma 3 4 2 2 4 2 3" xfId="22092" xr:uid="{00000000-0005-0000-0000-0000CB560000}"/>
    <cellStyle name="Comma 3 4 2 2 4 3" xfId="13856" xr:uid="{00000000-0005-0000-0000-0000CC560000}"/>
    <cellStyle name="Comma 3 4 2 2 4 3 2" xfId="27405" xr:uid="{00000000-0005-0000-0000-0000CD560000}"/>
    <cellStyle name="Comma 3 4 2 2 4 4" xfId="22093" xr:uid="{00000000-0005-0000-0000-0000CE560000}"/>
    <cellStyle name="Comma 3 4 2 2 5" xfId="5676" xr:uid="{00000000-0005-0000-0000-0000CF560000}"/>
    <cellStyle name="Comma 3 4 2 2 5 2" xfId="14437" xr:uid="{00000000-0005-0000-0000-0000D0560000}"/>
    <cellStyle name="Comma 3 4 2 2 5 2 2" xfId="27986" xr:uid="{00000000-0005-0000-0000-0000D1560000}"/>
    <cellStyle name="Comma 3 4 2 2 5 3" xfId="22091" xr:uid="{00000000-0005-0000-0000-0000D2560000}"/>
    <cellStyle name="Comma 3 4 2 2 6" xfId="5677" xr:uid="{00000000-0005-0000-0000-0000D3560000}"/>
    <cellStyle name="Comma 3 4 2 2 6 2" xfId="16323" xr:uid="{00000000-0005-0000-0000-0000D4560000}"/>
    <cellStyle name="Comma 3 4 2 2 6 2 2" xfId="29730" xr:uid="{00000000-0005-0000-0000-0000D5560000}"/>
    <cellStyle name="Comma 3 4 2 2 6 3" xfId="22090" xr:uid="{00000000-0005-0000-0000-0000D6560000}"/>
    <cellStyle name="Comma 3 4 2 2 7" xfId="9791" xr:uid="{00000000-0005-0000-0000-0000D7560000}"/>
    <cellStyle name="Comma 3 4 2 2 8" xfId="22099" xr:uid="{00000000-0005-0000-0000-0000D8560000}"/>
    <cellStyle name="Comma 3 4 2 3" xfId="5678" xr:uid="{00000000-0005-0000-0000-0000D9560000}"/>
    <cellStyle name="Comma 3 4 2 3 2" xfId="5679" xr:uid="{00000000-0005-0000-0000-0000DA560000}"/>
    <cellStyle name="Comma 3 4 2 3 2 2" xfId="11340" xr:uid="{00000000-0005-0000-0000-0000DB560000}"/>
    <cellStyle name="Comma 3 4 2 3 2 3" xfId="22088" xr:uid="{00000000-0005-0000-0000-0000DC560000}"/>
    <cellStyle name="Comma 3 4 2 3 3" xfId="5680" xr:uid="{00000000-0005-0000-0000-0000DD560000}"/>
    <cellStyle name="Comma 3 4 2 3 3 2" xfId="16615" xr:uid="{00000000-0005-0000-0000-0000DE560000}"/>
    <cellStyle name="Comma 3 4 2 3 3 2 2" xfId="30022" xr:uid="{00000000-0005-0000-0000-0000DF560000}"/>
    <cellStyle name="Comma 3 4 2 3 3 3" xfId="22087" xr:uid="{00000000-0005-0000-0000-0000E0560000}"/>
    <cellStyle name="Comma 3 4 2 3 4" xfId="9793" xr:uid="{00000000-0005-0000-0000-0000E1560000}"/>
    <cellStyle name="Comma 3 4 2 3 5" xfId="22089" xr:uid="{00000000-0005-0000-0000-0000E2560000}"/>
    <cellStyle name="Comma 3 4 2 4" xfId="5681" xr:uid="{00000000-0005-0000-0000-0000E3560000}"/>
    <cellStyle name="Comma 3 4 2 4 2" xfId="5682" xr:uid="{00000000-0005-0000-0000-0000E4560000}"/>
    <cellStyle name="Comma 3 4 2 4 2 2" xfId="13140" xr:uid="{00000000-0005-0000-0000-0000E5560000}"/>
    <cellStyle name="Comma 3 4 2 4 2 3" xfId="22085" xr:uid="{00000000-0005-0000-0000-0000E6560000}"/>
    <cellStyle name="Comma 3 4 2 4 3" xfId="11992" xr:uid="{00000000-0005-0000-0000-0000E7560000}"/>
    <cellStyle name="Comma 3 4 2 4 3 2" xfId="25707" xr:uid="{00000000-0005-0000-0000-0000E8560000}"/>
    <cellStyle name="Comma 3 4 2 4 4" xfId="22086" xr:uid="{00000000-0005-0000-0000-0000E9560000}"/>
    <cellStyle name="Comma 3 4 2 5" xfId="5683" xr:uid="{00000000-0005-0000-0000-0000EA560000}"/>
    <cellStyle name="Comma 3 4 2 5 2" xfId="5684" xr:uid="{00000000-0005-0000-0000-0000EB560000}"/>
    <cellStyle name="Comma 3 4 2 5 2 2" xfId="15609" xr:uid="{00000000-0005-0000-0000-0000EC560000}"/>
    <cellStyle name="Comma 3 4 2 5 2 3" xfId="22083" xr:uid="{00000000-0005-0000-0000-0000ED560000}"/>
    <cellStyle name="Comma 3 4 2 5 3" xfId="13567" xr:uid="{00000000-0005-0000-0000-0000EE560000}"/>
    <cellStyle name="Comma 3 4 2 5 3 2" xfId="27116" xr:uid="{00000000-0005-0000-0000-0000EF560000}"/>
    <cellStyle name="Comma 3 4 2 5 4" xfId="22084" xr:uid="{00000000-0005-0000-0000-0000F0560000}"/>
    <cellStyle name="Comma 3 4 2 6" xfId="5685" xr:uid="{00000000-0005-0000-0000-0000F1560000}"/>
    <cellStyle name="Comma 3 4 2 6 2" xfId="14148" xr:uid="{00000000-0005-0000-0000-0000F2560000}"/>
    <cellStyle name="Comma 3 4 2 6 2 2" xfId="27697" xr:uid="{00000000-0005-0000-0000-0000F3560000}"/>
    <cellStyle name="Comma 3 4 2 6 3" xfId="22082" xr:uid="{00000000-0005-0000-0000-0000F4560000}"/>
    <cellStyle name="Comma 3 4 2 7" xfId="5686" xr:uid="{00000000-0005-0000-0000-0000F5560000}"/>
    <cellStyle name="Comma 3 4 2 7 2" xfId="16034" xr:uid="{00000000-0005-0000-0000-0000F6560000}"/>
    <cellStyle name="Comma 3 4 2 7 2 2" xfId="29441" xr:uid="{00000000-0005-0000-0000-0000F7560000}"/>
    <cellStyle name="Comma 3 4 2 7 3" xfId="22081" xr:uid="{00000000-0005-0000-0000-0000F8560000}"/>
    <cellStyle name="Comma 3 4 2 8" xfId="9790" xr:uid="{00000000-0005-0000-0000-0000F9560000}"/>
    <cellStyle name="Comma 3 4 2 9" xfId="22100" xr:uid="{00000000-0005-0000-0000-0000FA560000}"/>
    <cellStyle name="Comma 3 4 3" xfId="5687" xr:uid="{00000000-0005-0000-0000-0000FB560000}"/>
    <cellStyle name="Comma 3 4 3 2" xfId="5688" xr:uid="{00000000-0005-0000-0000-0000FC560000}"/>
    <cellStyle name="Comma 3 4 3 2 2" xfId="5689" xr:uid="{00000000-0005-0000-0000-0000FD560000}"/>
    <cellStyle name="Comma 3 4 3 2 2 2" xfId="11341" xr:uid="{00000000-0005-0000-0000-0000FE560000}"/>
    <cellStyle name="Comma 3 4 3 2 2 3" xfId="22078" xr:uid="{00000000-0005-0000-0000-0000FF560000}"/>
    <cellStyle name="Comma 3 4 3 2 3" xfId="5690" xr:uid="{00000000-0005-0000-0000-000000570000}"/>
    <cellStyle name="Comma 3 4 3 2 3 2" xfId="16764" xr:uid="{00000000-0005-0000-0000-000001570000}"/>
    <cellStyle name="Comma 3 4 3 2 3 2 2" xfId="30171" xr:uid="{00000000-0005-0000-0000-000002570000}"/>
    <cellStyle name="Comma 3 4 3 2 3 3" xfId="22077" xr:uid="{00000000-0005-0000-0000-000003570000}"/>
    <cellStyle name="Comma 3 4 3 2 4" xfId="9795" xr:uid="{00000000-0005-0000-0000-000004570000}"/>
    <cellStyle name="Comma 3 4 3 2 5" xfId="22079" xr:uid="{00000000-0005-0000-0000-000005570000}"/>
    <cellStyle name="Comma 3 4 3 3" xfId="5691" xr:uid="{00000000-0005-0000-0000-000006570000}"/>
    <cellStyle name="Comma 3 4 3 3 2" xfId="5692" xr:uid="{00000000-0005-0000-0000-000007570000}"/>
    <cellStyle name="Comma 3 4 3 3 2 2" xfId="13141" xr:uid="{00000000-0005-0000-0000-000008570000}"/>
    <cellStyle name="Comma 3 4 3 3 2 3" xfId="22075" xr:uid="{00000000-0005-0000-0000-000009570000}"/>
    <cellStyle name="Comma 3 4 3 3 3" xfId="12152" xr:uid="{00000000-0005-0000-0000-00000A570000}"/>
    <cellStyle name="Comma 3 4 3 3 3 2" xfId="25864" xr:uid="{00000000-0005-0000-0000-00000B570000}"/>
    <cellStyle name="Comma 3 4 3 3 4" xfId="22076" xr:uid="{00000000-0005-0000-0000-00000C570000}"/>
    <cellStyle name="Comma 3 4 3 4" xfId="5693" xr:uid="{00000000-0005-0000-0000-00000D570000}"/>
    <cellStyle name="Comma 3 4 3 4 2" xfId="5694" xr:uid="{00000000-0005-0000-0000-00000E570000}"/>
    <cellStyle name="Comma 3 4 3 4 2 2" xfId="15610" xr:uid="{00000000-0005-0000-0000-00000F570000}"/>
    <cellStyle name="Comma 3 4 3 4 2 3" xfId="22073" xr:uid="{00000000-0005-0000-0000-000010570000}"/>
    <cellStyle name="Comma 3 4 3 4 3" xfId="13716" xr:uid="{00000000-0005-0000-0000-000011570000}"/>
    <cellStyle name="Comma 3 4 3 4 3 2" xfId="27265" xr:uid="{00000000-0005-0000-0000-000012570000}"/>
    <cellStyle name="Comma 3 4 3 4 4" xfId="22074" xr:uid="{00000000-0005-0000-0000-000013570000}"/>
    <cellStyle name="Comma 3 4 3 5" xfId="5695" xr:uid="{00000000-0005-0000-0000-000014570000}"/>
    <cellStyle name="Comma 3 4 3 5 2" xfId="14297" xr:uid="{00000000-0005-0000-0000-000015570000}"/>
    <cellStyle name="Comma 3 4 3 5 2 2" xfId="27846" xr:uid="{00000000-0005-0000-0000-000016570000}"/>
    <cellStyle name="Comma 3 4 3 5 3" xfId="22072" xr:uid="{00000000-0005-0000-0000-000017570000}"/>
    <cellStyle name="Comma 3 4 3 6" xfId="5696" xr:uid="{00000000-0005-0000-0000-000018570000}"/>
    <cellStyle name="Comma 3 4 3 6 2" xfId="16183" xr:uid="{00000000-0005-0000-0000-000019570000}"/>
    <cellStyle name="Comma 3 4 3 6 2 2" xfId="29590" xr:uid="{00000000-0005-0000-0000-00001A570000}"/>
    <cellStyle name="Comma 3 4 3 6 3" xfId="22071" xr:uid="{00000000-0005-0000-0000-00001B570000}"/>
    <cellStyle name="Comma 3 4 3 7" xfId="9794" xr:uid="{00000000-0005-0000-0000-00001C570000}"/>
    <cellStyle name="Comma 3 4 3 8" xfId="22080" xr:uid="{00000000-0005-0000-0000-00001D570000}"/>
    <cellStyle name="Comma 3 4 4" xfId="5697" xr:uid="{00000000-0005-0000-0000-00001E570000}"/>
    <cellStyle name="Comma 3 4 4 2" xfId="5698" xr:uid="{00000000-0005-0000-0000-00001F570000}"/>
    <cellStyle name="Comma 3 4 4 2 2" xfId="16472" xr:uid="{00000000-0005-0000-0000-000020570000}"/>
    <cellStyle name="Comma 3 4 4 2 2 2" xfId="29879" xr:uid="{00000000-0005-0000-0000-000021570000}"/>
    <cellStyle name="Comma 3 4 4 2 3" xfId="22069" xr:uid="{00000000-0005-0000-0000-000022570000}"/>
    <cellStyle name="Comma 3 4 4 3" xfId="9796" xr:uid="{00000000-0005-0000-0000-000023570000}"/>
    <cellStyle name="Comma 3 4 4 4" xfId="22070" xr:uid="{00000000-0005-0000-0000-000024570000}"/>
    <cellStyle name="Comma 3 4 5" xfId="5699" xr:uid="{00000000-0005-0000-0000-000025570000}"/>
    <cellStyle name="Comma 3 4 5 2" xfId="5700" xr:uid="{00000000-0005-0000-0000-000026570000}"/>
    <cellStyle name="Comma 3 4 5 2 2" xfId="11342" xr:uid="{00000000-0005-0000-0000-000027570000}"/>
    <cellStyle name="Comma 3 4 5 2 3" xfId="22067" xr:uid="{00000000-0005-0000-0000-000028570000}"/>
    <cellStyle name="Comma 3 4 5 3" xfId="9797" xr:uid="{00000000-0005-0000-0000-000029570000}"/>
    <cellStyle name="Comma 3 4 5 4" xfId="22068" xr:uid="{00000000-0005-0000-0000-00002A570000}"/>
    <cellStyle name="Comma 3 4 6" xfId="5701" xr:uid="{00000000-0005-0000-0000-00002B570000}"/>
    <cellStyle name="Comma 3 4 6 2" xfId="5702" xr:uid="{00000000-0005-0000-0000-00002C570000}"/>
    <cellStyle name="Comma 3 4 6 2 2" xfId="13142" xr:uid="{00000000-0005-0000-0000-00002D570000}"/>
    <cellStyle name="Comma 3 4 6 2 3" xfId="22065" xr:uid="{00000000-0005-0000-0000-00002E570000}"/>
    <cellStyle name="Comma 3 4 6 3" xfId="11823" xr:uid="{00000000-0005-0000-0000-00002F570000}"/>
    <cellStyle name="Comma 3 4 6 3 2" xfId="25538" xr:uid="{00000000-0005-0000-0000-000030570000}"/>
    <cellStyle name="Comma 3 4 6 4" xfId="22066" xr:uid="{00000000-0005-0000-0000-000031570000}"/>
    <cellStyle name="Comma 3 4 7" xfId="5703" xr:uid="{00000000-0005-0000-0000-000032570000}"/>
    <cellStyle name="Comma 3 4 7 2" xfId="5704" xr:uid="{00000000-0005-0000-0000-000033570000}"/>
    <cellStyle name="Comma 3 4 7 2 2" xfId="15611" xr:uid="{00000000-0005-0000-0000-000034570000}"/>
    <cellStyle name="Comma 3 4 7 2 3" xfId="22063" xr:uid="{00000000-0005-0000-0000-000035570000}"/>
    <cellStyle name="Comma 3 4 7 3" xfId="13424" xr:uid="{00000000-0005-0000-0000-000036570000}"/>
    <cellStyle name="Comma 3 4 7 3 2" xfId="26973" xr:uid="{00000000-0005-0000-0000-000037570000}"/>
    <cellStyle name="Comma 3 4 7 4" xfId="22064" xr:uid="{00000000-0005-0000-0000-000038570000}"/>
    <cellStyle name="Comma 3 4 8" xfId="5705" xr:uid="{00000000-0005-0000-0000-000039570000}"/>
    <cellStyle name="Comma 3 4 8 2" xfId="14005" xr:uid="{00000000-0005-0000-0000-00003A570000}"/>
    <cellStyle name="Comma 3 4 8 2 2" xfId="27554" xr:uid="{00000000-0005-0000-0000-00003B570000}"/>
    <cellStyle name="Comma 3 4 8 3" xfId="22062" xr:uid="{00000000-0005-0000-0000-00003C570000}"/>
    <cellStyle name="Comma 3 4 9" xfId="5706" xr:uid="{00000000-0005-0000-0000-00003D570000}"/>
    <cellStyle name="Comma 3 4 9 2" xfId="15891" xr:uid="{00000000-0005-0000-0000-00003E570000}"/>
    <cellStyle name="Comma 3 4 9 2 2" xfId="29298" xr:uid="{00000000-0005-0000-0000-00003F570000}"/>
    <cellStyle name="Comma 3 4 9 3" xfId="22061" xr:uid="{00000000-0005-0000-0000-000040570000}"/>
    <cellStyle name="Comma 3 5" xfId="5707" xr:uid="{00000000-0005-0000-0000-000041570000}"/>
    <cellStyle name="Comma 3 5 10" xfId="9798" xr:uid="{00000000-0005-0000-0000-000042570000}"/>
    <cellStyle name="Comma 3 5 11" xfId="22060" xr:uid="{00000000-0005-0000-0000-000043570000}"/>
    <cellStyle name="Comma 3 5 2" xfId="5708" xr:uid="{00000000-0005-0000-0000-000044570000}"/>
    <cellStyle name="Comma 3 5 2 2" xfId="5709" xr:uid="{00000000-0005-0000-0000-000045570000}"/>
    <cellStyle name="Comma 3 5 2 2 2" xfId="5710" xr:uid="{00000000-0005-0000-0000-000046570000}"/>
    <cellStyle name="Comma 3 5 2 2 2 2" xfId="5711" xr:uid="{00000000-0005-0000-0000-000047570000}"/>
    <cellStyle name="Comma 3 5 2 2 2 2 2" xfId="11343" xr:uid="{00000000-0005-0000-0000-000048570000}"/>
    <cellStyle name="Comma 3 5 2 2 2 2 3" xfId="22056" xr:uid="{00000000-0005-0000-0000-000049570000}"/>
    <cellStyle name="Comma 3 5 2 2 2 3" xfId="5712" xr:uid="{00000000-0005-0000-0000-00004A570000}"/>
    <cellStyle name="Comma 3 5 2 2 2 3 2" xfId="16887" xr:uid="{00000000-0005-0000-0000-00004B570000}"/>
    <cellStyle name="Comma 3 5 2 2 2 3 2 2" xfId="30294" xr:uid="{00000000-0005-0000-0000-00004C570000}"/>
    <cellStyle name="Comma 3 5 2 2 2 3 3" xfId="22055" xr:uid="{00000000-0005-0000-0000-00004D570000}"/>
    <cellStyle name="Comma 3 5 2 2 2 4" xfId="9801" xr:uid="{00000000-0005-0000-0000-00004E570000}"/>
    <cellStyle name="Comma 3 5 2 2 2 5" xfId="22057" xr:uid="{00000000-0005-0000-0000-00004F570000}"/>
    <cellStyle name="Comma 3 5 2 2 3" xfId="5713" xr:uid="{00000000-0005-0000-0000-000050570000}"/>
    <cellStyle name="Comma 3 5 2 2 3 2" xfId="5714" xr:uid="{00000000-0005-0000-0000-000051570000}"/>
    <cellStyle name="Comma 3 5 2 2 3 2 2" xfId="13143" xr:uid="{00000000-0005-0000-0000-000052570000}"/>
    <cellStyle name="Comma 3 5 2 2 3 2 3" xfId="22053" xr:uid="{00000000-0005-0000-0000-000053570000}"/>
    <cellStyle name="Comma 3 5 2 2 3 3" xfId="12275" xr:uid="{00000000-0005-0000-0000-000054570000}"/>
    <cellStyle name="Comma 3 5 2 2 3 3 2" xfId="25987" xr:uid="{00000000-0005-0000-0000-000055570000}"/>
    <cellStyle name="Comma 3 5 2 2 3 4" xfId="22054" xr:uid="{00000000-0005-0000-0000-000056570000}"/>
    <cellStyle name="Comma 3 5 2 2 4" xfId="5715" xr:uid="{00000000-0005-0000-0000-000057570000}"/>
    <cellStyle name="Comma 3 5 2 2 4 2" xfId="5716" xr:uid="{00000000-0005-0000-0000-000058570000}"/>
    <cellStyle name="Comma 3 5 2 2 4 2 2" xfId="15612" xr:uid="{00000000-0005-0000-0000-000059570000}"/>
    <cellStyle name="Comma 3 5 2 2 4 2 3" xfId="22051" xr:uid="{00000000-0005-0000-0000-00005A570000}"/>
    <cellStyle name="Comma 3 5 2 2 4 3" xfId="13839" xr:uid="{00000000-0005-0000-0000-00005B570000}"/>
    <cellStyle name="Comma 3 5 2 2 4 3 2" xfId="27388" xr:uid="{00000000-0005-0000-0000-00005C570000}"/>
    <cellStyle name="Comma 3 5 2 2 4 4" xfId="22052" xr:uid="{00000000-0005-0000-0000-00005D570000}"/>
    <cellStyle name="Comma 3 5 2 2 5" xfId="5717" xr:uid="{00000000-0005-0000-0000-00005E570000}"/>
    <cellStyle name="Comma 3 5 2 2 5 2" xfId="14420" xr:uid="{00000000-0005-0000-0000-00005F570000}"/>
    <cellStyle name="Comma 3 5 2 2 5 2 2" xfId="27969" xr:uid="{00000000-0005-0000-0000-000060570000}"/>
    <cellStyle name="Comma 3 5 2 2 5 3" xfId="22050" xr:uid="{00000000-0005-0000-0000-000061570000}"/>
    <cellStyle name="Comma 3 5 2 2 6" xfId="5718" xr:uid="{00000000-0005-0000-0000-000062570000}"/>
    <cellStyle name="Comma 3 5 2 2 6 2" xfId="16306" xr:uid="{00000000-0005-0000-0000-000063570000}"/>
    <cellStyle name="Comma 3 5 2 2 6 2 2" xfId="29713" xr:uid="{00000000-0005-0000-0000-000064570000}"/>
    <cellStyle name="Comma 3 5 2 2 6 3" xfId="22049" xr:uid="{00000000-0005-0000-0000-000065570000}"/>
    <cellStyle name="Comma 3 5 2 2 7" xfId="9800" xr:uid="{00000000-0005-0000-0000-000066570000}"/>
    <cellStyle name="Comma 3 5 2 2 8" xfId="22058" xr:uid="{00000000-0005-0000-0000-000067570000}"/>
    <cellStyle name="Comma 3 5 2 3" xfId="5719" xr:uid="{00000000-0005-0000-0000-000068570000}"/>
    <cellStyle name="Comma 3 5 2 3 2" xfId="5720" xr:uid="{00000000-0005-0000-0000-000069570000}"/>
    <cellStyle name="Comma 3 5 2 3 2 2" xfId="11344" xr:uid="{00000000-0005-0000-0000-00006A570000}"/>
    <cellStyle name="Comma 3 5 2 3 2 3" xfId="22047" xr:uid="{00000000-0005-0000-0000-00006B570000}"/>
    <cellStyle name="Comma 3 5 2 3 3" xfId="5721" xr:uid="{00000000-0005-0000-0000-00006C570000}"/>
    <cellStyle name="Comma 3 5 2 3 3 2" xfId="16598" xr:uid="{00000000-0005-0000-0000-00006D570000}"/>
    <cellStyle name="Comma 3 5 2 3 3 2 2" xfId="30005" xr:uid="{00000000-0005-0000-0000-00006E570000}"/>
    <cellStyle name="Comma 3 5 2 3 3 3" xfId="22046" xr:uid="{00000000-0005-0000-0000-00006F570000}"/>
    <cellStyle name="Comma 3 5 2 3 4" xfId="9802" xr:uid="{00000000-0005-0000-0000-000070570000}"/>
    <cellStyle name="Comma 3 5 2 3 5" xfId="22048" xr:uid="{00000000-0005-0000-0000-000071570000}"/>
    <cellStyle name="Comma 3 5 2 4" xfId="5722" xr:uid="{00000000-0005-0000-0000-000072570000}"/>
    <cellStyle name="Comma 3 5 2 4 2" xfId="5723" xr:uid="{00000000-0005-0000-0000-000073570000}"/>
    <cellStyle name="Comma 3 5 2 4 2 2" xfId="13144" xr:uid="{00000000-0005-0000-0000-000074570000}"/>
    <cellStyle name="Comma 3 5 2 4 2 3" xfId="22044" xr:uid="{00000000-0005-0000-0000-000075570000}"/>
    <cellStyle name="Comma 3 5 2 4 3" xfId="11975" xr:uid="{00000000-0005-0000-0000-000076570000}"/>
    <cellStyle name="Comma 3 5 2 4 3 2" xfId="25690" xr:uid="{00000000-0005-0000-0000-000077570000}"/>
    <cellStyle name="Comma 3 5 2 4 4" xfId="22045" xr:uid="{00000000-0005-0000-0000-000078570000}"/>
    <cellStyle name="Comma 3 5 2 5" xfId="5724" xr:uid="{00000000-0005-0000-0000-000079570000}"/>
    <cellStyle name="Comma 3 5 2 5 2" xfId="5725" xr:uid="{00000000-0005-0000-0000-00007A570000}"/>
    <cellStyle name="Comma 3 5 2 5 2 2" xfId="15613" xr:uid="{00000000-0005-0000-0000-00007B570000}"/>
    <cellStyle name="Comma 3 5 2 5 2 3" xfId="22042" xr:uid="{00000000-0005-0000-0000-00007C570000}"/>
    <cellStyle name="Comma 3 5 2 5 3" xfId="13550" xr:uid="{00000000-0005-0000-0000-00007D570000}"/>
    <cellStyle name="Comma 3 5 2 5 3 2" xfId="27099" xr:uid="{00000000-0005-0000-0000-00007E570000}"/>
    <cellStyle name="Comma 3 5 2 5 4" xfId="22043" xr:uid="{00000000-0005-0000-0000-00007F570000}"/>
    <cellStyle name="Comma 3 5 2 6" xfId="5726" xr:uid="{00000000-0005-0000-0000-000080570000}"/>
    <cellStyle name="Comma 3 5 2 6 2" xfId="14131" xr:uid="{00000000-0005-0000-0000-000081570000}"/>
    <cellStyle name="Comma 3 5 2 6 2 2" xfId="27680" xr:uid="{00000000-0005-0000-0000-000082570000}"/>
    <cellStyle name="Comma 3 5 2 6 3" xfId="22041" xr:uid="{00000000-0005-0000-0000-000083570000}"/>
    <cellStyle name="Comma 3 5 2 7" xfId="5727" xr:uid="{00000000-0005-0000-0000-000084570000}"/>
    <cellStyle name="Comma 3 5 2 7 2" xfId="16017" xr:uid="{00000000-0005-0000-0000-000085570000}"/>
    <cellStyle name="Comma 3 5 2 7 2 2" xfId="29424" xr:uid="{00000000-0005-0000-0000-000086570000}"/>
    <cellStyle name="Comma 3 5 2 7 3" xfId="22040" xr:uid="{00000000-0005-0000-0000-000087570000}"/>
    <cellStyle name="Comma 3 5 2 8" xfId="9799" xr:uid="{00000000-0005-0000-0000-000088570000}"/>
    <cellStyle name="Comma 3 5 2 9" xfId="22059" xr:uid="{00000000-0005-0000-0000-000089570000}"/>
    <cellStyle name="Comma 3 5 3" xfId="5728" xr:uid="{00000000-0005-0000-0000-00008A570000}"/>
    <cellStyle name="Comma 3 5 3 2" xfId="5729" xr:uid="{00000000-0005-0000-0000-00008B570000}"/>
    <cellStyle name="Comma 3 5 3 2 2" xfId="5730" xr:uid="{00000000-0005-0000-0000-00008C570000}"/>
    <cellStyle name="Comma 3 5 3 2 2 2" xfId="11345" xr:uid="{00000000-0005-0000-0000-00008D570000}"/>
    <cellStyle name="Comma 3 5 3 2 2 3" xfId="22037" xr:uid="{00000000-0005-0000-0000-00008E570000}"/>
    <cellStyle name="Comma 3 5 3 2 3" xfId="5731" xr:uid="{00000000-0005-0000-0000-00008F570000}"/>
    <cellStyle name="Comma 3 5 3 2 3 2" xfId="16747" xr:uid="{00000000-0005-0000-0000-000090570000}"/>
    <cellStyle name="Comma 3 5 3 2 3 2 2" xfId="30154" xr:uid="{00000000-0005-0000-0000-000091570000}"/>
    <cellStyle name="Comma 3 5 3 2 3 3" xfId="22036" xr:uid="{00000000-0005-0000-0000-000092570000}"/>
    <cellStyle name="Comma 3 5 3 2 4" xfId="9804" xr:uid="{00000000-0005-0000-0000-000093570000}"/>
    <cellStyle name="Comma 3 5 3 2 5" xfId="22038" xr:uid="{00000000-0005-0000-0000-000094570000}"/>
    <cellStyle name="Comma 3 5 3 3" xfId="5732" xr:uid="{00000000-0005-0000-0000-000095570000}"/>
    <cellStyle name="Comma 3 5 3 3 2" xfId="5733" xr:uid="{00000000-0005-0000-0000-000096570000}"/>
    <cellStyle name="Comma 3 5 3 3 2 2" xfId="13145" xr:uid="{00000000-0005-0000-0000-000097570000}"/>
    <cellStyle name="Comma 3 5 3 3 2 3" xfId="22034" xr:uid="{00000000-0005-0000-0000-000098570000}"/>
    <cellStyle name="Comma 3 5 3 3 3" xfId="12135" xr:uid="{00000000-0005-0000-0000-000099570000}"/>
    <cellStyle name="Comma 3 5 3 3 3 2" xfId="25847" xr:uid="{00000000-0005-0000-0000-00009A570000}"/>
    <cellStyle name="Comma 3 5 3 3 4" xfId="22035" xr:uid="{00000000-0005-0000-0000-00009B570000}"/>
    <cellStyle name="Comma 3 5 3 4" xfId="5734" xr:uid="{00000000-0005-0000-0000-00009C570000}"/>
    <cellStyle name="Comma 3 5 3 4 2" xfId="5735" xr:uid="{00000000-0005-0000-0000-00009D570000}"/>
    <cellStyle name="Comma 3 5 3 4 2 2" xfId="15614" xr:uid="{00000000-0005-0000-0000-00009E570000}"/>
    <cellStyle name="Comma 3 5 3 4 2 3" xfId="22032" xr:uid="{00000000-0005-0000-0000-00009F570000}"/>
    <cellStyle name="Comma 3 5 3 4 3" xfId="13699" xr:uid="{00000000-0005-0000-0000-0000A0570000}"/>
    <cellStyle name="Comma 3 5 3 4 3 2" xfId="27248" xr:uid="{00000000-0005-0000-0000-0000A1570000}"/>
    <cellStyle name="Comma 3 5 3 4 4" xfId="22033" xr:uid="{00000000-0005-0000-0000-0000A2570000}"/>
    <cellStyle name="Comma 3 5 3 5" xfId="5736" xr:uid="{00000000-0005-0000-0000-0000A3570000}"/>
    <cellStyle name="Comma 3 5 3 5 2" xfId="14280" xr:uid="{00000000-0005-0000-0000-0000A4570000}"/>
    <cellStyle name="Comma 3 5 3 5 2 2" xfId="27829" xr:uid="{00000000-0005-0000-0000-0000A5570000}"/>
    <cellStyle name="Comma 3 5 3 5 3" xfId="22031" xr:uid="{00000000-0005-0000-0000-0000A6570000}"/>
    <cellStyle name="Comma 3 5 3 6" xfId="5737" xr:uid="{00000000-0005-0000-0000-0000A7570000}"/>
    <cellStyle name="Comma 3 5 3 6 2" xfId="16166" xr:uid="{00000000-0005-0000-0000-0000A8570000}"/>
    <cellStyle name="Comma 3 5 3 6 2 2" xfId="29573" xr:uid="{00000000-0005-0000-0000-0000A9570000}"/>
    <cellStyle name="Comma 3 5 3 6 3" xfId="22030" xr:uid="{00000000-0005-0000-0000-0000AA570000}"/>
    <cellStyle name="Comma 3 5 3 7" xfId="9803" xr:uid="{00000000-0005-0000-0000-0000AB570000}"/>
    <cellStyle name="Comma 3 5 3 8" xfId="22039" xr:uid="{00000000-0005-0000-0000-0000AC570000}"/>
    <cellStyle name="Comma 3 5 4" xfId="5738" xr:uid="{00000000-0005-0000-0000-0000AD570000}"/>
    <cellStyle name="Comma 3 5 4 2" xfId="5739" xr:uid="{00000000-0005-0000-0000-0000AE570000}"/>
    <cellStyle name="Comma 3 5 4 2 2" xfId="16455" xr:uid="{00000000-0005-0000-0000-0000AF570000}"/>
    <cellStyle name="Comma 3 5 4 2 2 2" xfId="29862" xr:uid="{00000000-0005-0000-0000-0000B0570000}"/>
    <cellStyle name="Comma 3 5 4 2 3" xfId="22028" xr:uid="{00000000-0005-0000-0000-0000B1570000}"/>
    <cellStyle name="Comma 3 5 4 3" xfId="9805" xr:uid="{00000000-0005-0000-0000-0000B2570000}"/>
    <cellStyle name="Comma 3 5 4 4" xfId="22029" xr:uid="{00000000-0005-0000-0000-0000B3570000}"/>
    <cellStyle name="Comma 3 5 5" xfId="5740" xr:uid="{00000000-0005-0000-0000-0000B4570000}"/>
    <cellStyle name="Comma 3 5 5 2" xfId="5741" xr:uid="{00000000-0005-0000-0000-0000B5570000}"/>
    <cellStyle name="Comma 3 5 5 2 2" xfId="11346" xr:uid="{00000000-0005-0000-0000-0000B6570000}"/>
    <cellStyle name="Comma 3 5 5 2 3" xfId="22026" xr:uid="{00000000-0005-0000-0000-0000B7570000}"/>
    <cellStyle name="Comma 3 5 5 3" xfId="9806" xr:uid="{00000000-0005-0000-0000-0000B8570000}"/>
    <cellStyle name="Comma 3 5 5 4" xfId="22027" xr:uid="{00000000-0005-0000-0000-0000B9570000}"/>
    <cellStyle name="Comma 3 5 6" xfId="5742" xr:uid="{00000000-0005-0000-0000-0000BA570000}"/>
    <cellStyle name="Comma 3 5 6 2" xfId="5743" xr:uid="{00000000-0005-0000-0000-0000BB570000}"/>
    <cellStyle name="Comma 3 5 6 2 2" xfId="13146" xr:uid="{00000000-0005-0000-0000-0000BC570000}"/>
    <cellStyle name="Comma 3 5 6 2 3" xfId="22024" xr:uid="{00000000-0005-0000-0000-0000BD570000}"/>
    <cellStyle name="Comma 3 5 6 3" xfId="11806" xr:uid="{00000000-0005-0000-0000-0000BE570000}"/>
    <cellStyle name="Comma 3 5 6 3 2" xfId="25521" xr:uid="{00000000-0005-0000-0000-0000BF570000}"/>
    <cellStyle name="Comma 3 5 6 4" xfId="22025" xr:uid="{00000000-0005-0000-0000-0000C0570000}"/>
    <cellStyle name="Comma 3 5 7" xfId="5744" xr:uid="{00000000-0005-0000-0000-0000C1570000}"/>
    <cellStyle name="Comma 3 5 7 2" xfId="5745" xr:uid="{00000000-0005-0000-0000-0000C2570000}"/>
    <cellStyle name="Comma 3 5 7 2 2" xfId="15615" xr:uid="{00000000-0005-0000-0000-0000C3570000}"/>
    <cellStyle name="Comma 3 5 7 2 3" xfId="22022" xr:uid="{00000000-0005-0000-0000-0000C4570000}"/>
    <cellStyle name="Comma 3 5 7 3" xfId="13407" xr:uid="{00000000-0005-0000-0000-0000C5570000}"/>
    <cellStyle name="Comma 3 5 7 3 2" xfId="26956" xr:uid="{00000000-0005-0000-0000-0000C6570000}"/>
    <cellStyle name="Comma 3 5 7 4" xfId="22023" xr:uid="{00000000-0005-0000-0000-0000C7570000}"/>
    <cellStyle name="Comma 3 5 8" xfId="5746" xr:uid="{00000000-0005-0000-0000-0000C8570000}"/>
    <cellStyle name="Comma 3 5 8 2" xfId="13988" xr:uid="{00000000-0005-0000-0000-0000C9570000}"/>
    <cellStyle name="Comma 3 5 8 2 2" xfId="27537" xr:uid="{00000000-0005-0000-0000-0000CA570000}"/>
    <cellStyle name="Comma 3 5 8 3" xfId="22021" xr:uid="{00000000-0005-0000-0000-0000CB570000}"/>
    <cellStyle name="Comma 3 5 9" xfId="5747" xr:uid="{00000000-0005-0000-0000-0000CC570000}"/>
    <cellStyle name="Comma 3 5 9 2" xfId="15874" xr:uid="{00000000-0005-0000-0000-0000CD570000}"/>
    <cellStyle name="Comma 3 5 9 2 2" xfId="29281" xr:uid="{00000000-0005-0000-0000-0000CE570000}"/>
    <cellStyle name="Comma 3 5 9 3" xfId="22020" xr:uid="{00000000-0005-0000-0000-0000CF570000}"/>
    <cellStyle name="Comma 3 6" xfId="5748" xr:uid="{00000000-0005-0000-0000-0000D0570000}"/>
    <cellStyle name="Comma 3 6 10" xfId="9807" xr:uid="{00000000-0005-0000-0000-0000D1570000}"/>
    <cellStyle name="Comma 3 6 11" xfId="22019" xr:uid="{00000000-0005-0000-0000-0000D2570000}"/>
    <cellStyle name="Comma 3 6 2" xfId="5749" xr:uid="{00000000-0005-0000-0000-0000D3570000}"/>
    <cellStyle name="Comma 3 6 2 2" xfId="5750" xr:uid="{00000000-0005-0000-0000-0000D4570000}"/>
    <cellStyle name="Comma 3 6 2 2 2" xfId="5751" xr:uid="{00000000-0005-0000-0000-0000D5570000}"/>
    <cellStyle name="Comma 3 6 2 2 2 2" xfId="5752" xr:uid="{00000000-0005-0000-0000-0000D6570000}"/>
    <cellStyle name="Comma 3 6 2 2 2 2 2" xfId="11347" xr:uid="{00000000-0005-0000-0000-0000D7570000}"/>
    <cellStyle name="Comma 3 6 2 2 2 2 3" xfId="22015" xr:uid="{00000000-0005-0000-0000-0000D8570000}"/>
    <cellStyle name="Comma 3 6 2 2 2 3" xfId="5753" xr:uid="{00000000-0005-0000-0000-0000D9570000}"/>
    <cellStyle name="Comma 3 6 2 2 2 3 2" xfId="16993" xr:uid="{00000000-0005-0000-0000-0000DA570000}"/>
    <cellStyle name="Comma 3 6 2 2 2 3 2 2" xfId="30400" xr:uid="{00000000-0005-0000-0000-0000DB570000}"/>
    <cellStyle name="Comma 3 6 2 2 2 3 3" xfId="22014" xr:uid="{00000000-0005-0000-0000-0000DC570000}"/>
    <cellStyle name="Comma 3 6 2 2 2 4" xfId="9810" xr:uid="{00000000-0005-0000-0000-0000DD570000}"/>
    <cellStyle name="Comma 3 6 2 2 2 5" xfId="22016" xr:uid="{00000000-0005-0000-0000-0000DE570000}"/>
    <cellStyle name="Comma 3 6 2 2 3" xfId="5754" xr:uid="{00000000-0005-0000-0000-0000DF570000}"/>
    <cellStyle name="Comma 3 6 2 2 3 2" xfId="5755" xr:uid="{00000000-0005-0000-0000-0000E0570000}"/>
    <cellStyle name="Comma 3 6 2 2 3 2 2" xfId="13147" xr:uid="{00000000-0005-0000-0000-0000E1570000}"/>
    <cellStyle name="Comma 3 6 2 2 3 2 3" xfId="22012" xr:uid="{00000000-0005-0000-0000-0000E2570000}"/>
    <cellStyle name="Comma 3 6 2 2 3 3" xfId="12381" xr:uid="{00000000-0005-0000-0000-0000E3570000}"/>
    <cellStyle name="Comma 3 6 2 2 3 3 2" xfId="26093" xr:uid="{00000000-0005-0000-0000-0000E4570000}"/>
    <cellStyle name="Comma 3 6 2 2 3 4" xfId="22013" xr:uid="{00000000-0005-0000-0000-0000E5570000}"/>
    <cellStyle name="Comma 3 6 2 2 4" xfId="5756" xr:uid="{00000000-0005-0000-0000-0000E6570000}"/>
    <cellStyle name="Comma 3 6 2 2 4 2" xfId="5757" xr:uid="{00000000-0005-0000-0000-0000E7570000}"/>
    <cellStyle name="Comma 3 6 2 2 4 2 2" xfId="15616" xr:uid="{00000000-0005-0000-0000-0000E8570000}"/>
    <cellStyle name="Comma 3 6 2 2 4 2 3" xfId="22010" xr:uid="{00000000-0005-0000-0000-0000E9570000}"/>
    <cellStyle name="Comma 3 6 2 2 4 3" xfId="13945" xr:uid="{00000000-0005-0000-0000-0000EA570000}"/>
    <cellStyle name="Comma 3 6 2 2 4 3 2" xfId="27494" xr:uid="{00000000-0005-0000-0000-0000EB570000}"/>
    <cellStyle name="Comma 3 6 2 2 4 4" xfId="22011" xr:uid="{00000000-0005-0000-0000-0000EC570000}"/>
    <cellStyle name="Comma 3 6 2 2 5" xfId="5758" xr:uid="{00000000-0005-0000-0000-0000ED570000}"/>
    <cellStyle name="Comma 3 6 2 2 5 2" xfId="14526" xr:uid="{00000000-0005-0000-0000-0000EE570000}"/>
    <cellStyle name="Comma 3 6 2 2 5 2 2" xfId="28075" xr:uid="{00000000-0005-0000-0000-0000EF570000}"/>
    <cellStyle name="Comma 3 6 2 2 5 3" xfId="22009" xr:uid="{00000000-0005-0000-0000-0000F0570000}"/>
    <cellStyle name="Comma 3 6 2 2 6" xfId="5759" xr:uid="{00000000-0005-0000-0000-0000F1570000}"/>
    <cellStyle name="Comma 3 6 2 2 6 2" xfId="16412" xr:uid="{00000000-0005-0000-0000-0000F2570000}"/>
    <cellStyle name="Comma 3 6 2 2 6 2 2" xfId="29819" xr:uid="{00000000-0005-0000-0000-0000F3570000}"/>
    <cellStyle name="Comma 3 6 2 2 6 3" xfId="22008" xr:uid="{00000000-0005-0000-0000-0000F4570000}"/>
    <cellStyle name="Comma 3 6 2 2 7" xfId="9809" xr:uid="{00000000-0005-0000-0000-0000F5570000}"/>
    <cellStyle name="Comma 3 6 2 2 8" xfId="22017" xr:uid="{00000000-0005-0000-0000-0000F6570000}"/>
    <cellStyle name="Comma 3 6 2 3" xfId="5760" xr:uid="{00000000-0005-0000-0000-0000F7570000}"/>
    <cellStyle name="Comma 3 6 2 3 2" xfId="5761" xr:uid="{00000000-0005-0000-0000-0000F8570000}"/>
    <cellStyle name="Comma 3 6 2 3 2 2" xfId="11348" xr:uid="{00000000-0005-0000-0000-0000F9570000}"/>
    <cellStyle name="Comma 3 6 2 3 2 3" xfId="22006" xr:uid="{00000000-0005-0000-0000-0000FA570000}"/>
    <cellStyle name="Comma 3 6 2 3 3" xfId="5762" xr:uid="{00000000-0005-0000-0000-0000FB570000}"/>
    <cellStyle name="Comma 3 6 2 3 3 2" xfId="16704" xr:uid="{00000000-0005-0000-0000-0000FC570000}"/>
    <cellStyle name="Comma 3 6 2 3 3 2 2" xfId="30111" xr:uid="{00000000-0005-0000-0000-0000FD570000}"/>
    <cellStyle name="Comma 3 6 2 3 3 3" xfId="22005" xr:uid="{00000000-0005-0000-0000-0000FE570000}"/>
    <cellStyle name="Comma 3 6 2 3 4" xfId="9811" xr:uid="{00000000-0005-0000-0000-0000FF570000}"/>
    <cellStyle name="Comma 3 6 2 3 5" xfId="22007" xr:uid="{00000000-0005-0000-0000-000000580000}"/>
    <cellStyle name="Comma 3 6 2 4" xfId="5763" xr:uid="{00000000-0005-0000-0000-000001580000}"/>
    <cellStyle name="Comma 3 6 2 4 2" xfId="5764" xr:uid="{00000000-0005-0000-0000-000002580000}"/>
    <cellStyle name="Comma 3 6 2 4 2 2" xfId="13148" xr:uid="{00000000-0005-0000-0000-000003580000}"/>
    <cellStyle name="Comma 3 6 2 4 2 3" xfId="22003" xr:uid="{00000000-0005-0000-0000-000004580000}"/>
    <cellStyle name="Comma 3 6 2 4 3" xfId="12081" xr:uid="{00000000-0005-0000-0000-000005580000}"/>
    <cellStyle name="Comma 3 6 2 4 3 2" xfId="25796" xr:uid="{00000000-0005-0000-0000-000006580000}"/>
    <cellStyle name="Comma 3 6 2 4 4" xfId="22004" xr:uid="{00000000-0005-0000-0000-000007580000}"/>
    <cellStyle name="Comma 3 6 2 5" xfId="5765" xr:uid="{00000000-0005-0000-0000-000008580000}"/>
    <cellStyle name="Comma 3 6 2 5 2" xfId="5766" xr:uid="{00000000-0005-0000-0000-000009580000}"/>
    <cellStyle name="Comma 3 6 2 5 2 2" xfId="15617" xr:uid="{00000000-0005-0000-0000-00000A580000}"/>
    <cellStyle name="Comma 3 6 2 5 2 3" xfId="22001" xr:uid="{00000000-0005-0000-0000-00000B580000}"/>
    <cellStyle name="Comma 3 6 2 5 3" xfId="13656" xr:uid="{00000000-0005-0000-0000-00000C580000}"/>
    <cellStyle name="Comma 3 6 2 5 3 2" xfId="27205" xr:uid="{00000000-0005-0000-0000-00000D580000}"/>
    <cellStyle name="Comma 3 6 2 5 4" xfId="22002" xr:uid="{00000000-0005-0000-0000-00000E580000}"/>
    <cellStyle name="Comma 3 6 2 6" xfId="5767" xr:uid="{00000000-0005-0000-0000-00000F580000}"/>
    <cellStyle name="Comma 3 6 2 6 2" xfId="14237" xr:uid="{00000000-0005-0000-0000-000010580000}"/>
    <cellStyle name="Comma 3 6 2 6 2 2" xfId="27786" xr:uid="{00000000-0005-0000-0000-000011580000}"/>
    <cellStyle name="Comma 3 6 2 6 3" xfId="22000" xr:uid="{00000000-0005-0000-0000-000012580000}"/>
    <cellStyle name="Comma 3 6 2 7" xfId="5768" xr:uid="{00000000-0005-0000-0000-000013580000}"/>
    <cellStyle name="Comma 3 6 2 7 2" xfId="16123" xr:uid="{00000000-0005-0000-0000-000014580000}"/>
    <cellStyle name="Comma 3 6 2 7 2 2" xfId="29530" xr:uid="{00000000-0005-0000-0000-000015580000}"/>
    <cellStyle name="Comma 3 6 2 7 3" xfId="21999" xr:uid="{00000000-0005-0000-0000-000016580000}"/>
    <cellStyle name="Comma 3 6 2 8" xfId="9808" xr:uid="{00000000-0005-0000-0000-000017580000}"/>
    <cellStyle name="Comma 3 6 2 9" xfId="22018" xr:uid="{00000000-0005-0000-0000-000018580000}"/>
    <cellStyle name="Comma 3 6 3" xfId="5769" xr:uid="{00000000-0005-0000-0000-000019580000}"/>
    <cellStyle name="Comma 3 6 3 2" xfId="5770" xr:uid="{00000000-0005-0000-0000-00001A580000}"/>
    <cellStyle name="Comma 3 6 3 2 2" xfId="5771" xr:uid="{00000000-0005-0000-0000-00001B580000}"/>
    <cellStyle name="Comma 3 6 3 2 2 2" xfId="11349" xr:uid="{00000000-0005-0000-0000-00001C580000}"/>
    <cellStyle name="Comma 3 6 3 2 2 3" xfId="21996" xr:uid="{00000000-0005-0000-0000-00001D580000}"/>
    <cellStyle name="Comma 3 6 3 2 3" xfId="5772" xr:uid="{00000000-0005-0000-0000-00001E580000}"/>
    <cellStyle name="Comma 3 6 3 2 3 2" xfId="16850" xr:uid="{00000000-0005-0000-0000-00001F580000}"/>
    <cellStyle name="Comma 3 6 3 2 3 2 2" xfId="30257" xr:uid="{00000000-0005-0000-0000-000020580000}"/>
    <cellStyle name="Comma 3 6 3 2 3 3" xfId="21995" xr:uid="{00000000-0005-0000-0000-000021580000}"/>
    <cellStyle name="Comma 3 6 3 2 4" xfId="9813" xr:uid="{00000000-0005-0000-0000-000022580000}"/>
    <cellStyle name="Comma 3 6 3 2 5" xfId="21997" xr:uid="{00000000-0005-0000-0000-000023580000}"/>
    <cellStyle name="Comma 3 6 3 3" xfId="5773" xr:uid="{00000000-0005-0000-0000-000024580000}"/>
    <cellStyle name="Comma 3 6 3 3 2" xfId="5774" xr:uid="{00000000-0005-0000-0000-000025580000}"/>
    <cellStyle name="Comma 3 6 3 3 2 2" xfId="13149" xr:uid="{00000000-0005-0000-0000-000026580000}"/>
    <cellStyle name="Comma 3 6 3 3 2 3" xfId="21993" xr:uid="{00000000-0005-0000-0000-000027580000}"/>
    <cellStyle name="Comma 3 6 3 3 3" xfId="12238" xr:uid="{00000000-0005-0000-0000-000028580000}"/>
    <cellStyle name="Comma 3 6 3 3 3 2" xfId="25950" xr:uid="{00000000-0005-0000-0000-000029580000}"/>
    <cellStyle name="Comma 3 6 3 3 4" xfId="21994" xr:uid="{00000000-0005-0000-0000-00002A580000}"/>
    <cellStyle name="Comma 3 6 3 4" xfId="5775" xr:uid="{00000000-0005-0000-0000-00002B580000}"/>
    <cellStyle name="Comma 3 6 3 4 2" xfId="5776" xr:uid="{00000000-0005-0000-0000-00002C580000}"/>
    <cellStyle name="Comma 3 6 3 4 2 2" xfId="15618" xr:uid="{00000000-0005-0000-0000-00002D580000}"/>
    <cellStyle name="Comma 3 6 3 4 2 3" xfId="21991" xr:uid="{00000000-0005-0000-0000-00002E580000}"/>
    <cellStyle name="Comma 3 6 3 4 3" xfId="13802" xr:uid="{00000000-0005-0000-0000-00002F580000}"/>
    <cellStyle name="Comma 3 6 3 4 3 2" xfId="27351" xr:uid="{00000000-0005-0000-0000-000030580000}"/>
    <cellStyle name="Comma 3 6 3 4 4" xfId="21992" xr:uid="{00000000-0005-0000-0000-000031580000}"/>
    <cellStyle name="Comma 3 6 3 5" xfId="5777" xr:uid="{00000000-0005-0000-0000-000032580000}"/>
    <cellStyle name="Comma 3 6 3 5 2" xfId="14383" xr:uid="{00000000-0005-0000-0000-000033580000}"/>
    <cellStyle name="Comma 3 6 3 5 2 2" xfId="27932" xr:uid="{00000000-0005-0000-0000-000034580000}"/>
    <cellStyle name="Comma 3 6 3 5 3" xfId="21990" xr:uid="{00000000-0005-0000-0000-000035580000}"/>
    <cellStyle name="Comma 3 6 3 6" xfId="5778" xr:uid="{00000000-0005-0000-0000-000036580000}"/>
    <cellStyle name="Comma 3 6 3 6 2" xfId="16269" xr:uid="{00000000-0005-0000-0000-000037580000}"/>
    <cellStyle name="Comma 3 6 3 6 2 2" xfId="29676" xr:uid="{00000000-0005-0000-0000-000038580000}"/>
    <cellStyle name="Comma 3 6 3 6 3" xfId="21989" xr:uid="{00000000-0005-0000-0000-000039580000}"/>
    <cellStyle name="Comma 3 6 3 7" xfId="9812" xr:uid="{00000000-0005-0000-0000-00003A580000}"/>
    <cellStyle name="Comma 3 6 3 8" xfId="21998" xr:uid="{00000000-0005-0000-0000-00003B580000}"/>
    <cellStyle name="Comma 3 6 4" xfId="5779" xr:uid="{00000000-0005-0000-0000-00003C580000}"/>
    <cellStyle name="Comma 3 6 4 2" xfId="5780" xr:uid="{00000000-0005-0000-0000-00003D580000}"/>
    <cellStyle name="Comma 3 6 4 2 2" xfId="16561" xr:uid="{00000000-0005-0000-0000-00003E580000}"/>
    <cellStyle name="Comma 3 6 4 2 2 2" xfId="29968" xr:uid="{00000000-0005-0000-0000-00003F580000}"/>
    <cellStyle name="Comma 3 6 4 2 3" xfId="21987" xr:uid="{00000000-0005-0000-0000-000040580000}"/>
    <cellStyle name="Comma 3 6 4 3" xfId="9814" xr:uid="{00000000-0005-0000-0000-000041580000}"/>
    <cellStyle name="Comma 3 6 4 4" xfId="21988" xr:uid="{00000000-0005-0000-0000-000042580000}"/>
    <cellStyle name="Comma 3 6 5" xfId="5781" xr:uid="{00000000-0005-0000-0000-000043580000}"/>
    <cellStyle name="Comma 3 6 5 2" xfId="5782" xr:uid="{00000000-0005-0000-0000-000044580000}"/>
    <cellStyle name="Comma 3 6 5 2 2" xfId="11350" xr:uid="{00000000-0005-0000-0000-000045580000}"/>
    <cellStyle name="Comma 3 6 5 2 3" xfId="21985" xr:uid="{00000000-0005-0000-0000-000046580000}"/>
    <cellStyle name="Comma 3 6 5 3" xfId="9815" xr:uid="{00000000-0005-0000-0000-000047580000}"/>
    <cellStyle name="Comma 3 6 5 4" xfId="21986" xr:uid="{00000000-0005-0000-0000-000048580000}"/>
    <cellStyle name="Comma 3 6 6" xfId="5783" xr:uid="{00000000-0005-0000-0000-000049580000}"/>
    <cellStyle name="Comma 3 6 6 2" xfId="5784" xr:uid="{00000000-0005-0000-0000-00004A580000}"/>
    <cellStyle name="Comma 3 6 6 2 2" xfId="13150" xr:uid="{00000000-0005-0000-0000-00004B580000}"/>
    <cellStyle name="Comma 3 6 6 2 3" xfId="21983" xr:uid="{00000000-0005-0000-0000-00004C580000}"/>
    <cellStyle name="Comma 3 6 6 3" xfId="11936" xr:uid="{00000000-0005-0000-0000-00004D580000}"/>
    <cellStyle name="Comma 3 6 6 3 2" xfId="25651" xr:uid="{00000000-0005-0000-0000-00004E580000}"/>
    <cellStyle name="Comma 3 6 6 4" xfId="21984" xr:uid="{00000000-0005-0000-0000-00004F580000}"/>
    <cellStyle name="Comma 3 6 7" xfId="5785" xr:uid="{00000000-0005-0000-0000-000050580000}"/>
    <cellStyle name="Comma 3 6 7 2" xfId="5786" xr:uid="{00000000-0005-0000-0000-000051580000}"/>
    <cellStyle name="Comma 3 6 7 2 2" xfId="15619" xr:uid="{00000000-0005-0000-0000-000052580000}"/>
    <cellStyle name="Comma 3 6 7 2 3" xfId="21981" xr:uid="{00000000-0005-0000-0000-000053580000}"/>
    <cellStyle name="Comma 3 6 7 3" xfId="13513" xr:uid="{00000000-0005-0000-0000-000054580000}"/>
    <cellStyle name="Comma 3 6 7 3 2" xfId="27062" xr:uid="{00000000-0005-0000-0000-000055580000}"/>
    <cellStyle name="Comma 3 6 7 4" xfId="21982" xr:uid="{00000000-0005-0000-0000-000056580000}"/>
    <cellStyle name="Comma 3 6 8" xfId="5787" xr:uid="{00000000-0005-0000-0000-000057580000}"/>
    <cellStyle name="Comma 3 6 8 2" xfId="14094" xr:uid="{00000000-0005-0000-0000-000058580000}"/>
    <cellStyle name="Comma 3 6 8 2 2" xfId="27643" xr:uid="{00000000-0005-0000-0000-000059580000}"/>
    <cellStyle name="Comma 3 6 8 3" xfId="21980" xr:uid="{00000000-0005-0000-0000-00005A580000}"/>
    <cellStyle name="Comma 3 6 9" xfId="5788" xr:uid="{00000000-0005-0000-0000-00005B580000}"/>
    <cellStyle name="Comma 3 6 9 2" xfId="15980" xr:uid="{00000000-0005-0000-0000-00005C580000}"/>
    <cellStyle name="Comma 3 6 9 2 2" xfId="29387" xr:uid="{00000000-0005-0000-0000-00005D580000}"/>
    <cellStyle name="Comma 3 6 9 3" xfId="21979" xr:uid="{00000000-0005-0000-0000-00005E580000}"/>
    <cellStyle name="Comma 3 7" xfId="5789" xr:uid="{00000000-0005-0000-0000-00005F580000}"/>
    <cellStyle name="Comma 3 7 2" xfId="5790" xr:uid="{00000000-0005-0000-0000-000060580000}"/>
    <cellStyle name="Comma 3 7 2 2" xfId="5791" xr:uid="{00000000-0005-0000-0000-000061580000}"/>
    <cellStyle name="Comma 3 7 2 2 2" xfId="5792" xr:uid="{00000000-0005-0000-0000-000062580000}"/>
    <cellStyle name="Comma 3 7 2 2 2 2" xfId="11351" xr:uid="{00000000-0005-0000-0000-000063580000}"/>
    <cellStyle name="Comma 3 7 2 2 2 3" xfId="21975" xr:uid="{00000000-0005-0000-0000-000064580000}"/>
    <cellStyle name="Comma 3 7 2 2 3" xfId="5793" xr:uid="{00000000-0005-0000-0000-000065580000}"/>
    <cellStyle name="Comma 3 7 2 2 3 2" xfId="16870" xr:uid="{00000000-0005-0000-0000-000066580000}"/>
    <cellStyle name="Comma 3 7 2 2 3 2 2" xfId="30277" xr:uid="{00000000-0005-0000-0000-000067580000}"/>
    <cellStyle name="Comma 3 7 2 2 3 3" xfId="21974" xr:uid="{00000000-0005-0000-0000-000068580000}"/>
    <cellStyle name="Comma 3 7 2 2 4" xfId="9818" xr:uid="{00000000-0005-0000-0000-000069580000}"/>
    <cellStyle name="Comma 3 7 2 2 5" xfId="21976" xr:uid="{00000000-0005-0000-0000-00006A580000}"/>
    <cellStyle name="Comma 3 7 2 3" xfId="5794" xr:uid="{00000000-0005-0000-0000-00006B580000}"/>
    <cellStyle name="Comma 3 7 2 3 2" xfId="5795" xr:uid="{00000000-0005-0000-0000-00006C580000}"/>
    <cellStyle name="Comma 3 7 2 3 2 2" xfId="13151" xr:uid="{00000000-0005-0000-0000-00006D580000}"/>
    <cellStyle name="Comma 3 7 2 3 2 3" xfId="21972" xr:uid="{00000000-0005-0000-0000-00006E580000}"/>
    <cellStyle name="Comma 3 7 2 3 3" xfId="12258" xr:uid="{00000000-0005-0000-0000-00006F580000}"/>
    <cellStyle name="Comma 3 7 2 3 3 2" xfId="25970" xr:uid="{00000000-0005-0000-0000-000070580000}"/>
    <cellStyle name="Comma 3 7 2 3 4" xfId="21973" xr:uid="{00000000-0005-0000-0000-000071580000}"/>
    <cellStyle name="Comma 3 7 2 4" xfId="5796" xr:uid="{00000000-0005-0000-0000-000072580000}"/>
    <cellStyle name="Comma 3 7 2 4 2" xfId="5797" xr:uid="{00000000-0005-0000-0000-000073580000}"/>
    <cellStyle name="Comma 3 7 2 4 2 2" xfId="15620" xr:uid="{00000000-0005-0000-0000-000074580000}"/>
    <cellStyle name="Comma 3 7 2 4 2 3" xfId="21970" xr:uid="{00000000-0005-0000-0000-000075580000}"/>
    <cellStyle name="Comma 3 7 2 4 3" xfId="13822" xr:uid="{00000000-0005-0000-0000-000076580000}"/>
    <cellStyle name="Comma 3 7 2 4 3 2" xfId="27371" xr:uid="{00000000-0005-0000-0000-000077580000}"/>
    <cellStyle name="Comma 3 7 2 4 4" xfId="21971" xr:uid="{00000000-0005-0000-0000-000078580000}"/>
    <cellStyle name="Comma 3 7 2 5" xfId="5798" xr:uid="{00000000-0005-0000-0000-000079580000}"/>
    <cellStyle name="Comma 3 7 2 5 2" xfId="14403" xr:uid="{00000000-0005-0000-0000-00007A580000}"/>
    <cellStyle name="Comma 3 7 2 5 2 2" xfId="27952" xr:uid="{00000000-0005-0000-0000-00007B580000}"/>
    <cellStyle name="Comma 3 7 2 5 3" xfId="21969" xr:uid="{00000000-0005-0000-0000-00007C580000}"/>
    <cellStyle name="Comma 3 7 2 6" xfId="5799" xr:uid="{00000000-0005-0000-0000-00007D580000}"/>
    <cellStyle name="Comma 3 7 2 6 2" xfId="16289" xr:uid="{00000000-0005-0000-0000-00007E580000}"/>
    <cellStyle name="Comma 3 7 2 6 2 2" xfId="29696" xr:uid="{00000000-0005-0000-0000-00007F580000}"/>
    <cellStyle name="Comma 3 7 2 6 3" xfId="21968" xr:uid="{00000000-0005-0000-0000-000080580000}"/>
    <cellStyle name="Comma 3 7 2 7" xfId="9817" xr:uid="{00000000-0005-0000-0000-000081580000}"/>
    <cellStyle name="Comma 3 7 2 8" xfId="21977" xr:uid="{00000000-0005-0000-0000-000082580000}"/>
    <cellStyle name="Comma 3 7 3" xfId="5800" xr:uid="{00000000-0005-0000-0000-000083580000}"/>
    <cellStyle name="Comma 3 7 3 2" xfId="5801" xr:uid="{00000000-0005-0000-0000-000084580000}"/>
    <cellStyle name="Comma 3 7 3 2 2" xfId="11352" xr:uid="{00000000-0005-0000-0000-000085580000}"/>
    <cellStyle name="Comma 3 7 3 2 3" xfId="21966" xr:uid="{00000000-0005-0000-0000-000086580000}"/>
    <cellStyle name="Comma 3 7 3 3" xfId="5802" xr:uid="{00000000-0005-0000-0000-000087580000}"/>
    <cellStyle name="Comma 3 7 3 3 2" xfId="16581" xr:uid="{00000000-0005-0000-0000-000088580000}"/>
    <cellStyle name="Comma 3 7 3 3 2 2" xfId="29988" xr:uid="{00000000-0005-0000-0000-000089580000}"/>
    <cellStyle name="Comma 3 7 3 3 3" xfId="21965" xr:uid="{00000000-0005-0000-0000-00008A580000}"/>
    <cellStyle name="Comma 3 7 3 4" xfId="9819" xr:uid="{00000000-0005-0000-0000-00008B580000}"/>
    <cellStyle name="Comma 3 7 3 5" xfId="21967" xr:uid="{00000000-0005-0000-0000-00008C580000}"/>
    <cellStyle name="Comma 3 7 4" xfId="5803" xr:uid="{00000000-0005-0000-0000-00008D580000}"/>
    <cellStyle name="Comma 3 7 4 2" xfId="5804" xr:uid="{00000000-0005-0000-0000-00008E580000}"/>
    <cellStyle name="Comma 3 7 4 2 2" xfId="13152" xr:uid="{00000000-0005-0000-0000-00008F580000}"/>
    <cellStyle name="Comma 3 7 4 2 3" xfId="21963" xr:uid="{00000000-0005-0000-0000-000090580000}"/>
    <cellStyle name="Comma 3 7 4 3" xfId="11956" xr:uid="{00000000-0005-0000-0000-000091580000}"/>
    <cellStyle name="Comma 3 7 4 3 2" xfId="25671" xr:uid="{00000000-0005-0000-0000-000092580000}"/>
    <cellStyle name="Comma 3 7 4 4" xfId="21964" xr:uid="{00000000-0005-0000-0000-000093580000}"/>
    <cellStyle name="Comma 3 7 5" xfId="5805" xr:uid="{00000000-0005-0000-0000-000094580000}"/>
    <cellStyle name="Comma 3 7 5 2" xfId="5806" xr:uid="{00000000-0005-0000-0000-000095580000}"/>
    <cellStyle name="Comma 3 7 5 2 2" xfId="15621" xr:uid="{00000000-0005-0000-0000-000096580000}"/>
    <cellStyle name="Comma 3 7 5 2 3" xfId="21961" xr:uid="{00000000-0005-0000-0000-000097580000}"/>
    <cellStyle name="Comma 3 7 5 3" xfId="13533" xr:uid="{00000000-0005-0000-0000-000098580000}"/>
    <cellStyle name="Comma 3 7 5 3 2" xfId="27082" xr:uid="{00000000-0005-0000-0000-000099580000}"/>
    <cellStyle name="Comma 3 7 5 4" xfId="21962" xr:uid="{00000000-0005-0000-0000-00009A580000}"/>
    <cellStyle name="Comma 3 7 6" xfId="5807" xr:uid="{00000000-0005-0000-0000-00009B580000}"/>
    <cellStyle name="Comma 3 7 6 2" xfId="14114" xr:uid="{00000000-0005-0000-0000-00009C580000}"/>
    <cellStyle name="Comma 3 7 6 2 2" xfId="27663" xr:uid="{00000000-0005-0000-0000-00009D580000}"/>
    <cellStyle name="Comma 3 7 6 3" xfId="21960" xr:uid="{00000000-0005-0000-0000-00009E580000}"/>
    <cellStyle name="Comma 3 7 7" xfId="5808" xr:uid="{00000000-0005-0000-0000-00009F580000}"/>
    <cellStyle name="Comma 3 7 7 2" xfId="16000" xr:uid="{00000000-0005-0000-0000-0000A0580000}"/>
    <cellStyle name="Comma 3 7 7 2 2" xfId="29407" xr:uid="{00000000-0005-0000-0000-0000A1580000}"/>
    <cellStyle name="Comma 3 7 7 3" xfId="21959" xr:uid="{00000000-0005-0000-0000-0000A2580000}"/>
    <cellStyle name="Comma 3 7 8" xfId="9816" xr:uid="{00000000-0005-0000-0000-0000A3580000}"/>
    <cellStyle name="Comma 3 7 9" xfId="21978" xr:uid="{00000000-0005-0000-0000-0000A4580000}"/>
    <cellStyle name="Comma 3 8" xfId="5809" xr:uid="{00000000-0005-0000-0000-0000A5580000}"/>
    <cellStyle name="Comma 3 8 2" xfId="5810" xr:uid="{00000000-0005-0000-0000-0000A6580000}"/>
    <cellStyle name="Comma 3 8 2 2" xfId="5811" xr:uid="{00000000-0005-0000-0000-0000A7580000}"/>
    <cellStyle name="Comma 3 8 2 2 2" xfId="11353" xr:uid="{00000000-0005-0000-0000-0000A8580000}"/>
    <cellStyle name="Comma 3 8 2 2 3" xfId="21956" xr:uid="{00000000-0005-0000-0000-0000A9580000}"/>
    <cellStyle name="Comma 3 8 2 3" xfId="5812" xr:uid="{00000000-0005-0000-0000-0000AA580000}"/>
    <cellStyle name="Comma 3 8 2 3 2" xfId="16726" xr:uid="{00000000-0005-0000-0000-0000AB580000}"/>
    <cellStyle name="Comma 3 8 2 3 2 2" xfId="30133" xr:uid="{00000000-0005-0000-0000-0000AC580000}"/>
    <cellStyle name="Comma 3 8 2 3 3" xfId="21955" xr:uid="{00000000-0005-0000-0000-0000AD580000}"/>
    <cellStyle name="Comma 3 8 2 4" xfId="9821" xr:uid="{00000000-0005-0000-0000-0000AE580000}"/>
    <cellStyle name="Comma 3 8 2 5" xfId="21957" xr:uid="{00000000-0005-0000-0000-0000AF580000}"/>
    <cellStyle name="Comma 3 8 3" xfId="5813" xr:uid="{00000000-0005-0000-0000-0000B0580000}"/>
    <cellStyle name="Comma 3 8 3 2" xfId="5814" xr:uid="{00000000-0005-0000-0000-0000B1580000}"/>
    <cellStyle name="Comma 3 8 3 2 2" xfId="13153" xr:uid="{00000000-0005-0000-0000-0000B2580000}"/>
    <cellStyle name="Comma 3 8 3 2 3" xfId="21953" xr:uid="{00000000-0005-0000-0000-0000B3580000}"/>
    <cellStyle name="Comma 3 8 3 3" xfId="12108" xr:uid="{00000000-0005-0000-0000-0000B4580000}"/>
    <cellStyle name="Comma 3 8 3 3 2" xfId="25820" xr:uid="{00000000-0005-0000-0000-0000B5580000}"/>
    <cellStyle name="Comma 3 8 3 4" xfId="21954" xr:uid="{00000000-0005-0000-0000-0000B6580000}"/>
    <cellStyle name="Comma 3 8 4" xfId="5815" xr:uid="{00000000-0005-0000-0000-0000B7580000}"/>
    <cellStyle name="Comma 3 8 4 2" xfId="5816" xr:uid="{00000000-0005-0000-0000-0000B8580000}"/>
    <cellStyle name="Comma 3 8 4 2 2" xfId="15622" xr:uid="{00000000-0005-0000-0000-0000B9580000}"/>
    <cellStyle name="Comma 3 8 4 2 3" xfId="21951" xr:uid="{00000000-0005-0000-0000-0000BA580000}"/>
    <cellStyle name="Comma 3 8 4 3" xfId="13678" xr:uid="{00000000-0005-0000-0000-0000BB580000}"/>
    <cellStyle name="Comma 3 8 4 3 2" xfId="27227" xr:uid="{00000000-0005-0000-0000-0000BC580000}"/>
    <cellStyle name="Comma 3 8 4 4" xfId="21952" xr:uid="{00000000-0005-0000-0000-0000BD580000}"/>
    <cellStyle name="Comma 3 8 5" xfId="5817" xr:uid="{00000000-0005-0000-0000-0000BE580000}"/>
    <cellStyle name="Comma 3 8 5 2" xfId="14259" xr:uid="{00000000-0005-0000-0000-0000BF580000}"/>
    <cellStyle name="Comma 3 8 5 2 2" xfId="27808" xr:uid="{00000000-0005-0000-0000-0000C0580000}"/>
    <cellStyle name="Comma 3 8 5 3" xfId="21950" xr:uid="{00000000-0005-0000-0000-0000C1580000}"/>
    <cellStyle name="Comma 3 8 6" xfId="5818" xr:uid="{00000000-0005-0000-0000-0000C2580000}"/>
    <cellStyle name="Comma 3 8 6 2" xfId="16145" xr:uid="{00000000-0005-0000-0000-0000C3580000}"/>
    <cellStyle name="Comma 3 8 6 2 2" xfId="29552" xr:uid="{00000000-0005-0000-0000-0000C4580000}"/>
    <cellStyle name="Comma 3 8 6 3" xfId="21949" xr:uid="{00000000-0005-0000-0000-0000C5580000}"/>
    <cellStyle name="Comma 3 8 7" xfId="9820" xr:uid="{00000000-0005-0000-0000-0000C6580000}"/>
    <cellStyle name="Comma 3 8 8" xfId="21958" xr:uid="{00000000-0005-0000-0000-0000C7580000}"/>
    <cellStyle name="Comma 3 9" xfId="5819" xr:uid="{00000000-0005-0000-0000-0000C8580000}"/>
    <cellStyle name="Comma 3 9 2" xfId="5820" xr:uid="{00000000-0005-0000-0000-0000C9580000}"/>
    <cellStyle name="Comma 3 9 2 2" xfId="5821" xr:uid="{00000000-0005-0000-0000-0000CA580000}"/>
    <cellStyle name="Comma 3 9 2 2 2" xfId="11354" xr:uid="{00000000-0005-0000-0000-0000CB580000}"/>
    <cellStyle name="Comma 3 9 2 2 3" xfId="21946" xr:uid="{00000000-0005-0000-0000-0000CC580000}"/>
    <cellStyle name="Comma 3 9 2 3" xfId="5822" xr:uid="{00000000-0005-0000-0000-0000CD580000}"/>
    <cellStyle name="Comma 3 9 2 3 2" xfId="16724" xr:uid="{00000000-0005-0000-0000-0000CE580000}"/>
    <cellStyle name="Comma 3 9 2 3 2 2" xfId="30131" xr:uid="{00000000-0005-0000-0000-0000CF580000}"/>
    <cellStyle name="Comma 3 9 2 3 3" xfId="21945" xr:uid="{00000000-0005-0000-0000-0000D0580000}"/>
    <cellStyle name="Comma 3 9 2 4" xfId="9823" xr:uid="{00000000-0005-0000-0000-0000D1580000}"/>
    <cellStyle name="Comma 3 9 2 5" xfId="21947" xr:uid="{00000000-0005-0000-0000-0000D2580000}"/>
    <cellStyle name="Comma 3 9 3" xfId="5823" xr:uid="{00000000-0005-0000-0000-0000D3580000}"/>
    <cellStyle name="Comma 3 9 3 2" xfId="5824" xr:uid="{00000000-0005-0000-0000-0000D4580000}"/>
    <cellStyle name="Comma 3 9 3 2 2" xfId="13154" xr:uid="{00000000-0005-0000-0000-0000D5580000}"/>
    <cellStyle name="Comma 3 9 3 2 3" xfId="21943" xr:uid="{00000000-0005-0000-0000-0000D6580000}"/>
    <cellStyle name="Comma 3 9 3 3" xfId="12104" xr:uid="{00000000-0005-0000-0000-0000D7580000}"/>
    <cellStyle name="Comma 3 9 3 3 2" xfId="25816" xr:uid="{00000000-0005-0000-0000-0000D8580000}"/>
    <cellStyle name="Comma 3 9 3 4" xfId="21944" xr:uid="{00000000-0005-0000-0000-0000D9580000}"/>
    <cellStyle name="Comma 3 9 4" xfId="5825" xr:uid="{00000000-0005-0000-0000-0000DA580000}"/>
    <cellStyle name="Comma 3 9 4 2" xfId="5826" xr:uid="{00000000-0005-0000-0000-0000DB580000}"/>
    <cellStyle name="Comma 3 9 4 2 2" xfId="15623" xr:uid="{00000000-0005-0000-0000-0000DC580000}"/>
    <cellStyle name="Comma 3 9 4 2 3" xfId="21941" xr:uid="{00000000-0005-0000-0000-0000DD580000}"/>
    <cellStyle name="Comma 3 9 4 3" xfId="13676" xr:uid="{00000000-0005-0000-0000-0000DE580000}"/>
    <cellStyle name="Comma 3 9 4 3 2" xfId="27225" xr:uid="{00000000-0005-0000-0000-0000DF580000}"/>
    <cellStyle name="Comma 3 9 4 4" xfId="21942" xr:uid="{00000000-0005-0000-0000-0000E0580000}"/>
    <cellStyle name="Comma 3 9 5" xfId="5827" xr:uid="{00000000-0005-0000-0000-0000E1580000}"/>
    <cellStyle name="Comma 3 9 5 2" xfId="14257" xr:uid="{00000000-0005-0000-0000-0000E2580000}"/>
    <cellStyle name="Comma 3 9 5 2 2" xfId="27806" xr:uid="{00000000-0005-0000-0000-0000E3580000}"/>
    <cellStyle name="Comma 3 9 5 3" xfId="21940" xr:uid="{00000000-0005-0000-0000-0000E4580000}"/>
    <cellStyle name="Comma 3 9 6" xfId="5828" xr:uid="{00000000-0005-0000-0000-0000E5580000}"/>
    <cellStyle name="Comma 3 9 6 2" xfId="16143" xr:uid="{00000000-0005-0000-0000-0000E6580000}"/>
    <cellStyle name="Comma 3 9 6 2 2" xfId="29550" xr:uid="{00000000-0005-0000-0000-0000E7580000}"/>
    <cellStyle name="Comma 3 9 6 3" xfId="21939" xr:uid="{00000000-0005-0000-0000-0000E8580000}"/>
    <cellStyle name="Comma 3 9 7" xfId="9822" xr:uid="{00000000-0005-0000-0000-0000E9580000}"/>
    <cellStyle name="Comma 3 9 8" xfId="21948" xr:uid="{00000000-0005-0000-0000-0000EA580000}"/>
    <cellStyle name="Comma 4" xfId="5829" xr:uid="{00000000-0005-0000-0000-0000EB580000}"/>
    <cellStyle name="Comma 4 2" xfId="5830" xr:uid="{00000000-0005-0000-0000-0000EC580000}"/>
    <cellStyle name="Comma 4 2 2" xfId="9825" xr:uid="{00000000-0005-0000-0000-0000ED580000}"/>
    <cellStyle name="Comma 4 2 3" xfId="21937" xr:uid="{00000000-0005-0000-0000-0000EE580000}"/>
    <cellStyle name="Comma 4 3" xfId="5831" xr:uid="{00000000-0005-0000-0000-0000EF580000}"/>
    <cellStyle name="Comma 4 3 2" xfId="13155" xr:uid="{00000000-0005-0000-0000-0000F0580000}"/>
    <cellStyle name="Comma 4 3 3" xfId="21936" xr:uid="{00000000-0005-0000-0000-0000F1580000}"/>
    <cellStyle name="Comma 4 4" xfId="5832" xr:uid="{00000000-0005-0000-0000-0000F2580000}"/>
    <cellStyle name="Comma 4 4 2" xfId="9824" xr:uid="{00000000-0005-0000-0000-0000F3580000}"/>
    <cellStyle name="Comma 4 4 3" xfId="21935" xr:uid="{00000000-0005-0000-0000-0000F4580000}"/>
    <cellStyle name="Comma 4 5" xfId="8667" xr:uid="{00000000-0005-0000-0000-0000F5580000}"/>
    <cellStyle name="Comma 4 6" xfId="21938" xr:uid="{00000000-0005-0000-0000-0000F6580000}"/>
    <cellStyle name="Comma 4 7" xfId="32911" xr:uid="{00000000-0005-0000-0000-0000F7580000}"/>
    <cellStyle name="Comma 4 8" xfId="33086" xr:uid="{00000000-0005-0000-0000-0000F8580000}"/>
    <cellStyle name="Comma 5" xfId="5833" xr:uid="{00000000-0005-0000-0000-0000F9580000}"/>
    <cellStyle name="Comma 5 2" xfId="5834" xr:uid="{00000000-0005-0000-0000-0000FA580000}"/>
    <cellStyle name="Comma 5 2 2" xfId="17021" xr:uid="{00000000-0005-0000-0000-0000FB580000}"/>
    <cellStyle name="Comma 5 2 2 2" xfId="30428" xr:uid="{00000000-0005-0000-0000-0000FC580000}"/>
    <cellStyle name="Comma 5 2 3" xfId="21933" xr:uid="{00000000-0005-0000-0000-0000FD580000}"/>
    <cellStyle name="Comma 5 2 4" xfId="33098" xr:uid="{00000000-0005-0000-0000-0000FE580000}"/>
    <cellStyle name="Comma 5 3" xfId="5835" xr:uid="{00000000-0005-0000-0000-0000FF580000}"/>
    <cellStyle name="Comma 5 3 2" xfId="17332" xr:uid="{00000000-0005-0000-0000-000000590000}"/>
    <cellStyle name="Comma 5 3 3" xfId="21932" xr:uid="{00000000-0005-0000-0000-000001590000}"/>
    <cellStyle name="Comma 5 4" xfId="8728" xr:uid="{00000000-0005-0000-0000-000002590000}"/>
    <cellStyle name="Comma 5 4 2" xfId="33100" xr:uid="{00000000-0005-0000-0000-000003590000}"/>
    <cellStyle name="Comma 5 5" xfId="21934" xr:uid="{00000000-0005-0000-0000-000004590000}"/>
    <cellStyle name="Comma 6" xfId="5836" xr:uid="{00000000-0005-0000-0000-000005590000}"/>
    <cellStyle name="Comma 6 2" xfId="5837" xr:uid="{00000000-0005-0000-0000-000006590000}"/>
    <cellStyle name="Comma 6 2 2" xfId="17022" xr:uid="{00000000-0005-0000-0000-000007590000}"/>
    <cellStyle name="Comma 6 2 2 2" xfId="30429" xr:uid="{00000000-0005-0000-0000-000008590000}"/>
    <cellStyle name="Comma 6 2 3" xfId="21930" xr:uid="{00000000-0005-0000-0000-000009590000}"/>
    <cellStyle name="Comma 6 3" xfId="9826" xr:uid="{00000000-0005-0000-0000-00000A590000}"/>
    <cellStyle name="Comma 6 4" xfId="21931" xr:uid="{00000000-0005-0000-0000-00000B590000}"/>
    <cellStyle name="Comma 7" xfId="5838" xr:uid="{00000000-0005-0000-0000-00000C590000}"/>
    <cellStyle name="Comma 7 2" xfId="5839" xr:uid="{00000000-0005-0000-0000-00000D590000}"/>
    <cellStyle name="Comma 7 2 2" xfId="17023" xr:uid="{00000000-0005-0000-0000-00000E590000}"/>
    <cellStyle name="Comma 7 2 2 2" xfId="30430" xr:uid="{00000000-0005-0000-0000-00000F590000}"/>
    <cellStyle name="Comma 7 2 3" xfId="21928" xr:uid="{00000000-0005-0000-0000-000010590000}"/>
    <cellStyle name="Comma 7 3" xfId="9827" xr:uid="{00000000-0005-0000-0000-000011590000}"/>
    <cellStyle name="Comma 7 4" xfId="21929" xr:uid="{00000000-0005-0000-0000-000012590000}"/>
    <cellStyle name="Comma 8" xfId="5840" xr:uid="{00000000-0005-0000-0000-000013590000}"/>
    <cellStyle name="Comma 8 2" xfId="5841" xr:uid="{00000000-0005-0000-0000-000014590000}"/>
    <cellStyle name="Comma 8 2 2" xfId="9829" xr:uid="{00000000-0005-0000-0000-000015590000}"/>
    <cellStyle name="Comma 8 2 3" xfId="21926" xr:uid="{00000000-0005-0000-0000-000016590000}"/>
    <cellStyle name="Comma 8 3" xfId="5842" xr:uid="{00000000-0005-0000-0000-000017590000}"/>
    <cellStyle name="Comma 8 3 2" xfId="13156" xr:uid="{00000000-0005-0000-0000-000018590000}"/>
    <cellStyle name="Comma 8 3 3" xfId="21925" xr:uid="{00000000-0005-0000-0000-000019590000}"/>
    <cellStyle name="Comma 8 4" xfId="9828" xr:uid="{00000000-0005-0000-0000-00001A590000}"/>
    <cellStyle name="Comma 8 5" xfId="21927" xr:uid="{00000000-0005-0000-0000-00001B590000}"/>
    <cellStyle name="Comma 9" xfId="5843" xr:uid="{00000000-0005-0000-0000-00001C590000}"/>
    <cellStyle name="Comma 9 2" xfId="5844" xr:uid="{00000000-0005-0000-0000-00001D590000}"/>
    <cellStyle name="Comma 9 2 2" xfId="5845" xr:uid="{00000000-0005-0000-0000-00001E590000}"/>
    <cellStyle name="Comma 9 2 2 2" xfId="11356" xr:uid="{00000000-0005-0000-0000-00001F590000}"/>
    <cellStyle name="Comma 9 2 2 3" xfId="21922" xr:uid="{00000000-0005-0000-0000-000020590000}"/>
    <cellStyle name="Comma 9 2 3" xfId="9831" xr:uid="{00000000-0005-0000-0000-000021590000}"/>
    <cellStyle name="Comma 9 2 4" xfId="21923" xr:uid="{00000000-0005-0000-0000-000022590000}"/>
    <cellStyle name="Comma 9 3" xfId="5846" xr:uid="{00000000-0005-0000-0000-000023590000}"/>
    <cellStyle name="Comma 9 3 2" xfId="11355" xr:uid="{00000000-0005-0000-0000-000024590000}"/>
    <cellStyle name="Comma 9 3 3" xfId="21921" xr:uid="{00000000-0005-0000-0000-000025590000}"/>
    <cellStyle name="Comma 9 4" xfId="5847" xr:uid="{00000000-0005-0000-0000-000026590000}"/>
    <cellStyle name="Comma 9 4 2" xfId="13157" xr:uid="{00000000-0005-0000-0000-000027590000}"/>
    <cellStyle name="Comma 9 4 3" xfId="21920" xr:uid="{00000000-0005-0000-0000-000028590000}"/>
    <cellStyle name="Comma 9 5" xfId="9830" xr:uid="{00000000-0005-0000-0000-000029590000}"/>
    <cellStyle name="Comma 9 6" xfId="21924" xr:uid="{00000000-0005-0000-0000-00002A590000}"/>
    <cellStyle name="Comma0" xfId="5848" xr:uid="{00000000-0005-0000-0000-00002B590000}"/>
    <cellStyle name="Comma0 2" xfId="5849" xr:uid="{00000000-0005-0000-0000-00002C590000}"/>
    <cellStyle name="Comma0 2 2" xfId="5850" xr:uid="{00000000-0005-0000-0000-00002D590000}"/>
    <cellStyle name="Comma0 2 2 2" xfId="17024" xr:uid="{00000000-0005-0000-0000-00002E590000}"/>
    <cellStyle name="Comma0 2 2 3" xfId="21917" xr:uid="{00000000-0005-0000-0000-00002F590000}"/>
    <cellStyle name="Comma0 2 3" xfId="8668" xr:uid="{00000000-0005-0000-0000-000030590000}"/>
    <cellStyle name="Comma0 2 4" xfId="21918" xr:uid="{00000000-0005-0000-0000-000031590000}"/>
    <cellStyle name="Comma0 3" xfId="5851" xr:uid="{00000000-0005-0000-0000-000032590000}"/>
    <cellStyle name="Comma0 3 2" xfId="8732" xr:uid="{00000000-0005-0000-0000-000033590000}"/>
    <cellStyle name="Comma0 3 2 2" xfId="17333" xr:uid="{00000000-0005-0000-0000-000034590000}"/>
    <cellStyle name="Comma0 3 3" xfId="17295" xr:uid="{00000000-0005-0000-0000-000035590000}"/>
    <cellStyle name="Comma0 3 4" xfId="9832" xr:uid="{00000000-0005-0000-0000-000036590000}"/>
    <cellStyle name="Comma0 3 5" xfId="21916" xr:uid="{00000000-0005-0000-0000-000037590000}"/>
    <cellStyle name="Comma0 4" xfId="8660" xr:uid="{00000000-0005-0000-0000-000038590000}"/>
    <cellStyle name="Comma0 5" xfId="21919" xr:uid="{00000000-0005-0000-0000-000039590000}"/>
    <cellStyle name="Currency" xfId="33110" builtinId="4"/>
    <cellStyle name="Currency 10" xfId="5852" xr:uid="{00000000-0005-0000-0000-00003A590000}"/>
    <cellStyle name="Currency 10 2" xfId="9833" xr:uid="{00000000-0005-0000-0000-00003B590000}"/>
    <cellStyle name="Currency 10 3" xfId="21915" xr:uid="{00000000-0005-0000-0000-00003C590000}"/>
    <cellStyle name="Currency 11" xfId="5853" xr:uid="{00000000-0005-0000-0000-00003D590000}"/>
    <cellStyle name="Currency 11 2" xfId="5854" xr:uid="{00000000-0005-0000-0000-00003E590000}"/>
    <cellStyle name="Currency 11 2 2" xfId="9835" xr:uid="{00000000-0005-0000-0000-00003F590000}"/>
    <cellStyle name="Currency 11 2 3" xfId="21913" xr:uid="{00000000-0005-0000-0000-000040590000}"/>
    <cellStyle name="Currency 11 3" xfId="5855" xr:uid="{00000000-0005-0000-0000-000041590000}"/>
    <cellStyle name="Currency 11 3 2" xfId="13158" xr:uid="{00000000-0005-0000-0000-000042590000}"/>
    <cellStyle name="Currency 11 3 3" xfId="21912" xr:uid="{00000000-0005-0000-0000-000043590000}"/>
    <cellStyle name="Currency 11 4" xfId="9834" xr:uid="{00000000-0005-0000-0000-000044590000}"/>
    <cellStyle name="Currency 11 5" xfId="21914" xr:uid="{00000000-0005-0000-0000-000045590000}"/>
    <cellStyle name="Currency 12" xfId="5856" xr:uid="{00000000-0005-0000-0000-000046590000}"/>
    <cellStyle name="Currency 12 2" xfId="13159" xr:uid="{00000000-0005-0000-0000-000047590000}"/>
    <cellStyle name="Currency 12 3" xfId="21911" xr:uid="{00000000-0005-0000-0000-000048590000}"/>
    <cellStyle name="Currency 2" xfId="6" xr:uid="{00000000-0005-0000-0000-000049590000}"/>
    <cellStyle name="Currency 2 2" xfId="5858" xr:uid="{00000000-0005-0000-0000-00004A590000}"/>
    <cellStyle name="Currency 2 2 2" xfId="5859" xr:uid="{00000000-0005-0000-0000-00004B590000}"/>
    <cellStyle name="Currency 2 2 2 2" xfId="9837" xr:uid="{00000000-0005-0000-0000-00004C590000}"/>
    <cellStyle name="Currency 2 2 2 3" xfId="21908" xr:uid="{00000000-0005-0000-0000-00004D590000}"/>
    <cellStyle name="Currency 2 2 3" xfId="5860" xr:uid="{00000000-0005-0000-0000-00004E590000}"/>
    <cellStyle name="Currency 2 2 3 2" xfId="13160" xr:uid="{00000000-0005-0000-0000-00004F590000}"/>
    <cellStyle name="Currency 2 2 3 3" xfId="21907" xr:uid="{00000000-0005-0000-0000-000050590000}"/>
    <cellStyle name="Currency 2 2 4" xfId="5861" xr:uid="{00000000-0005-0000-0000-000051590000}"/>
    <cellStyle name="Currency 2 2 4 2" xfId="17025" xr:uid="{00000000-0005-0000-0000-000052590000}"/>
    <cellStyle name="Currency 2 2 4 2 2" xfId="30432" xr:uid="{00000000-0005-0000-0000-000053590000}"/>
    <cellStyle name="Currency 2 2 4 3" xfId="21906" xr:uid="{00000000-0005-0000-0000-000054590000}"/>
    <cellStyle name="Currency 2 2 5" xfId="8679" xr:uid="{00000000-0005-0000-0000-000055590000}"/>
    <cellStyle name="Currency 2 2 6" xfId="21909" xr:uid="{00000000-0005-0000-0000-000056590000}"/>
    <cellStyle name="Currency 2 3" xfId="5862" xr:uid="{00000000-0005-0000-0000-000057590000}"/>
    <cellStyle name="Currency 2 3 2" xfId="5863" xr:uid="{00000000-0005-0000-0000-000058590000}"/>
    <cellStyle name="Currency 2 3 2 2" xfId="13161" xr:uid="{00000000-0005-0000-0000-000059590000}"/>
    <cellStyle name="Currency 2 3 2 3" xfId="21904" xr:uid="{00000000-0005-0000-0000-00005A590000}"/>
    <cellStyle name="Currency 2 3 3" xfId="5864" xr:uid="{00000000-0005-0000-0000-00005B590000}"/>
    <cellStyle name="Currency 2 3 3 2" xfId="17026" xr:uid="{00000000-0005-0000-0000-00005C590000}"/>
    <cellStyle name="Currency 2 3 3 2 2" xfId="30433" xr:uid="{00000000-0005-0000-0000-00005D590000}"/>
    <cellStyle name="Currency 2 3 3 3" xfId="21903" xr:uid="{00000000-0005-0000-0000-00005E590000}"/>
    <cellStyle name="Currency 2 3 4" xfId="5865" xr:uid="{00000000-0005-0000-0000-00005F590000}"/>
    <cellStyle name="Currency 2 3 4 2" xfId="17368" xr:uid="{00000000-0005-0000-0000-000060590000}"/>
    <cellStyle name="Currency 2 3 4 3" xfId="21902" xr:uid="{00000000-0005-0000-0000-000061590000}"/>
    <cellStyle name="Currency 2 3 5" xfId="8738" xr:uid="{00000000-0005-0000-0000-000062590000}"/>
    <cellStyle name="Currency 2 3 6" xfId="10516" xr:uid="{00000000-0005-0000-0000-000063590000}"/>
    <cellStyle name="Currency 2 3 7" xfId="21905" xr:uid="{00000000-0005-0000-0000-000064590000}"/>
    <cellStyle name="Currency 2 4" xfId="8653" xr:uid="{00000000-0005-0000-0000-000065590000}"/>
    <cellStyle name="Currency 2 4 2" xfId="9836" xr:uid="{00000000-0005-0000-0000-000066590000}"/>
    <cellStyle name="Currency 2 5" xfId="17301" xr:uid="{00000000-0005-0000-0000-000067590000}"/>
    <cellStyle name="Currency 2 6" xfId="21910" xr:uid="{00000000-0005-0000-0000-000068590000}"/>
    <cellStyle name="Currency 2 7" xfId="32974" xr:uid="{00000000-0005-0000-0000-000069590000}"/>
    <cellStyle name="Currency 2 8" xfId="5857" xr:uid="{00000000-0005-0000-0000-00006A590000}"/>
    <cellStyle name="Currency 3" xfId="5866" xr:uid="{00000000-0005-0000-0000-00006B590000}"/>
    <cellStyle name="Currency 3 10" xfId="5867" xr:uid="{00000000-0005-0000-0000-00006C590000}"/>
    <cellStyle name="Currency 3 10 2" xfId="9839" xr:uid="{00000000-0005-0000-0000-00006D590000}"/>
    <cellStyle name="Currency 3 10 3" xfId="21900" xr:uid="{00000000-0005-0000-0000-00006E590000}"/>
    <cellStyle name="Currency 3 11" xfId="5868" xr:uid="{00000000-0005-0000-0000-00006F590000}"/>
    <cellStyle name="Currency 3 11 2" xfId="5869" xr:uid="{00000000-0005-0000-0000-000070590000}"/>
    <cellStyle name="Currency 3 11 2 2" xfId="13162" xr:uid="{00000000-0005-0000-0000-000071590000}"/>
    <cellStyle name="Currency 3 11 2 3" xfId="21898" xr:uid="{00000000-0005-0000-0000-000072590000}"/>
    <cellStyle name="Currency 3 11 3" xfId="5870" xr:uid="{00000000-0005-0000-0000-000073590000}"/>
    <cellStyle name="Currency 3 11 3 2" xfId="17027" xr:uid="{00000000-0005-0000-0000-000074590000}"/>
    <cellStyle name="Currency 3 11 3 2 2" xfId="30434" xr:uid="{00000000-0005-0000-0000-000075590000}"/>
    <cellStyle name="Currency 3 11 3 3" xfId="21897" xr:uid="{00000000-0005-0000-0000-000076590000}"/>
    <cellStyle name="Currency 3 11 4" xfId="9840" xr:uid="{00000000-0005-0000-0000-000077590000}"/>
    <cellStyle name="Currency 3 11 5" xfId="21899" xr:uid="{00000000-0005-0000-0000-000078590000}"/>
    <cellStyle name="Currency 3 12" xfId="5871" xr:uid="{00000000-0005-0000-0000-000079590000}"/>
    <cellStyle name="Currency 3 12 2" xfId="5872" xr:uid="{00000000-0005-0000-0000-00007A590000}"/>
    <cellStyle name="Currency 3 12 2 2" xfId="13164" xr:uid="{00000000-0005-0000-0000-00007B590000}"/>
    <cellStyle name="Currency 3 12 2 3" xfId="21895" xr:uid="{00000000-0005-0000-0000-00007C590000}"/>
    <cellStyle name="Currency 3 12 3" xfId="5873" xr:uid="{00000000-0005-0000-0000-00007D590000}"/>
    <cellStyle name="Currency 3 12 3 2" xfId="13163" xr:uid="{00000000-0005-0000-0000-00007E590000}"/>
    <cellStyle name="Currency 3 12 3 2 2" xfId="26875" xr:uid="{00000000-0005-0000-0000-00007F590000}"/>
    <cellStyle name="Currency 3 12 3 3" xfId="21894" xr:uid="{00000000-0005-0000-0000-000080590000}"/>
    <cellStyle name="Currency 3 12 4" xfId="5874" xr:uid="{00000000-0005-0000-0000-000081590000}"/>
    <cellStyle name="Currency 3 12 4 2" xfId="17109" xr:uid="{00000000-0005-0000-0000-000082590000}"/>
    <cellStyle name="Currency 3 12 4 2 2" xfId="30468" xr:uid="{00000000-0005-0000-0000-000083590000}"/>
    <cellStyle name="Currency 3 12 4 3" xfId="21893" xr:uid="{00000000-0005-0000-0000-000084590000}"/>
    <cellStyle name="Currency 3 12 5" xfId="9841" xr:uid="{00000000-0005-0000-0000-000085590000}"/>
    <cellStyle name="Currency 3 12 6" xfId="21896" xr:uid="{00000000-0005-0000-0000-000086590000}"/>
    <cellStyle name="Currency 3 13" xfId="5875" xr:uid="{00000000-0005-0000-0000-000087590000}"/>
    <cellStyle name="Currency 3 13 2" xfId="5876" xr:uid="{00000000-0005-0000-0000-000088590000}"/>
    <cellStyle name="Currency 3 13 2 2" xfId="17198" xr:uid="{00000000-0005-0000-0000-000089590000}"/>
    <cellStyle name="Currency 3 13 2 2 2" xfId="30557" xr:uid="{00000000-0005-0000-0000-00008A590000}"/>
    <cellStyle name="Currency 3 13 2 3" xfId="21891" xr:uid="{00000000-0005-0000-0000-00008B590000}"/>
    <cellStyle name="Currency 3 13 3" xfId="9842" xr:uid="{00000000-0005-0000-0000-00008C590000}"/>
    <cellStyle name="Currency 3 13 4" xfId="21892" xr:uid="{00000000-0005-0000-0000-00008D590000}"/>
    <cellStyle name="Currency 3 14" xfId="5877" xr:uid="{00000000-0005-0000-0000-00008E590000}"/>
    <cellStyle name="Currency 3 14 2" xfId="5878" xr:uid="{00000000-0005-0000-0000-00008F590000}"/>
    <cellStyle name="Currency 3 14 2 2" xfId="5879" xr:uid="{00000000-0005-0000-0000-000090590000}"/>
    <cellStyle name="Currency 3 14 2 2 2" xfId="11359" xr:uid="{00000000-0005-0000-0000-000091590000}"/>
    <cellStyle name="Currency 3 14 2 2 3" xfId="21888" xr:uid="{00000000-0005-0000-0000-000092590000}"/>
    <cellStyle name="Currency 3 14 2 3" xfId="9844" xr:uid="{00000000-0005-0000-0000-000093590000}"/>
    <cellStyle name="Currency 3 14 2 4" xfId="21889" xr:uid="{00000000-0005-0000-0000-000094590000}"/>
    <cellStyle name="Currency 3 14 3" xfId="5880" xr:uid="{00000000-0005-0000-0000-000095590000}"/>
    <cellStyle name="Currency 3 14 3 2" xfId="11358" xr:uid="{00000000-0005-0000-0000-000096590000}"/>
    <cellStyle name="Currency 3 14 3 3" xfId="21887" xr:uid="{00000000-0005-0000-0000-000097590000}"/>
    <cellStyle name="Currency 3 14 4" xfId="5881" xr:uid="{00000000-0005-0000-0000-000098590000}"/>
    <cellStyle name="Currency 3 14 4 2" xfId="17287" xr:uid="{00000000-0005-0000-0000-000099590000}"/>
    <cellStyle name="Currency 3 14 4 2 2" xfId="30646" xr:uid="{00000000-0005-0000-0000-00009A590000}"/>
    <cellStyle name="Currency 3 14 4 3" xfId="21886" xr:uid="{00000000-0005-0000-0000-00009B590000}"/>
    <cellStyle name="Currency 3 14 5" xfId="9843" xr:uid="{00000000-0005-0000-0000-00009C590000}"/>
    <cellStyle name="Currency 3 14 6" xfId="21890" xr:uid="{00000000-0005-0000-0000-00009D590000}"/>
    <cellStyle name="Currency 3 15" xfId="5882" xr:uid="{00000000-0005-0000-0000-00009E590000}"/>
    <cellStyle name="Currency 3 15 2" xfId="5883" xr:uid="{00000000-0005-0000-0000-00009F590000}"/>
    <cellStyle name="Currency 3 15 2 2" xfId="11360" xr:uid="{00000000-0005-0000-0000-0000A0590000}"/>
    <cellStyle name="Currency 3 15 2 3" xfId="21884" xr:uid="{00000000-0005-0000-0000-0000A1590000}"/>
    <cellStyle name="Currency 3 15 3" xfId="5884" xr:uid="{00000000-0005-0000-0000-0000A2590000}"/>
    <cellStyle name="Currency 3 15 3 2" xfId="16439" xr:uid="{00000000-0005-0000-0000-0000A3590000}"/>
    <cellStyle name="Currency 3 15 3 2 2" xfId="29846" xr:uid="{00000000-0005-0000-0000-0000A4590000}"/>
    <cellStyle name="Currency 3 15 3 3" xfId="21883" xr:uid="{00000000-0005-0000-0000-0000A5590000}"/>
    <cellStyle name="Currency 3 15 4" xfId="9845" xr:uid="{00000000-0005-0000-0000-0000A6590000}"/>
    <cellStyle name="Currency 3 15 5" xfId="21885" xr:uid="{00000000-0005-0000-0000-0000A7590000}"/>
    <cellStyle name="Currency 3 16" xfId="5885" xr:uid="{00000000-0005-0000-0000-0000A8590000}"/>
    <cellStyle name="Currency 3 16 2" xfId="5886" xr:uid="{00000000-0005-0000-0000-0000A9590000}"/>
    <cellStyle name="Currency 3 16 2 2" xfId="11361" xr:uid="{00000000-0005-0000-0000-0000AA590000}"/>
    <cellStyle name="Currency 3 16 2 3" xfId="21881" xr:uid="{00000000-0005-0000-0000-0000AB590000}"/>
    <cellStyle name="Currency 3 16 3" xfId="9846" xr:uid="{00000000-0005-0000-0000-0000AC590000}"/>
    <cellStyle name="Currency 3 16 4" xfId="21882" xr:uid="{00000000-0005-0000-0000-0000AD590000}"/>
    <cellStyle name="Currency 3 17" xfId="5887" xr:uid="{00000000-0005-0000-0000-0000AE590000}"/>
    <cellStyle name="Currency 3 17 2" xfId="5888" xr:uid="{00000000-0005-0000-0000-0000AF590000}"/>
    <cellStyle name="Currency 3 17 2 2" xfId="11362" xr:uid="{00000000-0005-0000-0000-0000B0590000}"/>
    <cellStyle name="Currency 3 17 2 3" xfId="21879" xr:uid="{00000000-0005-0000-0000-0000B1590000}"/>
    <cellStyle name="Currency 3 17 3" xfId="9847" xr:uid="{00000000-0005-0000-0000-0000B2590000}"/>
    <cellStyle name="Currency 3 17 4" xfId="21880" xr:uid="{00000000-0005-0000-0000-0000B3590000}"/>
    <cellStyle name="Currency 3 18" xfId="5889" xr:uid="{00000000-0005-0000-0000-0000B4590000}"/>
    <cellStyle name="Currency 3 18 2" xfId="5890" xr:uid="{00000000-0005-0000-0000-0000B5590000}"/>
    <cellStyle name="Currency 3 18 2 2" xfId="11363" xr:uid="{00000000-0005-0000-0000-0000B6590000}"/>
    <cellStyle name="Currency 3 18 2 3" xfId="21877" xr:uid="{00000000-0005-0000-0000-0000B7590000}"/>
    <cellStyle name="Currency 3 18 3" xfId="9848" xr:uid="{00000000-0005-0000-0000-0000B8590000}"/>
    <cellStyle name="Currency 3 18 4" xfId="21878" xr:uid="{00000000-0005-0000-0000-0000B9590000}"/>
    <cellStyle name="Currency 3 19" xfId="5891" xr:uid="{00000000-0005-0000-0000-0000BA590000}"/>
    <cellStyle name="Currency 3 19 2" xfId="5892" xr:uid="{00000000-0005-0000-0000-0000BB590000}"/>
    <cellStyle name="Currency 3 19 2 2" xfId="11364" xr:uid="{00000000-0005-0000-0000-0000BC590000}"/>
    <cellStyle name="Currency 3 19 2 3" xfId="21875" xr:uid="{00000000-0005-0000-0000-0000BD590000}"/>
    <cellStyle name="Currency 3 19 3" xfId="9849" xr:uid="{00000000-0005-0000-0000-0000BE590000}"/>
    <cellStyle name="Currency 3 19 4" xfId="21876" xr:uid="{00000000-0005-0000-0000-0000BF590000}"/>
    <cellStyle name="Currency 3 2" xfId="5893" xr:uid="{00000000-0005-0000-0000-0000C0590000}"/>
    <cellStyle name="Currency 3 2 10" xfId="5894" xr:uid="{00000000-0005-0000-0000-0000C1590000}"/>
    <cellStyle name="Currency 3 2 10 2" xfId="11365" xr:uid="{00000000-0005-0000-0000-0000C2590000}"/>
    <cellStyle name="Currency 3 2 10 3" xfId="21873" xr:uid="{00000000-0005-0000-0000-0000C3590000}"/>
    <cellStyle name="Currency 3 2 11" xfId="5895" xr:uid="{00000000-0005-0000-0000-0000C4590000}"/>
    <cellStyle name="Currency 3 2 11 2" xfId="5896" xr:uid="{00000000-0005-0000-0000-0000C5590000}"/>
    <cellStyle name="Currency 3 2 11 2 2" xfId="13165" xr:uid="{00000000-0005-0000-0000-0000C6590000}"/>
    <cellStyle name="Currency 3 2 11 2 2 2" xfId="26877" xr:uid="{00000000-0005-0000-0000-0000C7590000}"/>
    <cellStyle name="Currency 3 2 11 2 3" xfId="21871" xr:uid="{00000000-0005-0000-0000-0000C8590000}"/>
    <cellStyle name="Currency 3 2 11 3" xfId="5897" xr:uid="{00000000-0005-0000-0000-0000C9590000}"/>
    <cellStyle name="Currency 3 2 11 3 2" xfId="15624" xr:uid="{00000000-0005-0000-0000-0000CA590000}"/>
    <cellStyle name="Currency 3 2 11 3 3" xfId="21870" xr:uid="{00000000-0005-0000-0000-0000CB590000}"/>
    <cellStyle name="Currency 3 2 11 4" xfId="11699" xr:uid="{00000000-0005-0000-0000-0000CC590000}"/>
    <cellStyle name="Currency 3 2 11 5" xfId="21872" xr:uid="{00000000-0005-0000-0000-0000CD590000}"/>
    <cellStyle name="Currency 3 2 12" xfId="5898" xr:uid="{00000000-0005-0000-0000-0000CE590000}"/>
    <cellStyle name="Currency 3 2 12 2" xfId="11855" xr:uid="{00000000-0005-0000-0000-0000CF590000}"/>
    <cellStyle name="Currency 3 2 12 2 2" xfId="25570" xr:uid="{00000000-0005-0000-0000-0000D0590000}"/>
    <cellStyle name="Currency 3 2 12 3" xfId="21869" xr:uid="{00000000-0005-0000-0000-0000D1590000}"/>
    <cellStyle name="Currency 3 2 13" xfId="5899" xr:uid="{00000000-0005-0000-0000-0000D2590000}"/>
    <cellStyle name="Currency 3 2 13 2" xfId="13448" xr:uid="{00000000-0005-0000-0000-0000D3590000}"/>
    <cellStyle name="Currency 3 2 13 2 2" xfId="26997" xr:uid="{00000000-0005-0000-0000-0000D4590000}"/>
    <cellStyle name="Currency 3 2 13 3" xfId="21868" xr:uid="{00000000-0005-0000-0000-0000D5590000}"/>
    <cellStyle name="Currency 3 2 14" xfId="5900" xr:uid="{00000000-0005-0000-0000-0000D6590000}"/>
    <cellStyle name="Currency 3 2 14 2" xfId="14029" xr:uid="{00000000-0005-0000-0000-0000D7590000}"/>
    <cellStyle name="Currency 3 2 14 2 2" xfId="27578" xr:uid="{00000000-0005-0000-0000-0000D8590000}"/>
    <cellStyle name="Currency 3 2 14 3" xfId="21867" xr:uid="{00000000-0005-0000-0000-0000D9590000}"/>
    <cellStyle name="Currency 3 2 15" xfId="5901" xr:uid="{00000000-0005-0000-0000-0000DA590000}"/>
    <cellStyle name="Currency 3 2 15 2" xfId="15915" xr:uid="{00000000-0005-0000-0000-0000DB590000}"/>
    <cellStyle name="Currency 3 2 15 2 2" xfId="29322" xr:uid="{00000000-0005-0000-0000-0000DC590000}"/>
    <cellStyle name="Currency 3 2 15 3" xfId="21866" xr:uid="{00000000-0005-0000-0000-0000DD590000}"/>
    <cellStyle name="Currency 3 2 16" xfId="5902" xr:uid="{00000000-0005-0000-0000-0000DE590000}"/>
    <cellStyle name="Currency 3 2 16 2" xfId="9850" xr:uid="{00000000-0005-0000-0000-0000DF590000}"/>
    <cellStyle name="Currency 3 2 16 3" xfId="21865" xr:uid="{00000000-0005-0000-0000-0000E0590000}"/>
    <cellStyle name="Currency 3 2 17" xfId="8715" xr:uid="{00000000-0005-0000-0000-0000E1590000}"/>
    <cellStyle name="Currency 3 2 18" xfId="21874" xr:uid="{00000000-0005-0000-0000-0000E2590000}"/>
    <cellStyle name="Currency 3 2 2" xfId="5903" xr:uid="{00000000-0005-0000-0000-0000E3590000}"/>
    <cellStyle name="Currency 3 2 2 10" xfId="9851" xr:uid="{00000000-0005-0000-0000-0000E4590000}"/>
    <cellStyle name="Currency 3 2 2 11" xfId="21864" xr:uid="{00000000-0005-0000-0000-0000E5590000}"/>
    <cellStyle name="Currency 3 2 2 2" xfId="5904" xr:uid="{00000000-0005-0000-0000-0000E6590000}"/>
    <cellStyle name="Currency 3 2 2 2 2" xfId="5905" xr:uid="{00000000-0005-0000-0000-0000E7590000}"/>
    <cellStyle name="Currency 3 2 2 2 2 2" xfId="5906" xr:uid="{00000000-0005-0000-0000-0000E8590000}"/>
    <cellStyle name="Currency 3 2 2 2 2 2 2" xfId="5907" xr:uid="{00000000-0005-0000-0000-0000E9590000}"/>
    <cellStyle name="Currency 3 2 2 2 2 2 2 2" xfId="11366" xr:uid="{00000000-0005-0000-0000-0000EA590000}"/>
    <cellStyle name="Currency 3 2 2 2 2 2 2 3" xfId="21860" xr:uid="{00000000-0005-0000-0000-0000EB590000}"/>
    <cellStyle name="Currency 3 2 2 2 2 2 3" xfId="5908" xr:uid="{00000000-0005-0000-0000-0000EC590000}"/>
    <cellStyle name="Currency 3 2 2 2 2 2 3 2" xfId="16974" xr:uid="{00000000-0005-0000-0000-0000ED590000}"/>
    <cellStyle name="Currency 3 2 2 2 2 2 3 2 2" xfId="30381" xr:uid="{00000000-0005-0000-0000-0000EE590000}"/>
    <cellStyle name="Currency 3 2 2 2 2 2 3 3" xfId="21859" xr:uid="{00000000-0005-0000-0000-0000EF590000}"/>
    <cellStyle name="Currency 3 2 2 2 2 2 4" xfId="9854" xr:uid="{00000000-0005-0000-0000-0000F0590000}"/>
    <cellStyle name="Currency 3 2 2 2 2 2 5" xfId="21861" xr:uid="{00000000-0005-0000-0000-0000F1590000}"/>
    <cellStyle name="Currency 3 2 2 2 2 3" xfId="5909" xr:uid="{00000000-0005-0000-0000-0000F2590000}"/>
    <cellStyle name="Currency 3 2 2 2 2 3 2" xfId="5910" xr:uid="{00000000-0005-0000-0000-0000F3590000}"/>
    <cellStyle name="Currency 3 2 2 2 2 3 2 2" xfId="13166" xr:uid="{00000000-0005-0000-0000-0000F4590000}"/>
    <cellStyle name="Currency 3 2 2 2 2 3 2 3" xfId="21857" xr:uid="{00000000-0005-0000-0000-0000F5590000}"/>
    <cellStyle name="Currency 3 2 2 2 2 3 3" xfId="12362" xr:uid="{00000000-0005-0000-0000-0000F6590000}"/>
    <cellStyle name="Currency 3 2 2 2 2 3 3 2" xfId="26074" xr:uid="{00000000-0005-0000-0000-0000F7590000}"/>
    <cellStyle name="Currency 3 2 2 2 2 3 4" xfId="21858" xr:uid="{00000000-0005-0000-0000-0000F8590000}"/>
    <cellStyle name="Currency 3 2 2 2 2 4" xfId="5911" xr:uid="{00000000-0005-0000-0000-0000F9590000}"/>
    <cellStyle name="Currency 3 2 2 2 2 4 2" xfId="5912" xr:uid="{00000000-0005-0000-0000-0000FA590000}"/>
    <cellStyle name="Currency 3 2 2 2 2 4 2 2" xfId="15625" xr:uid="{00000000-0005-0000-0000-0000FB590000}"/>
    <cellStyle name="Currency 3 2 2 2 2 4 2 3" xfId="21855" xr:uid="{00000000-0005-0000-0000-0000FC590000}"/>
    <cellStyle name="Currency 3 2 2 2 2 4 3" xfId="13926" xr:uid="{00000000-0005-0000-0000-0000FD590000}"/>
    <cellStyle name="Currency 3 2 2 2 2 4 3 2" xfId="27475" xr:uid="{00000000-0005-0000-0000-0000FE590000}"/>
    <cellStyle name="Currency 3 2 2 2 2 4 4" xfId="21856" xr:uid="{00000000-0005-0000-0000-0000FF590000}"/>
    <cellStyle name="Currency 3 2 2 2 2 5" xfId="5913" xr:uid="{00000000-0005-0000-0000-0000005A0000}"/>
    <cellStyle name="Currency 3 2 2 2 2 5 2" xfId="14507" xr:uid="{00000000-0005-0000-0000-0000015A0000}"/>
    <cellStyle name="Currency 3 2 2 2 2 5 2 2" xfId="28056" xr:uid="{00000000-0005-0000-0000-0000025A0000}"/>
    <cellStyle name="Currency 3 2 2 2 2 5 3" xfId="21854" xr:uid="{00000000-0005-0000-0000-0000035A0000}"/>
    <cellStyle name="Currency 3 2 2 2 2 6" xfId="5914" xr:uid="{00000000-0005-0000-0000-0000045A0000}"/>
    <cellStyle name="Currency 3 2 2 2 2 6 2" xfId="16393" xr:uid="{00000000-0005-0000-0000-0000055A0000}"/>
    <cellStyle name="Currency 3 2 2 2 2 6 2 2" xfId="29800" xr:uid="{00000000-0005-0000-0000-0000065A0000}"/>
    <cellStyle name="Currency 3 2 2 2 2 6 3" xfId="21853" xr:uid="{00000000-0005-0000-0000-0000075A0000}"/>
    <cellStyle name="Currency 3 2 2 2 2 7" xfId="9853" xr:uid="{00000000-0005-0000-0000-0000085A0000}"/>
    <cellStyle name="Currency 3 2 2 2 2 8" xfId="21862" xr:uid="{00000000-0005-0000-0000-0000095A0000}"/>
    <cellStyle name="Currency 3 2 2 2 3" xfId="5915" xr:uid="{00000000-0005-0000-0000-00000A5A0000}"/>
    <cellStyle name="Currency 3 2 2 2 3 2" xfId="5916" xr:uid="{00000000-0005-0000-0000-00000B5A0000}"/>
    <cellStyle name="Currency 3 2 2 2 3 2 2" xfId="11367" xr:uid="{00000000-0005-0000-0000-00000C5A0000}"/>
    <cellStyle name="Currency 3 2 2 2 3 2 3" xfId="21851" xr:uid="{00000000-0005-0000-0000-00000D5A0000}"/>
    <cellStyle name="Currency 3 2 2 2 3 3" xfId="5917" xr:uid="{00000000-0005-0000-0000-00000E5A0000}"/>
    <cellStyle name="Currency 3 2 2 2 3 3 2" xfId="16685" xr:uid="{00000000-0005-0000-0000-00000F5A0000}"/>
    <cellStyle name="Currency 3 2 2 2 3 3 2 2" xfId="30092" xr:uid="{00000000-0005-0000-0000-0000105A0000}"/>
    <cellStyle name="Currency 3 2 2 2 3 3 3" xfId="21850" xr:uid="{00000000-0005-0000-0000-0000115A0000}"/>
    <cellStyle name="Currency 3 2 2 2 3 4" xfId="9855" xr:uid="{00000000-0005-0000-0000-0000125A0000}"/>
    <cellStyle name="Currency 3 2 2 2 3 5" xfId="21852" xr:uid="{00000000-0005-0000-0000-0000135A0000}"/>
    <cellStyle name="Currency 3 2 2 2 4" xfId="5918" xr:uid="{00000000-0005-0000-0000-0000145A0000}"/>
    <cellStyle name="Currency 3 2 2 2 4 2" xfId="5919" xr:uid="{00000000-0005-0000-0000-0000155A0000}"/>
    <cellStyle name="Currency 3 2 2 2 4 2 2" xfId="13167" xr:uid="{00000000-0005-0000-0000-0000165A0000}"/>
    <cellStyle name="Currency 3 2 2 2 4 2 3" xfId="21848" xr:uid="{00000000-0005-0000-0000-0000175A0000}"/>
    <cellStyle name="Currency 3 2 2 2 4 3" xfId="12062" xr:uid="{00000000-0005-0000-0000-0000185A0000}"/>
    <cellStyle name="Currency 3 2 2 2 4 3 2" xfId="25777" xr:uid="{00000000-0005-0000-0000-0000195A0000}"/>
    <cellStyle name="Currency 3 2 2 2 4 4" xfId="21849" xr:uid="{00000000-0005-0000-0000-00001A5A0000}"/>
    <cellStyle name="Currency 3 2 2 2 5" xfId="5920" xr:uid="{00000000-0005-0000-0000-00001B5A0000}"/>
    <cellStyle name="Currency 3 2 2 2 5 2" xfId="5921" xr:uid="{00000000-0005-0000-0000-00001C5A0000}"/>
    <cellStyle name="Currency 3 2 2 2 5 2 2" xfId="15626" xr:uid="{00000000-0005-0000-0000-00001D5A0000}"/>
    <cellStyle name="Currency 3 2 2 2 5 2 3" xfId="21846" xr:uid="{00000000-0005-0000-0000-00001E5A0000}"/>
    <cellStyle name="Currency 3 2 2 2 5 3" xfId="13637" xr:uid="{00000000-0005-0000-0000-00001F5A0000}"/>
    <cellStyle name="Currency 3 2 2 2 5 3 2" xfId="27186" xr:uid="{00000000-0005-0000-0000-0000205A0000}"/>
    <cellStyle name="Currency 3 2 2 2 5 4" xfId="21847" xr:uid="{00000000-0005-0000-0000-0000215A0000}"/>
    <cellStyle name="Currency 3 2 2 2 6" xfId="5922" xr:uid="{00000000-0005-0000-0000-0000225A0000}"/>
    <cellStyle name="Currency 3 2 2 2 6 2" xfId="14218" xr:uid="{00000000-0005-0000-0000-0000235A0000}"/>
    <cellStyle name="Currency 3 2 2 2 6 2 2" xfId="27767" xr:uid="{00000000-0005-0000-0000-0000245A0000}"/>
    <cellStyle name="Currency 3 2 2 2 6 3" xfId="21845" xr:uid="{00000000-0005-0000-0000-0000255A0000}"/>
    <cellStyle name="Currency 3 2 2 2 7" xfId="5923" xr:uid="{00000000-0005-0000-0000-0000265A0000}"/>
    <cellStyle name="Currency 3 2 2 2 7 2" xfId="16104" xr:uid="{00000000-0005-0000-0000-0000275A0000}"/>
    <cellStyle name="Currency 3 2 2 2 7 2 2" xfId="29511" xr:uid="{00000000-0005-0000-0000-0000285A0000}"/>
    <cellStyle name="Currency 3 2 2 2 7 3" xfId="21844" xr:uid="{00000000-0005-0000-0000-0000295A0000}"/>
    <cellStyle name="Currency 3 2 2 2 8" xfId="9852" xr:uid="{00000000-0005-0000-0000-00002A5A0000}"/>
    <cellStyle name="Currency 3 2 2 2 9" xfId="21863" xr:uid="{00000000-0005-0000-0000-00002B5A0000}"/>
    <cellStyle name="Currency 3 2 2 3" xfId="5924" xr:uid="{00000000-0005-0000-0000-00002C5A0000}"/>
    <cellStyle name="Currency 3 2 2 3 2" xfId="5925" xr:uid="{00000000-0005-0000-0000-00002D5A0000}"/>
    <cellStyle name="Currency 3 2 2 3 2 2" xfId="5926" xr:uid="{00000000-0005-0000-0000-00002E5A0000}"/>
    <cellStyle name="Currency 3 2 2 3 2 2 2" xfId="11368" xr:uid="{00000000-0005-0000-0000-00002F5A0000}"/>
    <cellStyle name="Currency 3 2 2 3 2 2 3" xfId="21841" xr:uid="{00000000-0005-0000-0000-0000305A0000}"/>
    <cellStyle name="Currency 3 2 2 3 2 3" xfId="5927" xr:uid="{00000000-0005-0000-0000-0000315A0000}"/>
    <cellStyle name="Currency 3 2 2 3 2 3 2" xfId="16831" xr:uid="{00000000-0005-0000-0000-0000325A0000}"/>
    <cellStyle name="Currency 3 2 2 3 2 3 2 2" xfId="30238" xr:uid="{00000000-0005-0000-0000-0000335A0000}"/>
    <cellStyle name="Currency 3 2 2 3 2 3 3" xfId="21840" xr:uid="{00000000-0005-0000-0000-0000345A0000}"/>
    <cellStyle name="Currency 3 2 2 3 2 4" xfId="9857" xr:uid="{00000000-0005-0000-0000-0000355A0000}"/>
    <cellStyle name="Currency 3 2 2 3 2 5" xfId="21842" xr:uid="{00000000-0005-0000-0000-0000365A0000}"/>
    <cellStyle name="Currency 3 2 2 3 3" xfId="5928" xr:uid="{00000000-0005-0000-0000-0000375A0000}"/>
    <cellStyle name="Currency 3 2 2 3 3 2" xfId="5929" xr:uid="{00000000-0005-0000-0000-0000385A0000}"/>
    <cellStyle name="Currency 3 2 2 3 3 2 2" xfId="13168" xr:uid="{00000000-0005-0000-0000-0000395A0000}"/>
    <cellStyle name="Currency 3 2 2 3 3 2 3" xfId="21838" xr:uid="{00000000-0005-0000-0000-00003A5A0000}"/>
    <cellStyle name="Currency 3 2 2 3 3 3" xfId="12219" xr:uid="{00000000-0005-0000-0000-00003B5A0000}"/>
    <cellStyle name="Currency 3 2 2 3 3 3 2" xfId="25931" xr:uid="{00000000-0005-0000-0000-00003C5A0000}"/>
    <cellStyle name="Currency 3 2 2 3 3 4" xfId="21839" xr:uid="{00000000-0005-0000-0000-00003D5A0000}"/>
    <cellStyle name="Currency 3 2 2 3 4" xfId="5930" xr:uid="{00000000-0005-0000-0000-00003E5A0000}"/>
    <cellStyle name="Currency 3 2 2 3 4 2" xfId="5931" xr:uid="{00000000-0005-0000-0000-00003F5A0000}"/>
    <cellStyle name="Currency 3 2 2 3 4 2 2" xfId="15627" xr:uid="{00000000-0005-0000-0000-0000405A0000}"/>
    <cellStyle name="Currency 3 2 2 3 4 2 3" xfId="21836" xr:uid="{00000000-0005-0000-0000-0000415A0000}"/>
    <cellStyle name="Currency 3 2 2 3 4 3" xfId="13783" xr:uid="{00000000-0005-0000-0000-0000425A0000}"/>
    <cellStyle name="Currency 3 2 2 3 4 3 2" xfId="27332" xr:uid="{00000000-0005-0000-0000-0000435A0000}"/>
    <cellStyle name="Currency 3 2 2 3 4 4" xfId="21837" xr:uid="{00000000-0005-0000-0000-0000445A0000}"/>
    <cellStyle name="Currency 3 2 2 3 5" xfId="5932" xr:uid="{00000000-0005-0000-0000-0000455A0000}"/>
    <cellStyle name="Currency 3 2 2 3 5 2" xfId="14364" xr:uid="{00000000-0005-0000-0000-0000465A0000}"/>
    <cellStyle name="Currency 3 2 2 3 5 2 2" xfId="27913" xr:uid="{00000000-0005-0000-0000-0000475A0000}"/>
    <cellStyle name="Currency 3 2 2 3 5 3" xfId="21835" xr:uid="{00000000-0005-0000-0000-0000485A0000}"/>
    <cellStyle name="Currency 3 2 2 3 6" xfId="5933" xr:uid="{00000000-0005-0000-0000-0000495A0000}"/>
    <cellStyle name="Currency 3 2 2 3 6 2" xfId="16250" xr:uid="{00000000-0005-0000-0000-00004A5A0000}"/>
    <cellStyle name="Currency 3 2 2 3 6 2 2" xfId="29657" xr:uid="{00000000-0005-0000-0000-00004B5A0000}"/>
    <cellStyle name="Currency 3 2 2 3 6 3" xfId="21834" xr:uid="{00000000-0005-0000-0000-00004C5A0000}"/>
    <cellStyle name="Currency 3 2 2 3 7" xfId="9856" xr:uid="{00000000-0005-0000-0000-00004D5A0000}"/>
    <cellStyle name="Currency 3 2 2 3 8" xfId="21843" xr:uid="{00000000-0005-0000-0000-00004E5A0000}"/>
    <cellStyle name="Currency 3 2 2 4" xfId="5934" xr:uid="{00000000-0005-0000-0000-00004F5A0000}"/>
    <cellStyle name="Currency 3 2 2 4 2" xfId="5935" xr:uid="{00000000-0005-0000-0000-0000505A0000}"/>
    <cellStyle name="Currency 3 2 2 4 2 2" xfId="17178" xr:uid="{00000000-0005-0000-0000-0000515A0000}"/>
    <cellStyle name="Currency 3 2 2 4 2 2 2" xfId="30537" xr:uid="{00000000-0005-0000-0000-0000525A0000}"/>
    <cellStyle name="Currency 3 2 2 4 2 3" xfId="21832" xr:uid="{00000000-0005-0000-0000-0000535A0000}"/>
    <cellStyle name="Currency 3 2 2 4 3" xfId="9858" xr:uid="{00000000-0005-0000-0000-0000545A0000}"/>
    <cellStyle name="Currency 3 2 2 4 4" xfId="21833" xr:uid="{00000000-0005-0000-0000-0000555A0000}"/>
    <cellStyle name="Currency 3 2 2 5" xfId="5936" xr:uid="{00000000-0005-0000-0000-0000565A0000}"/>
    <cellStyle name="Currency 3 2 2 5 2" xfId="5937" xr:uid="{00000000-0005-0000-0000-0000575A0000}"/>
    <cellStyle name="Currency 3 2 2 5 2 2" xfId="11369" xr:uid="{00000000-0005-0000-0000-0000585A0000}"/>
    <cellStyle name="Currency 3 2 2 5 2 3" xfId="21830" xr:uid="{00000000-0005-0000-0000-0000595A0000}"/>
    <cellStyle name="Currency 3 2 2 5 3" xfId="5938" xr:uid="{00000000-0005-0000-0000-00005A5A0000}"/>
    <cellStyle name="Currency 3 2 2 5 3 2" xfId="17267" xr:uid="{00000000-0005-0000-0000-00005B5A0000}"/>
    <cellStyle name="Currency 3 2 2 5 3 2 2" xfId="30626" xr:uid="{00000000-0005-0000-0000-00005C5A0000}"/>
    <cellStyle name="Currency 3 2 2 5 3 3" xfId="21829" xr:uid="{00000000-0005-0000-0000-00005D5A0000}"/>
    <cellStyle name="Currency 3 2 2 5 4" xfId="9859" xr:uid="{00000000-0005-0000-0000-00005E5A0000}"/>
    <cellStyle name="Currency 3 2 2 5 5" xfId="21831" xr:uid="{00000000-0005-0000-0000-00005F5A0000}"/>
    <cellStyle name="Currency 3 2 2 6" xfId="5939" xr:uid="{00000000-0005-0000-0000-0000605A0000}"/>
    <cellStyle name="Currency 3 2 2 6 2" xfId="5940" xr:uid="{00000000-0005-0000-0000-0000615A0000}"/>
    <cellStyle name="Currency 3 2 2 6 2 2" xfId="13169" xr:uid="{00000000-0005-0000-0000-0000625A0000}"/>
    <cellStyle name="Currency 3 2 2 6 2 3" xfId="21827" xr:uid="{00000000-0005-0000-0000-0000635A0000}"/>
    <cellStyle name="Currency 3 2 2 6 3" xfId="5941" xr:uid="{00000000-0005-0000-0000-0000645A0000}"/>
    <cellStyle name="Currency 3 2 2 6 3 2" xfId="16542" xr:uid="{00000000-0005-0000-0000-0000655A0000}"/>
    <cellStyle name="Currency 3 2 2 6 3 2 2" xfId="29949" xr:uid="{00000000-0005-0000-0000-0000665A0000}"/>
    <cellStyle name="Currency 3 2 2 6 3 3" xfId="21826" xr:uid="{00000000-0005-0000-0000-0000675A0000}"/>
    <cellStyle name="Currency 3 2 2 6 4" xfId="11917" xr:uid="{00000000-0005-0000-0000-0000685A0000}"/>
    <cellStyle name="Currency 3 2 2 6 4 2" xfId="25632" xr:uid="{00000000-0005-0000-0000-0000695A0000}"/>
    <cellStyle name="Currency 3 2 2 6 5" xfId="21828" xr:uid="{00000000-0005-0000-0000-00006A5A0000}"/>
    <cellStyle name="Currency 3 2 2 7" xfId="5942" xr:uid="{00000000-0005-0000-0000-00006B5A0000}"/>
    <cellStyle name="Currency 3 2 2 7 2" xfId="5943" xr:uid="{00000000-0005-0000-0000-00006C5A0000}"/>
    <cellStyle name="Currency 3 2 2 7 2 2" xfId="15628" xr:uid="{00000000-0005-0000-0000-00006D5A0000}"/>
    <cellStyle name="Currency 3 2 2 7 2 3" xfId="21824" xr:uid="{00000000-0005-0000-0000-00006E5A0000}"/>
    <cellStyle name="Currency 3 2 2 7 3" xfId="13494" xr:uid="{00000000-0005-0000-0000-00006F5A0000}"/>
    <cellStyle name="Currency 3 2 2 7 3 2" xfId="27043" xr:uid="{00000000-0005-0000-0000-0000705A0000}"/>
    <cellStyle name="Currency 3 2 2 7 4" xfId="21825" xr:uid="{00000000-0005-0000-0000-0000715A0000}"/>
    <cellStyle name="Currency 3 2 2 8" xfId="5944" xr:uid="{00000000-0005-0000-0000-0000725A0000}"/>
    <cellStyle name="Currency 3 2 2 8 2" xfId="14075" xr:uid="{00000000-0005-0000-0000-0000735A0000}"/>
    <cellStyle name="Currency 3 2 2 8 2 2" xfId="27624" xr:uid="{00000000-0005-0000-0000-0000745A0000}"/>
    <cellStyle name="Currency 3 2 2 8 3" xfId="21823" xr:uid="{00000000-0005-0000-0000-0000755A0000}"/>
    <cellStyle name="Currency 3 2 2 9" xfId="5945" xr:uid="{00000000-0005-0000-0000-0000765A0000}"/>
    <cellStyle name="Currency 3 2 2 9 2" xfId="15961" xr:uid="{00000000-0005-0000-0000-0000775A0000}"/>
    <cellStyle name="Currency 3 2 2 9 2 2" xfId="29368" xr:uid="{00000000-0005-0000-0000-0000785A0000}"/>
    <cellStyle name="Currency 3 2 2 9 3" xfId="21822" xr:uid="{00000000-0005-0000-0000-0000795A0000}"/>
    <cellStyle name="Currency 3 2 3" xfId="5946" xr:uid="{00000000-0005-0000-0000-00007A5A0000}"/>
    <cellStyle name="Currency 3 2 3 2" xfId="5947" xr:uid="{00000000-0005-0000-0000-00007B5A0000}"/>
    <cellStyle name="Currency 3 2 3 2 2" xfId="5948" xr:uid="{00000000-0005-0000-0000-00007C5A0000}"/>
    <cellStyle name="Currency 3 2 3 2 2 2" xfId="5949" xr:uid="{00000000-0005-0000-0000-00007D5A0000}"/>
    <cellStyle name="Currency 3 2 3 2 2 2 2" xfId="11370" xr:uid="{00000000-0005-0000-0000-00007E5A0000}"/>
    <cellStyle name="Currency 3 2 3 2 2 2 3" xfId="21818" xr:uid="{00000000-0005-0000-0000-00007F5A0000}"/>
    <cellStyle name="Currency 3 2 3 2 2 3" xfId="5950" xr:uid="{00000000-0005-0000-0000-0000805A0000}"/>
    <cellStyle name="Currency 3 2 3 2 2 3 2" xfId="16928" xr:uid="{00000000-0005-0000-0000-0000815A0000}"/>
    <cellStyle name="Currency 3 2 3 2 2 3 2 2" xfId="30335" xr:uid="{00000000-0005-0000-0000-0000825A0000}"/>
    <cellStyle name="Currency 3 2 3 2 2 3 3" xfId="21817" xr:uid="{00000000-0005-0000-0000-0000835A0000}"/>
    <cellStyle name="Currency 3 2 3 2 2 4" xfId="9862" xr:uid="{00000000-0005-0000-0000-0000845A0000}"/>
    <cellStyle name="Currency 3 2 3 2 2 5" xfId="21819" xr:uid="{00000000-0005-0000-0000-0000855A0000}"/>
    <cellStyle name="Currency 3 2 3 2 3" xfId="5951" xr:uid="{00000000-0005-0000-0000-0000865A0000}"/>
    <cellStyle name="Currency 3 2 3 2 3 2" xfId="5952" xr:uid="{00000000-0005-0000-0000-0000875A0000}"/>
    <cellStyle name="Currency 3 2 3 2 3 2 2" xfId="13170" xr:uid="{00000000-0005-0000-0000-0000885A0000}"/>
    <cellStyle name="Currency 3 2 3 2 3 2 3" xfId="21815" xr:uid="{00000000-0005-0000-0000-0000895A0000}"/>
    <cellStyle name="Currency 3 2 3 2 3 3" xfId="12316" xr:uid="{00000000-0005-0000-0000-00008A5A0000}"/>
    <cellStyle name="Currency 3 2 3 2 3 3 2" xfId="26028" xr:uid="{00000000-0005-0000-0000-00008B5A0000}"/>
    <cellStyle name="Currency 3 2 3 2 3 4" xfId="21816" xr:uid="{00000000-0005-0000-0000-00008C5A0000}"/>
    <cellStyle name="Currency 3 2 3 2 4" xfId="5953" xr:uid="{00000000-0005-0000-0000-00008D5A0000}"/>
    <cellStyle name="Currency 3 2 3 2 4 2" xfId="5954" xr:uid="{00000000-0005-0000-0000-00008E5A0000}"/>
    <cellStyle name="Currency 3 2 3 2 4 2 2" xfId="15629" xr:uid="{00000000-0005-0000-0000-00008F5A0000}"/>
    <cellStyle name="Currency 3 2 3 2 4 2 3" xfId="21813" xr:uid="{00000000-0005-0000-0000-0000905A0000}"/>
    <cellStyle name="Currency 3 2 3 2 4 3" xfId="13880" xr:uid="{00000000-0005-0000-0000-0000915A0000}"/>
    <cellStyle name="Currency 3 2 3 2 4 3 2" xfId="27429" xr:uid="{00000000-0005-0000-0000-0000925A0000}"/>
    <cellStyle name="Currency 3 2 3 2 4 4" xfId="21814" xr:uid="{00000000-0005-0000-0000-0000935A0000}"/>
    <cellStyle name="Currency 3 2 3 2 5" xfId="5955" xr:uid="{00000000-0005-0000-0000-0000945A0000}"/>
    <cellStyle name="Currency 3 2 3 2 5 2" xfId="14461" xr:uid="{00000000-0005-0000-0000-0000955A0000}"/>
    <cellStyle name="Currency 3 2 3 2 5 2 2" xfId="28010" xr:uid="{00000000-0005-0000-0000-0000965A0000}"/>
    <cellStyle name="Currency 3 2 3 2 5 3" xfId="21812" xr:uid="{00000000-0005-0000-0000-0000975A0000}"/>
    <cellStyle name="Currency 3 2 3 2 6" xfId="5956" xr:uid="{00000000-0005-0000-0000-0000985A0000}"/>
    <cellStyle name="Currency 3 2 3 2 6 2" xfId="16347" xr:uid="{00000000-0005-0000-0000-0000995A0000}"/>
    <cellStyle name="Currency 3 2 3 2 6 2 2" xfId="29754" xr:uid="{00000000-0005-0000-0000-00009A5A0000}"/>
    <cellStyle name="Currency 3 2 3 2 6 3" xfId="21811" xr:uid="{00000000-0005-0000-0000-00009B5A0000}"/>
    <cellStyle name="Currency 3 2 3 2 7" xfId="9861" xr:uid="{00000000-0005-0000-0000-00009C5A0000}"/>
    <cellStyle name="Currency 3 2 3 2 8" xfId="21820" xr:uid="{00000000-0005-0000-0000-00009D5A0000}"/>
    <cellStyle name="Currency 3 2 3 3" xfId="5957" xr:uid="{00000000-0005-0000-0000-00009E5A0000}"/>
    <cellStyle name="Currency 3 2 3 3 2" xfId="5958" xr:uid="{00000000-0005-0000-0000-00009F5A0000}"/>
    <cellStyle name="Currency 3 2 3 3 2 2" xfId="11371" xr:uid="{00000000-0005-0000-0000-0000A05A0000}"/>
    <cellStyle name="Currency 3 2 3 3 2 3" xfId="21809" xr:uid="{00000000-0005-0000-0000-0000A15A0000}"/>
    <cellStyle name="Currency 3 2 3 3 3" xfId="5959" xr:uid="{00000000-0005-0000-0000-0000A25A0000}"/>
    <cellStyle name="Currency 3 2 3 3 3 2" xfId="16639" xr:uid="{00000000-0005-0000-0000-0000A35A0000}"/>
    <cellStyle name="Currency 3 2 3 3 3 2 2" xfId="30046" xr:uid="{00000000-0005-0000-0000-0000A45A0000}"/>
    <cellStyle name="Currency 3 2 3 3 3 3" xfId="21808" xr:uid="{00000000-0005-0000-0000-0000A55A0000}"/>
    <cellStyle name="Currency 3 2 3 3 4" xfId="9863" xr:uid="{00000000-0005-0000-0000-0000A65A0000}"/>
    <cellStyle name="Currency 3 2 3 3 5" xfId="21810" xr:uid="{00000000-0005-0000-0000-0000A75A0000}"/>
    <cellStyle name="Currency 3 2 3 4" xfId="5960" xr:uid="{00000000-0005-0000-0000-0000A85A0000}"/>
    <cellStyle name="Currency 3 2 3 4 2" xfId="5961" xr:uid="{00000000-0005-0000-0000-0000A95A0000}"/>
    <cellStyle name="Currency 3 2 3 4 2 2" xfId="13171" xr:uid="{00000000-0005-0000-0000-0000AA5A0000}"/>
    <cellStyle name="Currency 3 2 3 4 2 3" xfId="21806" xr:uid="{00000000-0005-0000-0000-0000AB5A0000}"/>
    <cellStyle name="Currency 3 2 3 4 3" xfId="12016" xr:uid="{00000000-0005-0000-0000-0000AC5A0000}"/>
    <cellStyle name="Currency 3 2 3 4 3 2" xfId="25731" xr:uid="{00000000-0005-0000-0000-0000AD5A0000}"/>
    <cellStyle name="Currency 3 2 3 4 4" xfId="21807" xr:uid="{00000000-0005-0000-0000-0000AE5A0000}"/>
    <cellStyle name="Currency 3 2 3 5" xfId="5962" xr:uid="{00000000-0005-0000-0000-0000AF5A0000}"/>
    <cellStyle name="Currency 3 2 3 5 2" xfId="5963" xr:uid="{00000000-0005-0000-0000-0000B05A0000}"/>
    <cellStyle name="Currency 3 2 3 5 2 2" xfId="15630" xr:uid="{00000000-0005-0000-0000-0000B15A0000}"/>
    <cellStyle name="Currency 3 2 3 5 2 3" xfId="21804" xr:uid="{00000000-0005-0000-0000-0000B25A0000}"/>
    <cellStyle name="Currency 3 2 3 5 3" xfId="13591" xr:uid="{00000000-0005-0000-0000-0000B35A0000}"/>
    <cellStyle name="Currency 3 2 3 5 3 2" xfId="27140" xr:uid="{00000000-0005-0000-0000-0000B45A0000}"/>
    <cellStyle name="Currency 3 2 3 5 4" xfId="21805" xr:uid="{00000000-0005-0000-0000-0000B55A0000}"/>
    <cellStyle name="Currency 3 2 3 6" xfId="5964" xr:uid="{00000000-0005-0000-0000-0000B65A0000}"/>
    <cellStyle name="Currency 3 2 3 6 2" xfId="14172" xr:uid="{00000000-0005-0000-0000-0000B75A0000}"/>
    <cellStyle name="Currency 3 2 3 6 2 2" xfId="27721" xr:uid="{00000000-0005-0000-0000-0000B85A0000}"/>
    <cellStyle name="Currency 3 2 3 6 3" xfId="21803" xr:uid="{00000000-0005-0000-0000-0000B95A0000}"/>
    <cellStyle name="Currency 3 2 3 7" xfId="5965" xr:uid="{00000000-0005-0000-0000-0000BA5A0000}"/>
    <cellStyle name="Currency 3 2 3 7 2" xfId="16058" xr:uid="{00000000-0005-0000-0000-0000BB5A0000}"/>
    <cellStyle name="Currency 3 2 3 7 2 2" xfId="29465" xr:uid="{00000000-0005-0000-0000-0000BC5A0000}"/>
    <cellStyle name="Currency 3 2 3 7 3" xfId="21802" xr:uid="{00000000-0005-0000-0000-0000BD5A0000}"/>
    <cellStyle name="Currency 3 2 3 8" xfId="9860" xr:uid="{00000000-0005-0000-0000-0000BE5A0000}"/>
    <cellStyle name="Currency 3 2 3 9" xfId="21821" xr:uid="{00000000-0005-0000-0000-0000BF5A0000}"/>
    <cellStyle name="Currency 3 2 4" xfId="5966" xr:uid="{00000000-0005-0000-0000-0000C05A0000}"/>
    <cellStyle name="Currency 3 2 4 2" xfId="5967" xr:uid="{00000000-0005-0000-0000-0000C15A0000}"/>
    <cellStyle name="Currency 3 2 4 2 2" xfId="5968" xr:uid="{00000000-0005-0000-0000-0000C25A0000}"/>
    <cellStyle name="Currency 3 2 4 2 2 2" xfId="11372" xr:uid="{00000000-0005-0000-0000-0000C35A0000}"/>
    <cellStyle name="Currency 3 2 4 2 2 3" xfId="21799" xr:uid="{00000000-0005-0000-0000-0000C45A0000}"/>
    <cellStyle name="Currency 3 2 4 2 3" xfId="5969" xr:uid="{00000000-0005-0000-0000-0000C55A0000}"/>
    <cellStyle name="Currency 3 2 4 2 3 2" xfId="16785" xr:uid="{00000000-0005-0000-0000-0000C65A0000}"/>
    <cellStyle name="Currency 3 2 4 2 3 2 2" xfId="30192" xr:uid="{00000000-0005-0000-0000-0000C75A0000}"/>
    <cellStyle name="Currency 3 2 4 2 3 3" xfId="21798" xr:uid="{00000000-0005-0000-0000-0000C85A0000}"/>
    <cellStyle name="Currency 3 2 4 2 4" xfId="9865" xr:uid="{00000000-0005-0000-0000-0000C95A0000}"/>
    <cellStyle name="Currency 3 2 4 2 5" xfId="21800" xr:uid="{00000000-0005-0000-0000-0000CA5A0000}"/>
    <cellStyle name="Currency 3 2 4 3" xfId="5970" xr:uid="{00000000-0005-0000-0000-0000CB5A0000}"/>
    <cellStyle name="Currency 3 2 4 3 2" xfId="5971" xr:uid="{00000000-0005-0000-0000-0000CC5A0000}"/>
    <cellStyle name="Currency 3 2 4 3 2 2" xfId="13172" xr:uid="{00000000-0005-0000-0000-0000CD5A0000}"/>
    <cellStyle name="Currency 3 2 4 3 2 3" xfId="21796" xr:uid="{00000000-0005-0000-0000-0000CE5A0000}"/>
    <cellStyle name="Currency 3 2 4 3 3" xfId="12173" xr:uid="{00000000-0005-0000-0000-0000CF5A0000}"/>
    <cellStyle name="Currency 3 2 4 3 3 2" xfId="25885" xr:uid="{00000000-0005-0000-0000-0000D05A0000}"/>
    <cellStyle name="Currency 3 2 4 3 4" xfId="21797" xr:uid="{00000000-0005-0000-0000-0000D15A0000}"/>
    <cellStyle name="Currency 3 2 4 4" xfId="5972" xr:uid="{00000000-0005-0000-0000-0000D25A0000}"/>
    <cellStyle name="Currency 3 2 4 4 2" xfId="5973" xr:uid="{00000000-0005-0000-0000-0000D35A0000}"/>
    <cellStyle name="Currency 3 2 4 4 2 2" xfId="15631" xr:uid="{00000000-0005-0000-0000-0000D45A0000}"/>
    <cellStyle name="Currency 3 2 4 4 2 3" xfId="21794" xr:uid="{00000000-0005-0000-0000-0000D55A0000}"/>
    <cellStyle name="Currency 3 2 4 4 3" xfId="13737" xr:uid="{00000000-0005-0000-0000-0000D65A0000}"/>
    <cellStyle name="Currency 3 2 4 4 3 2" xfId="27286" xr:uid="{00000000-0005-0000-0000-0000D75A0000}"/>
    <cellStyle name="Currency 3 2 4 4 4" xfId="21795" xr:uid="{00000000-0005-0000-0000-0000D85A0000}"/>
    <cellStyle name="Currency 3 2 4 5" xfId="5974" xr:uid="{00000000-0005-0000-0000-0000D95A0000}"/>
    <cellStyle name="Currency 3 2 4 5 2" xfId="14318" xr:uid="{00000000-0005-0000-0000-0000DA5A0000}"/>
    <cellStyle name="Currency 3 2 4 5 2 2" xfId="27867" xr:uid="{00000000-0005-0000-0000-0000DB5A0000}"/>
    <cellStyle name="Currency 3 2 4 5 3" xfId="21793" xr:uid="{00000000-0005-0000-0000-0000DC5A0000}"/>
    <cellStyle name="Currency 3 2 4 6" xfId="5975" xr:uid="{00000000-0005-0000-0000-0000DD5A0000}"/>
    <cellStyle name="Currency 3 2 4 6 2" xfId="16204" xr:uid="{00000000-0005-0000-0000-0000DE5A0000}"/>
    <cellStyle name="Currency 3 2 4 6 2 2" xfId="29611" xr:uid="{00000000-0005-0000-0000-0000DF5A0000}"/>
    <cellStyle name="Currency 3 2 4 6 3" xfId="21792" xr:uid="{00000000-0005-0000-0000-0000E05A0000}"/>
    <cellStyle name="Currency 3 2 4 7" xfId="9864" xr:uid="{00000000-0005-0000-0000-0000E15A0000}"/>
    <cellStyle name="Currency 3 2 4 8" xfId="21801" xr:uid="{00000000-0005-0000-0000-0000E25A0000}"/>
    <cellStyle name="Currency 3 2 5" xfId="5976" xr:uid="{00000000-0005-0000-0000-0000E35A0000}"/>
    <cellStyle name="Currency 3 2 5 2" xfId="5977" xr:uid="{00000000-0005-0000-0000-0000E45A0000}"/>
    <cellStyle name="Currency 3 2 5 2 2" xfId="5978" xr:uid="{00000000-0005-0000-0000-0000E55A0000}"/>
    <cellStyle name="Currency 3 2 5 2 2 2" xfId="11374" xr:uid="{00000000-0005-0000-0000-0000E65A0000}"/>
    <cellStyle name="Currency 3 2 5 2 2 3" xfId="21789" xr:uid="{00000000-0005-0000-0000-0000E75A0000}"/>
    <cellStyle name="Currency 3 2 5 2 3" xfId="9867" xr:uid="{00000000-0005-0000-0000-0000E85A0000}"/>
    <cellStyle name="Currency 3 2 5 2 4" xfId="21790" xr:uid="{00000000-0005-0000-0000-0000E95A0000}"/>
    <cellStyle name="Currency 3 2 5 3" xfId="5979" xr:uid="{00000000-0005-0000-0000-0000EA5A0000}"/>
    <cellStyle name="Currency 3 2 5 3 2" xfId="11373" xr:uid="{00000000-0005-0000-0000-0000EB5A0000}"/>
    <cellStyle name="Currency 3 2 5 3 3" xfId="21788" xr:uid="{00000000-0005-0000-0000-0000EC5A0000}"/>
    <cellStyle name="Currency 3 2 5 4" xfId="5980" xr:uid="{00000000-0005-0000-0000-0000ED5A0000}"/>
    <cellStyle name="Currency 3 2 5 4 2" xfId="17028" xr:uid="{00000000-0005-0000-0000-0000EE5A0000}"/>
    <cellStyle name="Currency 3 2 5 4 2 2" xfId="30435" xr:uid="{00000000-0005-0000-0000-0000EF5A0000}"/>
    <cellStyle name="Currency 3 2 5 4 3" xfId="21787" xr:uid="{00000000-0005-0000-0000-0000F05A0000}"/>
    <cellStyle name="Currency 3 2 5 5" xfId="9866" xr:uid="{00000000-0005-0000-0000-0000F15A0000}"/>
    <cellStyle name="Currency 3 2 5 6" xfId="21791" xr:uid="{00000000-0005-0000-0000-0000F25A0000}"/>
    <cellStyle name="Currency 3 2 6" xfId="5981" xr:uid="{00000000-0005-0000-0000-0000F35A0000}"/>
    <cellStyle name="Currency 3 2 6 2" xfId="5982" xr:uid="{00000000-0005-0000-0000-0000F45A0000}"/>
    <cellStyle name="Currency 3 2 6 2 2" xfId="17132" xr:uid="{00000000-0005-0000-0000-0000F55A0000}"/>
    <cellStyle name="Currency 3 2 6 2 2 2" xfId="30491" xr:uid="{00000000-0005-0000-0000-0000F65A0000}"/>
    <cellStyle name="Currency 3 2 6 2 3" xfId="21785" xr:uid="{00000000-0005-0000-0000-0000F75A0000}"/>
    <cellStyle name="Currency 3 2 6 3" xfId="9868" xr:uid="{00000000-0005-0000-0000-0000F85A0000}"/>
    <cellStyle name="Currency 3 2 6 4" xfId="21786" xr:uid="{00000000-0005-0000-0000-0000F95A0000}"/>
    <cellStyle name="Currency 3 2 7" xfId="5983" xr:uid="{00000000-0005-0000-0000-0000FA5A0000}"/>
    <cellStyle name="Currency 3 2 7 2" xfId="5984" xr:uid="{00000000-0005-0000-0000-0000FB5A0000}"/>
    <cellStyle name="Currency 3 2 7 2 2" xfId="11375" xr:uid="{00000000-0005-0000-0000-0000FC5A0000}"/>
    <cellStyle name="Currency 3 2 7 2 3" xfId="21783" xr:uid="{00000000-0005-0000-0000-0000FD5A0000}"/>
    <cellStyle name="Currency 3 2 7 3" xfId="5985" xr:uid="{00000000-0005-0000-0000-0000FE5A0000}"/>
    <cellStyle name="Currency 3 2 7 3 2" xfId="17221" xr:uid="{00000000-0005-0000-0000-0000FF5A0000}"/>
    <cellStyle name="Currency 3 2 7 3 2 2" xfId="30580" xr:uid="{00000000-0005-0000-0000-0000005B0000}"/>
    <cellStyle name="Currency 3 2 7 3 3" xfId="21782" xr:uid="{00000000-0005-0000-0000-0000015B0000}"/>
    <cellStyle name="Currency 3 2 7 4" xfId="9869" xr:uid="{00000000-0005-0000-0000-0000025B0000}"/>
    <cellStyle name="Currency 3 2 7 5" xfId="21784" xr:uid="{00000000-0005-0000-0000-0000035B0000}"/>
    <cellStyle name="Currency 3 2 8" xfId="5986" xr:uid="{00000000-0005-0000-0000-0000045B0000}"/>
    <cellStyle name="Currency 3 2 8 2" xfId="5987" xr:uid="{00000000-0005-0000-0000-0000055B0000}"/>
    <cellStyle name="Currency 3 2 8 2 2" xfId="11376" xr:uid="{00000000-0005-0000-0000-0000065B0000}"/>
    <cellStyle name="Currency 3 2 8 2 3" xfId="21780" xr:uid="{00000000-0005-0000-0000-0000075B0000}"/>
    <cellStyle name="Currency 3 2 8 3" xfId="5988" xr:uid="{00000000-0005-0000-0000-0000085B0000}"/>
    <cellStyle name="Currency 3 2 8 3 2" xfId="16496" xr:uid="{00000000-0005-0000-0000-0000095B0000}"/>
    <cellStyle name="Currency 3 2 8 3 2 2" xfId="29903" xr:uid="{00000000-0005-0000-0000-00000A5B0000}"/>
    <cellStyle name="Currency 3 2 8 3 3" xfId="21779" xr:uid="{00000000-0005-0000-0000-00000B5B0000}"/>
    <cellStyle name="Currency 3 2 8 4" xfId="9870" xr:uid="{00000000-0005-0000-0000-00000C5B0000}"/>
    <cellStyle name="Currency 3 2 8 5" xfId="21781" xr:uid="{00000000-0005-0000-0000-00000D5B0000}"/>
    <cellStyle name="Currency 3 2 9" xfId="5989" xr:uid="{00000000-0005-0000-0000-00000E5B0000}"/>
    <cellStyle name="Currency 3 2 9 2" xfId="5990" xr:uid="{00000000-0005-0000-0000-00000F5B0000}"/>
    <cellStyle name="Currency 3 2 9 2 2" xfId="13173" xr:uid="{00000000-0005-0000-0000-0000105B0000}"/>
    <cellStyle name="Currency 3 2 9 2 2 2" xfId="26878" xr:uid="{00000000-0005-0000-0000-0000115B0000}"/>
    <cellStyle name="Currency 3 2 9 2 3" xfId="21777" xr:uid="{00000000-0005-0000-0000-0000125B0000}"/>
    <cellStyle name="Currency 3 2 9 3" xfId="5991" xr:uid="{00000000-0005-0000-0000-0000135B0000}"/>
    <cellStyle name="Currency 3 2 9 3 2" xfId="15632" xr:uid="{00000000-0005-0000-0000-0000145B0000}"/>
    <cellStyle name="Currency 3 2 9 3 3" xfId="21776" xr:uid="{00000000-0005-0000-0000-0000155B0000}"/>
    <cellStyle name="Currency 3 2 9 4" xfId="10541" xr:uid="{00000000-0005-0000-0000-0000165B0000}"/>
    <cellStyle name="Currency 3 2 9 4 2" xfId="24483" xr:uid="{00000000-0005-0000-0000-0000175B0000}"/>
    <cellStyle name="Currency 3 2 9 5" xfId="21778" xr:uid="{00000000-0005-0000-0000-0000185B0000}"/>
    <cellStyle name="Currency 3 20" xfId="5992" xr:uid="{00000000-0005-0000-0000-0000195B0000}"/>
    <cellStyle name="Currency 3 20 2" xfId="5993" xr:uid="{00000000-0005-0000-0000-00001A5B0000}"/>
    <cellStyle name="Currency 3 20 2 2" xfId="11377" xr:uid="{00000000-0005-0000-0000-00001B5B0000}"/>
    <cellStyle name="Currency 3 20 2 3" xfId="21774" xr:uid="{00000000-0005-0000-0000-00001C5B0000}"/>
    <cellStyle name="Currency 3 20 3" xfId="9871" xr:uid="{00000000-0005-0000-0000-00001D5B0000}"/>
    <cellStyle name="Currency 3 20 4" xfId="21775" xr:uid="{00000000-0005-0000-0000-00001E5B0000}"/>
    <cellStyle name="Currency 3 21" xfId="5994" xr:uid="{00000000-0005-0000-0000-00001F5B0000}"/>
    <cellStyle name="Currency 3 21 2" xfId="5995" xr:uid="{00000000-0005-0000-0000-0000205B0000}"/>
    <cellStyle name="Currency 3 21 2 2" xfId="11723" xr:uid="{00000000-0005-0000-0000-0000215B0000}"/>
    <cellStyle name="Currency 3 21 2 2 2" xfId="25443" xr:uid="{00000000-0005-0000-0000-0000225B0000}"/>
    <cellStyle name="Currency 3 21 2 3" xfId="21772" xr:uid="{00000000-0005-0000-0000-0000235B0000}"/>
    <cellStyle name="Currency 3 21 3" xfId="5996" xr:uid="{00000000-0005-0000-0000-0000245B0000}"/>
    <cellStyle name="Currency 3 21 3 2" xfId="13174" xr:uid="{00000000-0005-0000-0000-0000255B0000}"/>
    <cellStyle name="Currency 3 21 3 2 2" xfId="26879" xr:uid="{00000000-0005-0000-0000-0000265B0000}"/>
    <cellStyle name="Currency 3 21 3 3" xfId="21771" xr:uid="{00000000-0005-0000-0000-0000275B0000}"/>
    <cellStyle name="Currency 3 21 4" xfId="5997" xr:uid="{00000000-0005-0000-0000-0000285B0000}"/>
    <cellStyle name="Currency 3 21 4 2" xfId="15633" xr:uid="{00000000-0005-0000-0000-0000295B0000}"/>
    <cellStyle name="Currency 3 21 4 3" xfId="21770" xr:uid="{00000000-0005-0000-0000-00002A5B0000}"/>
    <cellStyle name="Currency 3 21 5" xfId="10488" xr:uid="{00000000-0005-0000-0000-00002B5B0000}"/>
    <cellStyle name="Currency 3 21 5 2" xfId="24447" xr:uid="{00000000-0005-0000-0000-00002C5B0000}"/>
    <cellStyle name="Currency 3 21 6" xfId="21773" xr:uid="{00000000-0005-0000-0000-00002D5B0000}"/>
    <cellStyle name="Currency 3 22" xfId="5998" xr:uid="{00000000-0005-0000-0000-00002E5B0000}"/>
    <cellStyle name="Currency 3 22 2" xfId="5999" xr:uid="{00000000-0005-0000-0000-00002F5B0000}"/>
    <cellStyle name="Currency 3 22 2 2" xfId="13175" xr:uid="{00000000-0005-0000-0000-0000305B0000}"/>
    <cellStyle name="Currency 3 22 2 2 2" xfId="26880" xr:uid="{00000000-0005-0000-0000-0000315B0000}"/>
    <cellStyle name="Currency 3 22 2 3" xfId="21768" xr:uid="{00000000-0005-0000-0000-0000325B0000}"/>
    <cellStyle name="Currency 3 22 3" xfId="6000" xr:uid="{00000000-0005-0000-0000-0000335B0000}"/>
    <cellStyle name="Currency 3 22 3 2" xfId="15634" xr:uid="{00000000-0005-0000-0000-0000345B0000}"/>
    <cellStyle name="Currency 3 22 3 3" xfId="21767" xr:uid="{00000000-0005-0000-0000-0000355B0000}"/>
    <cellStyle name="Currency 3 22 4" xfId="10518" xr:uid="{00000000-0005-0000-0000-0000365B0000}"/>
    <cellStyle name="Currency 3 22 4 2" xfId="24466" xr:uid="{00000000-0005-0000-0000-0000375B0000}"/>
    <cellStyle name="Currency 3 22 5" xfId="21769" xr:uid="{00000000-0005-0000-0000-0000385B0000}"/>
    <cellStyle name="Currency 3 23" xfId="6001" xr:uid="{00000000-0005-0000-0000-0000395B0000}"/>
    <cellStyle name="Currency 3 23 2" xfId="11357" xr:uid="{00000000-0005-0000-0000-00003A5B0000}"/>
    <cellStyle name="Currency 3 23 3" xfId="21766" xr:uid="{00000000-0005-0000-0000-00003B5B0000}"/>
    <cellStyle name="Currency 3 24" xfId="6002" xr:uid="{00000000-0005-0000-0000-00003C5B0000}"/>
    <cellStyle name="Currency 3 24 2" xfId="11763" xr:uid="{00000000-0005-0000-0000-00003D5B0000}"/>
    <cellStyle name="Currency 3 24 2 2" xfId="25478" xr:uid="{00000000-0005-0000-0000-00003E5B0000}"/>
    <cellStyle name="Currency 3 24 3" xfId="21765" xr:uid="{00000000-0005-0000-0000-00003F5B0000}"/>
    <cellStyle name="Currency 3 25" xfId="6003" xr:uid="{00000000-0005-0000-0000-0000405B0000}"/>
    <cellStyle name="Currency 3 25 2" xfId="13391" xr:uid="{00000000-0005-0000-0000-0000415B0000}"/>
    <cellStyle name="Currency 3 25 2 2" xfId="26940" xr:uid="{00000000-0005-0000-0000-0000425B0000}"/>
    <cellStyle name="Currency 3 25 3" xfId="21764" xr:uid="{00000000-0005-0000-0000-0000435B0000}"/>
    <cellStyle name="Currency 3 26" xfId="6004" xr:uid="{00000000-0005-0000-0000-0000445B0000}"/>
    <cellStyle name="Currency 3 26 2" xfId="13972" xr:uid="{00000000-0005-0000-0000-0000455B0000}"/>
    <cellStyle name="Currency 3 26 2 2" xfId="27521" xr:uid="{00000000-0005-0000-0000-0000465B0000}"/>
    <cellStyle name="Currency 3 26 3" xfId="21763" xr:uid="{00000000-0005-0000-0000-0000475B0000}"/>
    <cellStyle name="Currency 3 27" xfId="6005" xr:uid="{00000000-0005-0000-0000-0000485B0000}"/>
    <cellStyle name="Currency 3 27 2" xfId="15828" xr:uid="{00000000-0005-0000-0000-0000495B0000}"/>
    <cellStyle name="Currency 3 27 2 2" xfId="29235" xr:uid="{00000000-0005-0000-0000-00004A5B0000}"/>
    <cellStyle name="Currency 3 27 3" xfId="21762" xr:uid="{00000000-0005-0000-0000-00004B5B0000}"/>
    <cellStyle name="Currency 3 28" xfId="6006" xr:uid="{00000000-0005-0000-0000-00004C5B0000}"/>
    <cellStyle name="Currency 3 28 2" xfId="15858" xr:uid="{00000000-0005-0000-0000-00004D5B0000}"/>
    <cellStyle name="Currency 3 28 2 2" xfId="29265" xr:uid="{00000000-0005-0000-0000-00004E5B0000}"/>
    <cellStyle name="Currency 3 28 3" xfId="21761" xr:uid="{00000000-0005-0000-0000-00004F5B0000}"/>
    <cellStyle name="Currency 3 29" xfId="8656" xr:uid="{00000000-0005-0000-0000-0000505B0000}"/>
    <cellStyle name="Currency 3 29 2" xfId="9838" xr:uid="{00000000-0005-0000-0000-0000515B0000}"/>
    <cellStyle name="Currency 3 3" xfId="6007" xr:uid="{00000000-0005-0000-0000-0000525B0000}"/>
    <cellStyle name="Currency 3 3 10" xfId="6008" xr:uid="{00000000-0005-0000-0000-0000535B0000}"/>
    <cellStyle name="Currency 3 3 10 2" xfId="17334" xr:uid="{00000000-0005-0000-0000-0000545B0000}"/>
    <cellStyle name="Currency 3 3 10 3" xfId="21759" xr:uid="{00000000-0005-0000-0000-0000555B0000}"/>
    <cellStyle name="Currency 3 3 11" xfId="8735" xr:uid="{00000000-0005-0000-0000-0000565B0000}"/>
    <cellStyle name="Currency 3 3 12" xfId="9872" xr:uid="{00000000-0005-0000-0000-0000575B0000}"/>
    <cellStyle name="Currency 3 3 13" xfId="21760" xr:uid="{00000000-0005-0000-0000-0000585B0000}"/>
    <cellStyle name="Currency 3 3 2" xfId="6009" xr:uid="{00000000-0005-0000-0000-0000595B0000}"/>
    <cellStyle name="Currency 3 3 2 2" xfId="6010" xr:uid="{00000000-0005-0000-0000-00005A5B0000}"/>
    <cellStyle name="Currency 3 3 2 2 2" xfId="6011" xr:uid="{00000000-0005-0000-0000-00005B5B0000}"/>
    <cellStyle name="Currency 3 3 2 2 2 2" xfId="6012" xr:uid="{00000000-0005-0000-0000-00005C5B0000}"/>
    <cellStyle name="Currency 3 3 2 2 2 2 2" xfId="11378" xr:uid="{00000000-0005-0000-0000-00005D5B0000}"/>
    <cellStyle name="Currency 3 3 2 2 2 2 3" xfId="21755" xr:uid="{00000000-0005-0000-0000-00005E5B0000}"/>
    <cellStyle name="Currency 3 3 2 2 2 3" xfId="6013" xr:uid="{00000000-0005-0000-0000-00005F5B0000}"/>
    <cellStyle name="Currency 3 3 2 2 2 3 2" xfId="16951" xr:uid="{00000000-0005-0000-0000-0000605B0000}"/>
    <cellStyle name="Currency 3 3 2 2 2 3 2 2" xfId="30358" xr:uid="{00000000-0005-0000-0000-0000615B0000}"/>
    <cellStyle name="Currency 3 3 2 2 2 3 3" xfId="21754" xr:uid="{00000000-0005-0000-0000-0000625B0000}"/>
    <cellStyle name="Currency 3 3 2 2 2 4" xfId="9875" xr:uid="{00000000-0005-0000-0000-0000635B0000}"/>
    <cellStyle name="Currency 3 3 2 2 2 5" xfId="21756" xr:uid="{00000000-0005-0000-0000-0000645B0000}"/>
    <cellStyle name="Currency 3 3 2 2 3" xfId="6014" xr:uid="{00000000-0005-0000-0000-0000655B0000}"/>
    <cellStyle name="Currency 3 3 2 2 3 2" xfId="6015" xr:uid="{00000000-0005-0000-0000-0000665B0000}"/>
    <cellStyle name="Currency 3 3 2 2 3 2 2" xfId="13176" xr:uid="{00000000-0005-0000-0000-0000675B0000}"/>
    <cellStyle name="Currency 3 3 2 2 3 2 3" xfId="21752" xr:uid="{00000000-0005-0000-0000-0000685B0000}"/>
    <cellStyle name="Currency 3 3 2 2 3 3" xfId="12339" xr:uid="{00000000-0005-0000-0000-0000695B0000}"/>
    <cellStyle name="Currency 3 3 2 2 3 3 2" xfId="26051" xr:uid="{00000000-0005-0000-0000-00006A5B0000}"/>
    <cellStyle name="Currency 3 3 2 2 3 4" xfId="21753" xr:uid="{00000000-0005-0000-0000-00006B5B0000}"/>
    <cellStyle name="Currency 3 3 2 2 4" xfId="6016" xr:uid="{00000000-0005-0000-0000-00006C5B0000}"/>
    <cellStyle name="Currency 3 3 2 2 4 2" xfId="6017" xr:uid="{00000000-0005-0000-0000-00006D5B0000}"/>
    <cellStyle name="Currency 3 3 2 2 4 2 2" xfId="15635" xr:uid="{00000000-0005-0000-0000-00006E5B0000}"/>
    <cellStyle name="Currency 3 3 2 2 4 2 3" xfId="21750" xr:uid="{00000000-0005-0000-0000-00006F5B0000}"/>
    <cellStyle name="Currency 3 3 2 2 4 3" xfId="13903" xr:uid="{00000000-0005-0000-0000-0000705B0000}"/>
    <cellStyle name="Currency 3 3 2 2 4 3 2" xfId="27452" xr:uid="{00000000-0005-0000-0000-0000715B0000}"/>
    <cellStyle name="Currency 3 3 2 2 4 4" xfId="21751" xr:uid="{00000000-0005-0000-0000-0000725B0000}"/>
    <cellStyle name="Currency 3 3 2 2 5" xfId="6018" xr:uid="{00000000-0005-0000-0000-0000735B0000}"/>
    <cellStyle name="Currency 3 3 2 2 5 2" xfId="14484" xr:uid="{00000000-0005-0000-0000-0000745B0000}"/>
    <cellStyle name="Currency 3 3 2 2 5 2 2" xfId="28033" xr:uid="{00000000-0005-0000-0000-0000755B0000}"/>
    <cellStyle name="Currency 3 3 2 2 5 3" xfId="21749" xr:uid="{00000000-0005-0000-0000-0000765B0000}"/>
    <cellStyle name="Currency 3 3 2 2 6" xfId="6019" xr:uid="{00000000-0005-0000-0000-0000775B0000}"/>
    <cellStyle name="Currency 3 3 2 2 6 2" xfId="16370" xr:uid="{00000000-0005-0000-0000-0000785B0000}"/>
    <cellStyle name="Currency 3 3 2 2 6 2 2" xfId="29777" xr:uid="{00000000-0005-0000-0000-0000795B0000}"/>
    <cellStyle name="Currency 3 3 2 2 6 3" xfId="21748" xr:uid="{00000000-0005-0000-0000-00007A5B0000}"/>
    <cellStyle name="Currency 3 3 2 2 7" xfId="9874" xr:uid="{00000000-0005-0000-0000-00007B5B0000}"/>
    <cellStyle name="Currency 3 3 2 2 8" xfId="21757" xr:uid="{00000000-0005-0000-0000-00007C5B0000}"/>
    <cellStyle name="Currency 3 3 2 3" xfId="6020" xr:uid="{00000000-0005-0000-0000-00007D5B0000}"/>
    <cellStyle name="Currency 3 3 2 3 2" xfId="6021" xr:uid="{00000000-0005-0000-0000-00007E5B0000}"/>
    <cellStyle name="Currency 3 3 2 3 2 2" xfId="11379" xr:uid="{00000000-0005-0000-0000-00007F5B0000}"/>
    <cellStyle name="Currency 3 3 2 3 2 3" xfId="21746" xr:uid="{00000000-0005-0000-0000-0000805B0000}"/>
    <cellStyle name="Currency 3 3 2 3 3" xfId="6022" xr:uid="{00000000-0005-0000-0000-0000815B0000}"/>
    <cellStyle name="Currency 3 3 2 3 3 2" xfId="16662" xr:uid="{00000000-0005-0000-0000-0000825B0000}"/>
    <cellStyle name="Currency 3 3 2 3 3 2 2" xfId="30069" xr:uid="{00000000-0005-0000-0000-0000835B0000}"/>
    <cellStyle name="Currency 3 3 2 3 3 3" xfId="21745" xr:uid="{00000000-0005-0000-0000-0000845B0000}"/>
    <cellStyle name="Currency 3 3 2 3 4" xfId="9876" xr:uid="{00000000-0005-0000-0000-0000855B0000}"/>
    <cellStyle name="Currency 3 3 2 3 5" xfId="21747" xr:uid="{00000000-0005-0000-0000-0000865B0000}"/>
    <cellStyle name="Currency 3 3 2 4" xfId="6023" xr:uid="{00000000-0005-0000-0000-0000875B0000}"/>
    <cellStyle name="Currency 3 3 2 4 2" xfId="6024" xr:uid="{00000000-0005-0000-0000-0000885B0000}"/>
    <cellStyle name="Currency 3 3 2 4 2 2" xfId="13177" xr:uid="{00000000-0005-0000-0000-0000895B0000}"/>
    <cellStyle name="Currency 3 3 2 4 2 3" xfId="21743" xr:uid="{00000000-0005-0000-0000-00008A5B0000}"/>
    <cellStyle name="Currency 3 3 2 4 3" xfId="12039" xr:uid="{00000000-0005-0000-0000-00008B5B0000}"/>
    <cellStyle name="Currency 3 3 2 4 3 2" xfId="25754" xr:uid="{00000000-0005-0000-0000-00008C5B0000}"/>
    <cellStyle name="Currency 3 3 2 4 4" xfId="21744" xr:uid="{00000000-0005-0000-0000-00008D5B0000}"/>
    <cellStyle name="Currency 3 3 2 5" xfId="6025" xr:uid="{00000000-0005-0000-0000-00008E5B0000}"/>
    <cellStyle name="Currency 3 3 2 5 2" xfId="6026" xr:uid="{00000000-0005-0000-0000-00008F5B0000}"/>
    <cellStyle name="Currency 3 3 2 5 2 2" xfId="15636" xr:uid="{00000000-0005-0000-0000-0000905B0000}"/>
    <cellStyle name="Currency 3 3 2 5 2 3" xfId="21741" xr:uid="{00000000-0005-0000-0000-0000915B0000}"/>
    <cellStyle name="Currency 3 3 2 5 3" xfId="13614" xr:uid="{00000000-0005-0000-0000-0000925B0000}"/>
    <cellStyle name="Currency 3 3 2 5 3 2" xfId="27163" xr:uid="{00000000-0005-0000-0000-0000935B0000}"/>
    <cellStyle name="Currency 3 3 2 5 4" xfId="21742" xr:uid="{00000000-0005-0000-0000-0000945B0000}"/>
    <cellStyle name="Currency 3 3 2 6" xfId="6027" xr:uid="{00000000-0005-0000-0000-0000955B0000}"/>
    <cellStyle name="Currency 3 3 2 6 2" xfId="14195" xr:uid="{00000000-0005-0000-0000-0000965B0000}"/>
    <cellStyle name="Currency 3 3 2 6 2 2" xfId="27744" xr:uid="{00000000-0005-0000-0000-0000975B0000}"/>
    <cellStyle name="Currency 3 3 2 6 3" xfId="21740" xr:uid="{00000000-0005-0000-0000-0000985B0000}"/>
    <cellStyle name="Currency 3 3 2 7" xfId="6028" xr:uid="{00000000-0005-0000-0000-0000995B0000}"/>
    <cellStyle name="Currency 3 3 2 7 2" xfId="16081" xr:uid="{00000000-0005-0000-0000-00009A5B0000}"/>
    <cellStyle name="Currency 3 3 2 7 2 2" xfId="29488" xr:uid="{00000000-0005-0000-0000-00009B5B0000}"/>
    <cellStyle name="Currency 3 3 2 7 3" xfId="21739" xr:uid="{00000000-0005-0000-0000-00009C5B0000}"/>
    <cellStyle name="Currency 3 3 2 8" xfId="9873" xr:uid="{00000000-0005-0000-0000-00009D5B0000}"/>
    <cellStyle name="Currency 3 3 2 9" xfId="21758" xr:uid="{00000000-0005-0000-0000-00009E5B0000}"/>
    <cellStyle name="Currency 3 3 3" xfId="6029" xr:uid="{00000000-0005-0000-0000-00009F5B0000}"/>
    <cellStyle name="Currency 3 3 3 2" xfId="6030" xr:uid="{00000000-0005-0000-0000-0000A05B0000}"/>
    <cellStyle name="Currency 3 3 3 2 2" xfId="6031" xr:uid="{00000000-0005-0000-0000-0000A15B0000}"/>
    <cellStyle name="Currency 3 3 3 2 2 2" xfId="11380" xr:uid="{00000000-0005-0000-0000-0000A25B0000}"/>
    <cellStyle name="Currency 3 3 3 2 2 3" xfId="21736" xr:uid="{00000000-0005-0000-0000-0000A35B0000}"/>
    <cellStyle name="Currency 3 3 3 2 3" xfId="6032" xr:uid="{00000000-0005-0000-0000-0000A45B0000}"/>
    <cellStyle name="Currency 3 3 3 2 3 2" xfId="16808" xr:uid="{00000000-0005-0000-0000-0000A55B0000}"/>
    <cellStyle name="Currency 3 3 3 2 3 2 2" xfId="30215" xr:uid="{00000000-0005-0000-0000-0000A65B0000}"/>
    <cellStyle name="Currency 3 3 3 2 3 3" xfId="21735" xr:uid="{00000000-0005-0000-0000-0000A75B0000}"/>
    <cellStyle name="Currency 3 3 3 2 4" xfId="9878" xr:uid="{00000000-0005-0000-0000-0000A85B0000}"/>
    <cellStyle name="Currency 3 3 3 2 5" xfId="21737" xr:uid="{00000000-0005-0000-0000-0000A95B0000}"/>
    <cellStyle name="Currency 3 3 3 3" xfId="6033" xr:uid="{00000000-0005-0000-0000-0000AA5B0000}"/>
    <cellStyle name="Currency 3 3 3 3 2" xfId="6034" xr:uid="{00000000-0005-0000-0000-0000AB5B0000}"/>
    <cellStyle name="Currency 3 3 3 3 2 2" xfId="13178" xr:uid="{00000000-0005-0000-0000-0000AC5B0000}"/>
    <cellStyle name="Currency 3 3 3 3 2 3" xfId="21733" xr:uid="{00000000-0005-0000-0000-0000AD5B0000}"/>
    <cellStyle name="Currency 3 3 3 3 3" xfId="12196" xr:uid="{00000000-0005-0000-0000-0000AE5B0000}"/>
    <cellStyle name="Currency 3 3 3 3 3 2" xfId="25908" xr:uid="{00000000-0005-0000-0000-0000AF5B0000}"/>
    <cellStyle name="Currency 3 3 3 3 4" xfId="21734" xr:uid="{00000000-0005-0000-0000-0000B05B0000}"/>
    <cellStyle name="Currency 3 3 3 4" xfId="6035" xr:uid="{00000000-0005-0000-0000-0000B15B0000}"/>
    <cellStyle name="Currency 3 3 3 4 2" xfId="6036" xr:uid="{00000000-0005-0000-0000-0000B25B0000}"/>
    <cellStyle name="Currency 3 3 3 4 2 2" xfId="15637" xr:uid="{00000000-0005-0000-0000-0000B35B0000}"/>
    <cellStyle name="Currency 3 3 3 4 2 3" xfId="21731" xr:uid="{00000000-0005-0000-0000-0000B45B0000}"/>
    <cellStyle name="Currency 3 3 3 4 3" xfId="13760" xr:uid="{00000000-0005-0000-0000-0000B55B0000}"/>
    <cellStyle name="Currency 3 3 3 4 3 2" xfId="27309" xr:uid="{00000000-0005-0000-0000-0000B65B0000}"/>
    <cellStyle name="Currency 3 3 3 4 4" xfId="21732" xr:uid="{00000000-0005-0000-0000-0000B75B0000}"/>
    <cellStyle name="Currency 3 3 3 5" xfId="6037" xr:uid="{00000000-0005-0000-0000-0000B85B0000}"/>
    <cellStyle name="Currency 3 3 3 5 2" xfId="14341" xr:uid="{00000000-0005-0000-0000-0000B95B0000}"/>
    <cellStyle name="Currency 3 3 3 5 2 2" xfId="27890" xr:uid="{00000000-0005-0000-0000-0000BA5B0000}"/>
    <cellStyle name="Currency 3 3 3 5 3" xfId="21730" xr:uid="{00000000-0005-0000-0000-0000BB5B0000}"/>
    <cellStyle name="Currency 3 3 3 6" xfId="6038" xr:uid="{00000000-0005-0000-0000-0000BC5B0000}"/>
    <cellStyle name="Currency 3 3 3 6 2" xfId="16227" xr:uid="{00000000-0005-0000-0000-0000BD5B0000}"/>
    <cellStyle name="Currency 3 3 3 6 2 2" xfId="29634" xr:uid="{00000000-0005-0000-0000-0000BE5B0000}"/>
    <cellStyle name="Currency 3 3 3 6 3" xfId="21729" xr:uid="{00000000-0005-0000-0000-0000BF5B0000}"/>
    <cellStyle name="Currency 3 3 3 7" xfId="9877" xr:uid="{00000000-0005-0000-0000-0000C05B0000}"/>
    <cellStyle name="Currency 3 3 3 8" xfId="21738" xr:uid="{00000000-0005-0000-0000-0000C15B0000}"/>
    <cellStyle name="Currency 3 3 4" xfId="6039" xr:uid="{00000000-0005-0000-0000-0000C25B0000}"/>
    <cellStyle name="Currency 3 3 4 2" xfId="6040" xr:uid="{00000000-0005-0000-0000-0000C35B0000}"/>
    <cellStyle name="Currency 3 3 4 2 2" xfId="13179" xr:uid="{00000000-0005-0000-0000-0000C45B0000}"/>
    <cellStyle name="Currency 3 3 4 2 3" xfId="21727" xr:uid="{00000000-0005-0000-0000-0000C55B0000}"/>
    <cellStyle name="Currency 3 3 4 3" xfId="6041" xr:uid="{00000000-0005-0000-0000-0000C65B0000}"/>
    <cellStyle name="Currency 3 3 4 3 2" xfId="17029" xr:uid="{00000000-0005-0000-0000-0000C75B0000}"/>
    <cellStyle name="Currency 3 3 4 3 3" xfId="21726" xr:uid="{00000000-0005-0000-0000-0000C85B0000}"/>
    <cellStyle name="Currency 3 3 4 4" xfId="9879" xr:uid="{00000000-0005-0000-0000-0000C95B0000}"/>
    <cellStyle name="Currency 3 3 4 5" xfId="21728" xr:uid="{00000000-0005-0000-0000-0000CA5B0000}"/>
    <cellStyle name="Currency 3 3 5" xfId="6042" xr:uid="{00000000-0005-0000-0000-0000CB5B0000}"/>
    <cellStyle name="Currency 3 3 5 2" xfId="6043" xr:uid="{00000000-0005-0000-0000-0000CC5B0000}"/>
    <cellStyle name="Currency 3 3 5 2 2" xfId="11381" xr:uid="{00000000-0005-0000-0000-0000CD5B0000}"/>
    <cellStyle name="Currency 3 3 5 2 3" xfId="21724" xr:uid="{00000000-0005-0000-0000-0000CE5B0000}"/>
    <cellStyle name="Currency 3 3 5 3" xfId="6044" xr:uid="{00000000-0005-0000-0000-0000CF5B0000}"/>
    <cellStyle name="Currency 3 3 5 3 2" xfId="17155" xr:uid="{00000000-0005-0000-0000-0000D05B0000}"/>
    <cellStyle name="Currency 3 3 5 3 2 2" xfId="30514" xr:uid="{00000000-0005-0000-0000-0000D15B0000}"/>
    <cellStyle name="Currency 3 3 5 3 3" xfId="21723" xr:uid="{00000000-0005-0000-0000-0000D25B0000}"/>
    <cellStyle name="Currency 3 3 5 4" xfId="9880" xr:uid="{00000000-0005-0000-0000-0000D35B0000}"/>
    <cellStyle name="Currency 3 3 5 5" xfId="21725" xr:uid="{00000000-0005-0000-0000-0000D45B0000}"/>
    <cellStyle name="Currency 3 3 6" xfId="6045" xr:uid="{00000000-0005-0000-0000-0000D55B0000}"/>
    <cellStyle name="Currency 3 3 6 2" xfId="6046" xr:uid="{00000000-0005-0000-0000-0000D65B0000}"/>
    <cellStyle name="Currency 3 3 6 2 2" xfId="15638" xr:uid="{00000000-0005-0000-0000-0000D75B0000}"/>
    <cellStyle name="Currency 3 3 6 2 3" xfId="21721" xr:uid="{00000000-0005-0000-0000-0000D85B0000}"/>
    <cellStyle name="Currency 3 3 6 3" xfId="6047" xr:uid="{00000000-0005-0000-0000-0000D95B0000}"/>
    <cellStyle name="Currency 3 3 6 3 2" xfId="17244" xr:uid="{00000000-0005-0000-0000-0000DA5B0000}"/>
    <cellStyle name="Currency 3 3 6 3 2 2" xfId="30603" xr:uid="{00000000-0005-0000-0000-0000DB5B0000}"/>
    <cellStyle name="Currency 3 3 6 3 3" xfId="21720" xr:uid="{00000000-0005-0000-0000-0000DC5B0000}"/>
    <cellStyle name="Currency 3 3 6 4" xfId="11892" xr:uid="{00000000-0005-0000-0000-0000DD5B0000}"/>
    <cellStyle name="Currency 3 3 6 4 2" xfId="25607" xr:uid="{00000000-0005-0000-0000-0000DE5B0000}"/>
    <cellStyle name="Currency 3 3 6 5" xfId="21722" xr:uid="{00000000-0005-0000-0000-0000DF5B0000}"/>
    <cellStyle name="Currency 3 3 7" xfId="6048" xr:uid="{00000000-0005-0000-0000-0000E05B0000}"/>
    <cellStyle name="Currency 3 3 7 2" xfId="6049" xr:uid="{00000000-0005-0000-0000-0000E15B0000}"/>
    <cellStyle name="Currency 3 3 7 2 2" xfId="16519" xr:uid="{00000000-0005-0000-0000-0000E25B0000}"/>
    <cellStyle name="Currency 3 3 7 2 2 2" xfId="29926" xr:uid="{00000000-0005-0000-0000-0000E35B0000}"/>
    <cellStyle name="Currency 3 3 7 2 3" xfId="21718" xr:uid="{00000000-0005-0000-0000-0000E45B0000}"/>
    <cellStyle name="Currency 3 3 7 3" xfId="13471" xr:uid="{00000000-0005-0000-0000-0000E55B0000}"/>
    <cellStyle name="Currency 3 3 7 3 2" xfId="27020" xr:uid="{00000000-0005-0000-0000-0000E65B0000}"/>
    <cellStyle name="Currency 3 3 7 4" xfId="21719" xr:uid="{00000000-0005-0000-0000-0000E75B0000}"/>
    <cellStyle name="Currency 3 3 8" xfId="6050" xr:uid="{00000000-0005-0000-0000-0000E85B0000}"/>
    <cellStyle name="Currency 3 3 8 2" xfId="14052" xr:uid="{00000000-0005-0000-0000-0000E95B0000}"/>
    <cellStyle name="Currency 3 3 8 2 2" xfId="27601" xr:uid="{00000000-0005-0000-0000-0000EA5B0000}"/>
    <cellStyle name="Currency 3 3 8 3" xfId="21717" xr:uid="{00000000-0005-0000-0000-0000EB5B0000}"/>
    <cellStyle name="Currency 3 3 9" xfId="6051" xr:uid="{00000000-0005-0000-0000-0000EC5B0000}"/>
    <cellStyle name="Currency 3 3 9 2" xfId="15938" xr:uid="{00000000-0005-0000-0000-0000ED5B0000}"/>
    <cellStyle name="Currency 3 3 9 2 2" xfId="29345" xr:uid="{00000000-0005-0000-0000-0000EE5B0000}"/>
    <cellStyle name="Currency 3 3 9 3" xfId="21716" xr:uid="{00000000-0005-0000-0000-0000EF5B0000}"/>
    <cellStyle name="Currency 3 30" xfId="21901" xr:uid="{00000000-0005-0000-0000-0000F05B0000}"/>
    <cellStyle name="Currency 3 4" xfId="6052" xr:uid="{00000000-0005-0000-0000-0000F15B0000}"/>
    <cellStyle name="Currency 3 4 10" xfId="9881" xr:uid="{00000000-0005-0000-0000-0000F25B0000}"/>
    <cellStyle name="Currency 3 4 11" xfId="21715" xr:uid="{00000000-0005-0000-0000-0000F35B0000}"/>
    <cellStyle name="Currency 3 4 2" xfId="6053" xr:uid="{00000000-0005-0000-0000-0000F45B0000}"/>
    <cellStyle name="Currency 3 4 2 2" xfId="6054" xr:uid="{00000000-0005-0000-0000-0000F55B0000}"/>
    <cellStyle name="Currency 3 4 2 2 2" xfId="6055" xr:uid="{00000000-0005-0000-0000-0000F65B0000}"/>
    <cellStyle name="Currency 3 4 2 2 2 2" xfId="6056" xr:uid="{00000000-0005-0000-0000-0000F75B0000}"/>
    <cellStyle name="Currency 3 4 2 2 2 2 2" xfId="11382" xr:uid="{00000000-0005-0000-0000-0000F85B0000}"/>
    <cellStyle name="Currency 3 4 2 2 2 2 3" xfId="21711" xr:uid="{00000000-0005-0000-0000-0000F95B0000}"/>
    <cellStyle name="Currency 3 4 2 2 2 3" xfId="6057" xr:uid="{00000000-0005-0000-0000-0000FA5B0000}"/>
    <cellStyle name="Currency 3 4 2 2 2 3 2" xfId="16905" xr:uid="{00000000-0005-0000-0000-0000FB5B0000}"/>
    <cellStyle name="Currency 3 4 2 2 2 3 2 2" xfId="30312" xr:uid="{00000000-0005-0000-0000-0000FC5B0000}"/>
    <cellStyle name="Currency 3 4 2 2 2 3 3" xfId="21710" xr:uid="{00000000-0005-0000-0000-0000FD5B0000}"/>
    <cellStyle name="Currency 3 4 2 2 2 4" xfId="9884" xr:uid="{00000000-0005-0000-0000-0000FE5B0000}"/>
    <cellStyle name="Currency 3 4 2 2 2 5" xfId="21712" xr:uid="{00000000-0005-0000-0000-0000FF5B0000}"/>
    <cellStyle name="Currency 3 4 2 2 3" xfId="6058" xr:uid="{00000000-0005-0000-0000-0000005C0000}"/>
    <cellStyle name="Currency 3 4 2 2 3 2" xfId="6059" xr:uid="{00000000-0005-0000-0000-0000015C0000}"/>
    <cellStyle name="Currency 3 4 2 2 3 2 2" xfId="13180" xr:uid="{00000000-0005-0000-0000-0000025C0000}"/>
    <cellStyle name="Currency 3 4 2 2 3 2 3" xfId="21708" xr:uid="{00000000-0005-0000-0000-0000035C0000}"/>
    <cellStyle name="Currency 3 4 2 2 3 3" xfId="12293" xr:uid="{00000000-0005-0000-0000-0000045C0000}"/>
    <cellStyle name="Currency 3 4 2 2 3 3 2" xfId="26005" xr:uid="{00000000-0005-0000-0000-0000055C0000}"/>
    <cellStyle name="Currency 3 4 2 2 3 4" xfId="21709" xr:uid="{00000000-0005-0000-0000-0000065C0000}"/>
    <cellStyle name="Currency 3 4 2 2 4" xfId="6060" xr:uid="{00000000-0005-0000-0000-0000075C0000}"/>
    <cellStyle name="Currency 3 4 2 2 4 2" xfId="6061" xr:uid="{00000000-0005-0000-0000-0000085C0000}"/>
    <cellStyle name="Currency 3 4 2 2 4 2 2" xfId="15639" xr:uid="{00000000-0005-0000-0000-0000095C0000}"/>
    <cellStyle name="Currency 3 4 2 2 4 2 3" xfId="21706" xr:uid="{00000000-0005-0000-0000-00000A5C0000}"/>
    <cellStyle name="Currency 3 4 2 2 4 3" xfId="13857" xr:uid="{00000000-0005-0000-0000-00000B5C0000}"/>
    <cellStyle name="Currency 3 4 2 2 4 3 2" xfId="27406" xr:uid="{00000000-0005-0000-0000-00000C5C0000}"/>
    <cellStyle name="Currency 3 4 2 2 4 4" xfId="21707" xr:uid="{00000000-0005-0000-0000-00000D5C0000}"/>
    <cellStyle name="Currency 3 4 2 2 5" xfId="6062" xr:uid="{00000000-0005-0000-0000-00000E5C0000}"/>
    <cellStyle name="Currency 3 4 2 2 5 2" xfId="14438" xr:uid="{00000000-0005-0000-0000-00000F5C0000}"/>
    <cellStyle name="Currency 3 4 2 2 5 2 2" xfId="27987" xr:uid="{00000000-0005-0000-0000-0000105C0000}"/>
    <cellStyle name="Currency 3 4 2 2 5 3" xfId="21705" xr:uid="{00000000-0005-0000-0000-0000115C0000}"/>
    <cellStyle name="Currency 3 4 2 2 6" xfId="6063" xr:uid="{00000000-0005-0000-0000-0000125C0000}"/>
    <cellStyle name="Currency 3 4 2 2 6 2" xfId="16324" xr:uid="{00000000-0005-0000-0000-0000135C0000}"/>
    <cellStyle name="Currency 3 4 2 2 6 2 2" xfId="29731" xr:uid="{00000000-0005-0000-0000-0000145C0000}"/>
    <cellStyle name="Currency 3 4 2 2 6 3" xfId="21704" xr:uid="{00000000-0005-0000-0000-0000155C0000}"/>
    <cellStyle name="Currency 3 4 2 2 7" xfId="9883" xr:uid="{00000000-0005-0000-0000-0000165C0000}"/>
    <cellStyle name="Currency 3 4 2 2 8" xfId="21713" xr:uid="{00000000-0005-0000-0000-0000175C0000}"/>
    <cellStyle name="Currency 3 4 2 3" xfId="6064" xr:uid="{00000000-0005-0000-0000-0000185C0000}"/>
    <cellStyle name="Currency 3 4 2 3 2" xfId="6065" xr:uid="{00000000-0005-0000-0000-0000195C0000}"/>
    <cellStyle name="Currency 3 4 2 3 2 2" xfId="11383" xr:uid="{00000000-0005-0000-0000-00001A5C0000}"/>
    <cellStyle name="Currency 3 4 2 3 2 3" xfId="21702" xr:uid="{00000000-0005-0000-0000-00001B5C0000}"/>
    <cellStyle name="Currency 3 4 2 3 3" xfId="6066" xr:uid="{00000000-0005-0000-0000-00001C5C0000}"/>
    <cellStyle name="Currency 3 4 2 3 3 2" xfId="16616" xr:uid="{00000000-0005-0000-0000-00001D5C0000}"/>
    <cellStyle name="Currency 3 4 2 3 3 2 2" xfId="30023" xr:uid="{00000000-0005-0000-0000-00001E5C0000}"/>
    <cellStyle name="Currency 3 4 2 3 3 3" xfId="21701" xr:uid="{00000000-0005-0000-0000-00001F5C0000}"/>
    <cellStyle name="Currency 3 4 2 3 4" xfId="9885" xr:uid="{00000000-0005-0000-0000-0000205C0000}"/>
    <cellStyle name="Currency 3 4 2 3 5" xfId="21703" xr:uid="{00000000-0005-0000-0000-0000215C0000}"/>
    <cellStyle name="Currency 3 4 2 4" xfId="6067" xr:uid="{00000000-0005-0000-0000-0000225C0000}"/>
    <cellStyle name="Currency 3 4 2 4 2" xfId="6068" xr:uid="{00000000-0005-0000-0000-0000235C0000}"/>
    <cellStyle name="Currency 3 4 2 4 2 2" xfId="13181" xr:uid="{00000000-0005-0000-0000-0000245C0000}"/>
    <cellStyle name="Currency 3 4 2 4 2 3" xfId="21699" xr:uid="{00000000-0005-0000-0000-0000255C0000}"/>
    <cellStyle name="Currency 3 4 2 4 3" xfId="11993" xr:uid="{00000000-0005-0000-0000-0000265C0000}"/>
    <cellStyle name="Currency 3 4 2 4 3 2" xfId="25708" xr:uid="{00000000-0005-0000-0000-0000275C0000}"/>
    <cellStyle name="Currency 3 4 2 4 4" xfId="21700" xr:uid="{00000000-0005-0000-0000-0000285C0000}"/>
    <cellStyle name="Currency 3 4 2 5" xfId="6069" xr:uid="{00000000-0005-0000-0000-0000295C0000}"/>
    <cellStyle name="Currency 3 4 2 5 2" xfId="6070" xr:uid="{00000000-0005-0000-0000-00002A5C0000}"/>
    <cellStyle name="Currency 3 4 2 5 2 2" xfId="15640" xr:uid="{00000000-0005-0000-0000-00002B5C0000}"/>
    <cellStyle name="Currency 3 4 2 5 2 3" xfId="21697" xr:uid="{00000000-0005-0000-0000-00002C5C0000}"/>
    <cellStyle name="Currency 3 4 2 5 3" xfId="13568" xr:uid="{00000000-0005-0000-0000-00002D5C0000}"/>
    <cellStyle name="Currency 3 4 2 5 3 2" xfId="27117" xr:uid="{00000000-0005-0000-0000-00002E5C0000}"/>
    <cellStyle name="Currency 3 4 2 5 4" xfId="21698" xr:uid="{00000000-0005-0000-0000-00002F5C0000}"/>
    <cellStyle name="Currency 3 4 2 6" xfId="6071" xr:uid="{00000000-0005-0000-0000-0000305C0000}"/>
    <cellStyle name="Currency 3 4 2 6 2" xfId="14149" xr:uid="{00000000-0005-0000-0000-0000315C0000}"/>
    <cellStyle name="Currency 3 4 2 6 2 2" xfId="27698" xr:uid="{00000000-0005-0000-0000-0000325C0000}"/>
    <cellStyle name="Currency 3 4 2 6 3" xfId="21696" xr:uid="{00000000-0005-0000-0000-0000335C0000}"/>
    <cellStyle name="Currency 3 4 2 7" xfId="6072" xr:uid="{00000000-0005-0000-0000-0000345C0000}"/>
    <cellStyle name="Currency 3 4 2 7 2" xfId="16035" xr:uid="{00000000-0005-0000-0000-0000355C0000}"/>
    <cellStyle name="Currency 3 4 2 7 2 2" xfId="29442" xr:uid="{00000000-0005-0000-0000-0000365C0000}"/>
    <cellStyle name="Currency 3 4 2 7 3" xfId="21695" xr:uid="{00000000-0005-0000-0000-0000375C0000}"/>
    <cellStyle name="Currency 3 4 2 8" xfId="9882" xr:uid="{00000000-0005-0000-0000-0000385C0000}"/>
    <cellStyle name="Currency 3 4 2 9" xfId="21714" xr:uid="{00000000-0005-0000-0000-0000395C0000}"/>
    <cellStyle name="Currency 3 4 3" xfId="6073" xr:uid="{00000000-0005-0000-0000-00003A5C0000}"/>
    <cellStyle name="Currency 3 4 3 2" xfId="6074" xr:uid="{00000000-0005-0000-0000-00003B5C0000}"/>
    <cellStyle name="Currency 3 4 3 2 2" xfId="6075" xr:uid="{00000000-0005-0000-0000-00003C5C0000}"/>
    <cellStyle name="Currency 3 4 3 2 2 2" xfId="11384" xr:uid="{00000000-0005-0000-0000-00003D5C0000}"/>
    <cellStyle name="Currency 3 4 3 2 2 3" xfId="21692" xr:uid="{00000000-0005-0000-0000-00003E5C0000}"/>
    <cellStyle name="Currency 3 4 3 2 3" xfId="6076" xr:uid="{00000000-0005-0000-0000-00003F5C0000}"/>
    <cellStyle name="Currency 3 4 3 2 3 2" xfId="16765" xr:uid="{00000000-0005-0000-0000-0000405C0000}"/>
    <cellStyle name="Currency 3 4 3 2 3 2 2" xfId="30172" xr:uid="{00000000-0005-0000-0000-0000415C0000}"/>
    <cellStyle name="Currency 3 4 3 2 3 3" xfId="21691" xr:uid="{00000000-0005-0000-0000-0000425C0000}"/>
    <cellStyle name="Currency 3 4 3 2 4" xfId="9887" xr:uid="{00000000-0005-0000-0000-0000435C0000}"/>
    <cellStyle name="Currency 3 4 3 2 5" xfId="21693" xr:uid="{00000000-0005-0000-0000-0000445C0000}"/>
    <cellStyle name="Currency 3 4 3 3" xfId="6077" xr:uid="{00000000-0005-0000-0000-0000455C0000}"/>
    <cellStyle name="Currency 3 4 3 3 2" xfId="6078" xr:uid="{00000000-0005-0000-0000-0000465C0000}"/>
    <cellStyle name="Currency 3 4 3 3 2 2" xfId="13182" xr:uid="{00000000-0005-0000-0000-0000475C0000}"/>
    <cellStyle name="Currency 3 4 3 3 2 3" xfId="21689" xr:uid="{00000000-0005-0000-0000-0000485C0000}"/>
    <cellStyle name="Currency 3 4 3 3 3" xfId="12153" xr:uid="{00000000-0005-0000-0000-0000495C0000}"/>
    <cellStyle name="Currency 3 4 3 3 3 2" xfId="25865" xr:uid="{00000000-0005-0000-0000-00004A5C0000}"/>
    <cellStyle name="Currency 3 4 3 3 4" xfId="21690" xr:uid="{00000000-0005-0000-0000-00004B5C0000}"/>
    <cellStyle name="Currency 3 4 3 4" xfId="6079" xr:uid="{00000000-0005-0000-0000-00004C5C0000}"/>
    <cellStyle name="Currency 3 4 3 4 2" xfId="6080" xr:uid="{00000000-0005-0000-0000-00004D5C0000}"/>
    <cellStyle name="Currency 3 4 3 4 2 2" xfId="15641" xr:uid="{00000000-0005-0000-0000-00004E5C0000}"/>
    <cellStyle name="Currency 3 4 3 4 2 3" xfId="21687" xr:uid="{00000000-0005-0000-0000-00004F5C0000}"/>
    <cellStyle name="Currency 3 4 3 4 3" xfId="13717" xr:uid="{00000000-0005-0000-0000-0000505C0000}"/>
    <cellStyle name="Currency 3 4 3 4 3 2" xfId="27266" xr:uid="{00000000-0005-0000-0000-0000515C0000}"/>
    <cellStyle name="Currency 3 4 3 4 4" xfId="21688" xr:uid="{00000000-0005-0000-0000-0000525C0000}"/>
    <cellStyle name="Currency 3 4 3 5" xfId="6081" xr:uid="{00000000-0005-0000-0000-0000535C0000}"/>
    <cellStyle name="Currency 3 4 3 5 2" xfId="14298" xr:uid="{00000000-0005-0000-0000-0000545C0000}"/>
    <cellStyle name="Currency 3 4 3 5 2 2" xfId="27847" xr:uid="{00000000-0005-0000-0000-0000555C0000}"/>
    <cellStyle name="Currency 3 4 3 5 3" xfId="21686" xr:uid="{00000000-0005-0000-0000-0000565C0000}"/>
    <cellStyle name="Currency 3 4 3 6" xfId="6082" xr:uid="{00000000-0005-0000-0000-0000575C0000}"/>
    <cellStyle name="Currency 3 4 3 6 2" xfId="16184" xr:uid="{00000000-0005-0000-0000-0000585C0000}"/>
    <cellStyle name="Currency 3 4 3 6 2 2" xfId="29591" xr:uid="{00000000-0005-0000-0000-0000595C0000}"/>
    <cellStyle name="Currency 3 4 3 6 3" xfId="21685" xr:uid="{00000000-0005-0000-0000-00005A5C0000}"/>
    <cellStyle name="Currency 3 4 3 7" xfId="9886" xr:uid="{00000000-0005-0000-0000-00005B5C0000}"/>
    <cellStyle name="Currency 3 4 3 8" xfId="21694" xr:uid="{00000000-0005-0000-0000-00005C5C0000}"/>
    <cellStyle name="Currency 3 4 4" xfId="6083" xr:uid="{00000000-0005-0000-0000-00005D5C0000}"/>
    <cellStyle name="Currency 3 4 4 2" xfId="6084" xr:uid="{00000000-0005-0000-0000-00005E5C0000}"/>
    <cellStyle name="Currency 3 4 4 2 2" xfId="16473" xr:uid="{00000000-0005-0000-0000-00005F5C0000}"/>
    <cellStyle name="Currency 3 4 4 2 2 2" xfId="29880" xr:uid="{00000000-0005-0000-0000-0000605C0000}"/>
    <cellStyle name="Currency 3 4 4 2 3" xfId="21683" xr:uid="{00000000-0005-0000-0000-0000615C0000}"/>
    <cellStyle name="Currency 3 4 4 3" xfId="9888" xr:uid="{00000000-0005-0000-0000-0000625C0000}"/>
    <cellStyle name="Currency 3 4 4 4" xfId="21684" xr:uid="{00000000-0005-0000-0000-0000635C0000}"/>
    <cellStyle name="Currency 3 4 5" xfId="6085" xr:uid="{00000000-0005-0000-0000-0000645C0000}"/>
    <cellStyle name="Currency 3 4 5 2" xfId="6086" xr:uid="{00000000-0005-0000-0000-0000655C0000}"/>
    <cellStyle name="Currency 3 4 5 2 2" xfId="11385" xr:uid="{00000000-0005-0000-0000-0000665C0000}"/>
    <cellStyle name="Currency 3 4 5 2 3" xfId="21681" xr:uid="{00000000-0005-0000-0000-0000675C0000}"/>
    <cellStyle name="Currency 3 4 5 3" xfId="9889" xr:uid="{00000000-0005-0000-0000-0000685C0000}"/>
    <cellStyle name="Currency 3 4 5 4" xfId="21682" xr:uid="{00000000-0005-0000-0000-0000695C0000}"/>
    <cellStyle name="Currency 3 4 6" xfId="6087" xr:uid="{00000000-0005-0000-0000-00006A5C0000}"/>
    <cellStyle name="Currency 3 4 6 2" xfId="6088" xr:uid="{00000000-0005-0000-0000-00006B5C0000}"/>
    <cellStyle name="Currency 3 4 6 2 2" xfId="13183" xr:uid="{00000000-0005-0000-0000-00006C5C0000}"/>
    <cellStyle name="Currency 3 4 6 2 3" xfId="21679" xr:uid="{00000000-0005-0000-0000-00006D5C0000}"/>
    <cellStyle name="Currency 3 4 6 3" xfId="11824" xr:uid="{00000000-0005-0000-0000-00006E5C0000}"/>
    <cellStyle name="Currency 3 4 6 3 2" xfId="25539" xr:uid="{00000000-0005-0000-0000-00006F5C0000}"/>
    <cellStyle name="Currency 3 4 6 4" xfId="21680" xr:uid="{00000000-0005-0000-0000-0000705C0000}"/>
    <cellStyle name="Currency 3 4 7" xfId="6089" xr:uid="{00000000-0005-0000-0000-0000715C0000}"/>
    <cellStyle name="Currency 3 4 7 2" xfId="6090" xr:uid="{00000000-0005-0000-0000-0000725C0000}"/>
    <cellStyle name="Currency 3 4 7 2 2" xfId="15642" xr:uid="{00000000-0005-0000-0000-0000735C0000}"/>
    <cellStyle name="Currency 3 4 7 2 3" xfId="21677" xr:uid="{00000000-0005-0000-0000-0000745C0000}"/>
    <cellStyle name="Currency 3 4 7 3" xfId="13425" xr:uid="{00000000-0005-0000-0000-0000755C0000}"/>
    <cellStyle name="Currency 3 4 7 3 2" xfId="26974" xr:uid="{00000000-0005-0000-0000-0000765C0000}"/>
    <cellStyle name="Currency 3 4 7 4" xfId="21678" xr:uid="{00000000-0005-0000-0000-0000775C0000}"/>
    <cellStyle name="Currency 3 4 8" xfId="6091" xr:uid="{00000000-0005-0000-0000-0000785C0000}"/>
    <cellStyle name="Currency 3 4 8 2" xfId="14006" xr:uid="{00000000-0005-0000-0000-0000795C0000}"/>
    <cellStyle name="Currency 3 4 8 2 2" xfId="27555" xr:uid="{00000000-0005-0000-0000-00007A5C0000}"/>
    <cellStyle name="Currency 3 4 8 3" xfId="21676" xr:uid="{00000000-0005-0000-0000-00007B5C0000}"/>
    <cellStyle name="Currency 3 4 9" xfId="6092" xr:uid="{00000000-0005-0000-0000-00007C5C0000}"/>
    <cellStyle name="Currency 3 4 9 2" xfId="15892" xr:uid="{00000000-0005-0000-0000-00007D5C0000}"/>
    <cellStyle name="Currency 3 4 9 2 2" xfId="29299" xr:uid="{00000000-0005-0000-0000-00007E5C0000}"/>
    <cellStyle name="Currency 3 4 9 3" xfId="21675" xr:uid="{00000000-0005-0000-0000-00007F5C0000}"/>
    <cellStyle name="Currency 3 5" xfId="6093" xr:uid="{00000000-0005-0000-0000-0000805C0000}"/>
    <cellStyle name="Currency 3 5 10" xfId="9890" xr:uid="{00000000-0005-0000-0000-0000815C0000}"/>
    <cellStyle name="Currency 3 5 11" xfId="21674" xr:uid="{00000000-0005-0000-0000-0000825C0000}"/>
    <cellStyle name="Currency 3 5 2" xfId="6094" xr:uid="{00000000-0005-0000-0000-0000835C0000}"/>
    <cellStyle name="Currency 3 5 2 2" xfId="6095" xr:uid="{00000000-0005-0000-0000-0000845C0000}"/>
    <cellStyle name="Currency 3 5 2 2 2" xfId="6096" xr:uid="{00000000-0005-0000-0000-0000855C0000}"/>
    <cellStyle name="Currency 3 5 2 2 2 2" xfId="6097" xr:uid="{00000000-0005-0000-0000-0000865C0000}"/>
    <cellStyle name="Currency 3 5 2 2 2 2 2" xfId="11386" xr:uid="{00000000-0005-0000-0000-0000875C0000}"/>
    <cellStyle name="Currency 3 5 2 2 2 2 3" xfId="21670" xr:uid="{00000000-0005-0000-0000-0000885C0000}"/>
    <cellStyle name="Currency 3 5 2 2 2 3" xfId="6098" xr:uid="{00000000-0005-0000-0000-0000895C0000}"/>
    <cellStyle name="Currency 3 5 2 2 2 3 2" xfId="16888" xr:uid="{00000000-0005-0000-0000-00008A5C0000}"/>
    <cellStyle name="Currency 3 5 2 2 2 3 2 2" xfId="30295" xr:uid="{00000000-0005-0000-0000-00008B5C0000}"/>
    <cellStyle name="Currency 3 5 2 2 2 3 3" xfId="21669" xr:uid="{00000000-0005-0000-0000-00008C5C0000}"/>
    <cellStyle name="Currency 3 5 2 2 2 4" xfId="9893" xr:uid="{00000000-0005-0000-0000-00008D5C0000}"/>
    <cellStyle name="Currency 3 5 2 2 2 5" xfId="21671" xr:uid="{00000000-0005-0000-0000-00008E5C0000}"/>
    <cellStyle name="Currency 3 5 2 2 3" xfId="6099" xr:uid="{00000000-0005-0000-0000-00008F5C0000}"/>
    <cellStyle name="Currency 3 5 2 2 3 2" xfId="6100" xr:uid="{00000000-0005-0000-0000-0000905C0000}"/>
    <cellStyle name="Currency 3 5 2 2 3 2 2" xfId="13184" xr:uid="{00000000-0005-0000-0000-0000915C0000}"/>
    <cellStyle name="Currency 3 5 2 2 3 2 3" xfId="21667" xr:uid="{00000000-0005-0000-0000-0000925C0000}"/>
    <cellStyle name="Currency 3 5 2 2 3 3" xfId="12276" xr:uid="{00000000-0005-0000-0000-0000935C0000}"/>
    <cellStyle name="Currency 3 5 2 2 3 3 2" xfId="25988" xr:uid="{00000000-0005-0000-0000-0000945C0000}"/>
    <cellStyle name="Currency 3 5 2 2 3 4" xfId="21668" xr:uid="{00000000-0005-0000-0000-0000955C0000}"/>
    <cellStyle name="Currency 3 5 2 2 4" xfId="6101" xr:uid="{00000000-0005-0000-0000-0000965C0000}"/>
    <cellStyle name="Currency 3 5 2 2 4 2" xfId="6102" xr:uid="{00000000-0005-0000-0000-0000975C0000}"/>
    <cellStyle name="Currency 3 5 2 2 4 2 2" xfId="15643" xr:uid="{00000000-0005-0000-0000-0000985C0000}"/>
    <cellStyle name="Currency 3 5 2 2 4 2 3" xfId="21665" xr:uid="{00000000-0005-0000-0000-0000995C0000}"/>
    <cellStyle name="Currency 3 5 2 2 4 3" xfId="13840" xr:uid="{00000000-0005-0000-0000-00009A5C0000}"/>
    <cellStyle name="Currency 3 5 2 2 4 3 2" xfId="27389" xr:uid="{00000000-0005-0000-0000-00009B5C0000}"/>
    <cellStyle name="Currency 3 5 2 2 4 4" xfId="21666" xr:uid="{00000000-0005-0000-0000-00009C5C0000}"/>
    <cellStyle name="Currency 3 5 2 2 5" xfId="6103" xr:uid="{00000000-0005-0000-0000-00009D5C0000}"/>
    <cellStyle name="Currency 3 5 2 2 5 2" xfId="14421" xr:uid="{00000000-0005-0000-0000-00009E5C0000}"/>
    <cellStyle name="Currency 3 5 2 2 5 2 2" xfId="27970" xr:uid="{00000000-0005-0000-0000-00009F5C0000}"/>
    <cellStyle name="Currency 3 5 2 2 5 3" xfId="21664" xr:uid="{00000000-0005-0000-0000-0000A05C0000}"/>
    <cellStyle name="Currency 3 5 2 2 6" xfId="6104" xr:uid="{00000000-0005-0000-0000-0000A15C0000}"/>
    <cellStyle name="Currency 3 5 2 2 6 2" xfId="16307" xr:uid="{00000000-0005-0000-0000-0000A25C0000}"/>
    <cellStyle name="Currency 3 5 2 2 6 2 2" xfId="29714" xr:uid="{00000000-0005-0000-0000-0000A35C0000}"/>
    <cellStyle name="Currency 3 5 2 2 6 3" xfId="21663" xr:uid="{00000000-0005-0000-0000-0000A45C0000}"/>
    <cellStyle name="Currency 3 5 2 2 7" xfId="9892" xr:uid="{00000000-0005-0000-0000-0000A55C0000}"/>
    <cellStyle name="Currency 3 5 2 2 8" xfId="21672" xr:uid="{00000000-0005-0000-0000-0000A65C0000}"/>
    <cellStyle name="Currency 3 5 2 3" xfId="6105" xr:uid="{00000000-0005-0000-0000-0000A75C0000}"/>
    <cellStyle name="Currency 3 5 2 3 2" xfId="6106" xr:uid="{00000000-0005-0000-0000-0000A85C0000}"/>
    <cellStyle name="Currency 3 5 2 3 2 2" xfId="11387" xr:uid="{00000000-0005-0000-0000-0000A95C0000}"/>
    <cellStyle name="Currency 3 5 2 3 2 3" xfId="21661" xr:uid="{00000000-0005-0000-0000-0000AA5C0000}"/>
    <cellStyle name="Currency 3 5 2 3 3" xfId="6107" xr:uid="{00000000-0005-0000-0000-0000AB5C0000}"/>
    <cellStyle name="Currency 3 5 2 3 3 2" xfId="16599" xr:uid="{00000000-0005-0000-0000-0000AC5C0000}"/>
    <cellStyle name="Currency 3 5 2 3 3 2 2" xfId="30006" xr:uid="{00000000-0005-0000-0000-0000AD5C0000}"/>
    <cellStyle name="Currency 3 5 2 3 3 3" xfId="21660" xr:uid="{00000000-0005-0000-0000-0000AE5C0000}"/>
    <cellStyle name="Currency 3 5 2 3 4" xfId="9894" xr:uid="{00000000-0005-0000-0000-0000AF5C0000}"/>
    <cellStyle name="Currency 3 5 2 3 5" xfId="21662" xr:uid="{00000000-0005-0000-0000-0000B05C0000}"/>
    <cellStyle name="Currency 3 5 2 4" xfId="6108" xr:uid="{00000000-0005-0000-0000-0000B15C0000}"/>
    <cellStyle name="Currency 3 5 2 4 2" xfId="6109" xr:uid="{00000000-0005-0000-0000-0000B25C0000}"/>
    <cellStyle name="Currency 3 5 2 4 2 2" xfId="13185" xr:uid="{00000000-0005-0000-0000-0000B35C0000}"/>
    <cellStyle name="Currency 3 5 2 4 2 3" xfId="21658" xr:uid="{00000000-0005-0000-0000-0000B45C0000}"/>
    <cellStyle name="Currency 3 5 2 4 3" xfId="11976" xr:uid="{00000000-0005-0000-0000-0000B55C0000}"/>
    <cellStyle name="Currency 3 5 2 4 3 2" xfId="25691" xr:uid="{00000000-0005-0000-0000-0000B65C0000}"/>
    <cellStyle name="Currency 3 5 2 4 4" xfId="21659" xr:uid="{00000000-0005-0000-0000-0000B75C0000}"/>
    <cellStyle name="Currency 3 5 2 5" xfId="6110" xr:uid="{00000000-0005-0000-0000-0000B85C0000}"/>
    <cellStyle name="Currency 3 5 2 5 2" xfId="6111" xr:uid="{00000000-0005-0000-0000-0000B95C0000}"/>
    <cellStyle name="Currency 3 5 2 5 2 2" xfId="15644" xr:uid="{00000000-0005-0000-0000-0000BA5C0000}"/>
    <cellStyle name="Currency 3 5 2 5 2 3" xfId="21656" xr:uid="{00000000-0005-0000-0000-0000BB5C0000}"/>
    <cellStyle name="Currency 3 5 2 5 3" xfId="13551" xr:uid="{00000000-0005-0000-0000-0000BC5C0000}"/>
    <cellStyle name="Currency 3 5 2 5 3 2" xfId="27100" xr:uid="{00000000-0005-0000-0000-0000BD5C0000}"/>
    <cellStyle name="Currency 3 5 2 5 4" xfId="21657" xr:uid="{00000000-0005-0000-0000-0000BE5C0000}"/>
    <cellStyle name="Currency 3 5 2 6" xfId="6112" xr:uid="{00000000-0005-0000-0000-0000BF5C0000}"/>
    <cellStyle name="Currency 3 5 2 6 2" xfId="14132" xr:uid="{00000000-0005-0000-0000-0000C05C0000}"/>
    <cellStyle name="Currency 3 5 2 6 2 2" xfId="27681" xr:uid="{00000000-0005-0000-0000-0000C15C0000}"/>
    <cellStyle name="Currency 3 5 2 6 3" xfId="21655" xr:uid="{00000000-0005-0000-0000-0000C25C0000}"/>
    <cellStyle name="Currency 3 5 2 7" xfId="6113" xr:uid="{00000000-0005-0000-0000-0000C35C0000}"/>
    <cellStyle name="Currency 3 5 2 7 2" xfId="16018" xr:uid="{00000000-0005-0000-0000-0000C45C0000}"/>
    <cellStyle name="Currency 3 5 2 7 2 2" xfId="29425" xr:uid="{00000000-0005-0000-0000-0000C55C0000}"/>
    <cellStyle name="Currency 3 5 2 7 3" xfId="21654" xr:uid="{00000000-0005-0000-0000-0000C65C0000}"/>
    <cellStyle name="Currency 3 5 2 8" xfId="9891" xr:uid="{00000000-0005-0000-0000-0000C75C0000}"/>
    <cellStyle name="Currency 3 5 2 9" xfId="21673" xr:uid="{00000000-0005-0000-0000-0000C85C0000}"/>
    <cellStyle name="Currency 3 5 3" xfId="6114" xr:uid="{00000000-0005-0000-0000-0000C95C0000}"/>
    <cellStyle name="Currency 3 5 3 2" xfId="6115" xr:uid="{00000000-0005-0000-0000-0000CA5C0000}"/>
    <cellStyle name="Currency 3 5 3 2 2" xfId="6116" xr:uid="{00000000-0005-0000-0000-0000CB5C0000}"/>
    <cellStyle name="Currency 3 5 3 2 2 2" xfId="11388" xr:uid="{00000000-0005-0000-0000-0000CC5C0000}"/>
    <cellStyle name="Currency 3 5 3 2 2 3" xfId="21651" xr:uid="{00000000-0005-0000-0000-0000CD5C0000}"/>
    <cellStyle name="Currency 3 5 3 2 3" xfId="6117" xr:uid="{00000000-0005-0000-0000-0000CE5C0000}"/>
    <cellStyle name="Currency 3 5 3 2 3 2" xfId="16748" xr:uid="{00000000-0005-0000-0000-0000CF5C0000}"/>
    <cellStyle name="Currency 3 5 3 2 3 2 2" xfId="30155" xr:uid="{00000000-0005-0000-0000-0000D05C0000}"/>
    <cellStyle name="Currency 3 5 3 2 3 3" xfId="21650" xr:uid="{00000000-0005-0000-0000-0000D15C0000}"/>
    <cellStyle name="Currency 3 5 3 2 4" xfId="9896" xr:uid="{00000000-0005-0000-0000-0000D25C0000}"/>
    <cellStyle name="Currency 3 5 3 2 5" xfId="21652" xr:uid="{00000000-0005-0000-0000-0000D35C0000}"/>
    <cellStyle name="Currency 3 5 3 3" xfId="6118" xr:uid="{00000000-0005-0000-0000-0000D45C0000}"/>
    <cellStyle name="Currency 3 5 3 3 2" xfId="6119" xr:uid="{00000000-0005-0000-0000-0000D55C0000}"/>
    <cellStyle name="Currency 3 5 3 3 2 2" xfId="13186" xr:uid="{00000000-0005-0000-0000-0000D65C0000}"/>
    <cellStyle name="Currency 3 5 3 3 2 3" xfId="21648" xr:uid="{00000000-0005-0000-0000-0000D75C0000}"/>
    <cellStyle name="Currency 3 5 3 3 3" xfId="12136" xr:uid="{00000000-0005-0000-0000-0000D85C0000}"/>
    <cellStyle name="Currency 3 5 3 3 3 2" xfId="25848" xr:uid="{00000000-0005-0000-0000-0000D95C0000}"/>
    <cellStyle name="Currency 3 5 3 3 4" xfId="21649" xr:uid="{00000000-0005-0000-0000-0000DA5C0000}"/>
    <cellStyle name="Currency 3 5 3 4" xfId="6120" xr:uid="{00000000-0005-0000-0000-0000DB5C0000}"/>
    <cellStyle name="Currency 3 5 3 4 2" xfId="6121" xr:uid="{00000000-0005-0000-0000-0000DC5C0000}"/>
    <cellStyle name="Currency 3 5 3 4 2 2" xfId="15645" xr:uid="{00000000-0005-0000-0000-0000DD5C0000}"/>
    <cellStyle name="Currency 3 5 3 4 2 3" xfId="21646" xr:uid="{00000000-0005-0000-0000-0000DE5C0000}"/>
    <cellStyle name="Currency 3 5 3 4 3" xfId="13700" xr:uid="{00000000-0005-0000-0000-0000DF5C0000}"/>
    <cellStyle name="Currency 3 5 3 4 3 2" xfId="27249" xr:uid="{00000000-0005-0000-0000-0000E05C0000}"/>
    <cellStyle name="Currency 3 5 3 4 4" xfId="21647" xr:uid="{00000000-0005-0000-0000-0000E15C0000}"/>
    <cellStyle name="Currency 3 5 3 5" xfId="6122" xr:uid="{00000000-0005-0000-0000-0000E25C0000}"/>
    <cellStyle name="Currency 3 5 3 5 2" xfId="14281" xr:uid="{00000000-0005-0000-0000-0000E35C0000}"/>
    <cellStyle name="Currency 3 5 3 5 2 2" xfId="27830" xr:uid="{00000000-0005-0000-0000-0000E45C0000}"/>
    <cellStyle name="Currency 3 5 3 5 3" xfId="21645" xr:uid="{00000000-0005-0000-0000-0000E55C0000}"/>
    <cellStyle name="Currency 3 5 3 6" xfId="6123" xr:uid="{00000000-0005-0000-0000-0000E65C0000}"/>
    <cellStyle name="Currency 3 5 3 6 2" xfId="16167" xr:uid="{00000000-0005-0000-0000-0000E75C0000}"/>
    <cellStyle name="Currency 3 5 3 6 2 2" xfId="29574" xr:uid="{00000000-0005-0000-0000-0000E85C0000}"/>
    <cellStyle name="Currency 3 5 3 6 3" xfId="21644" xr:uid="{00000000-0005-0000-0000-0000E95C0000}"/>
    <cellStyle name="Currency 3 5 3 7" xfId="9895" xr:uid="{00000000-0005-0000-0000-0000EA5C0000}"/>
    <cellStyle name="Currency 3 5 3 8" xfId="21653" xr:uid="{00000000-0005-0000-0000-0000EB5C0000}"/>
    <cellStyle name="Currency 3 5 4" xfId="6124" xr:uid="{00000000-0005-0000-0000-0000EC5C0000}"/>
    <cellStyle name="Currency 3 5 4 2" xfId="6125" xr:uid="{00000000-0005-0000-0000-0000ED5C0000}"/>
    <cellStyle name="Currency 3 5 4 2 2" xfId="16456" xr:uid="{00000000-0005-0000-0000-0000EE5C0000}"/>
    <cellStyle name="Currency 3 5 4 2 2 2" xfId="29863" xr:uid="{00000000-0005-0000-0000-0000EF5C0000}"/>
    <cellStyle name="Currency 3 5 4 2 3" xfId="21642" xr:uid="{00000000-0005-0000-0000-0000F05C0000}"/>
    <cellStyle name="Currency 3 5 4 3" xfId="9897" xr:uid="{00000000-0005-0000-0000-0000F15C0000}"/>
    <cellStyle name="Currency 3 5 4 4" xfId="21643" xr:uid="{00000000-0005-0000-0000-0000F25C0000}"/>
    <cellStyle name="Currency 3 5 5" xfId="6126" xr:uid="{00000000-0005-0000-0000-0000F35C0000}"/>
    <cellStyle name="Currency 3 5 5 2" xfId="6127" xr:uid="{00000000-0005-0000-0000-0000F45C0000}"/>
    <cellStyle name="Currency 3 5 5 2 2" xfId="11389" xr:uid="{00000000-0005-0000-0000-0000F55C0000}"/>
    <cellStyle name="Currency 3 5 5 2 3" xfId="21640" xr:uid="{00000000-0005-0000-0000-0000F65C0000}"/>
    <cellStyle name="Currency 3 5 5 3" xfId="9898" xr:uid="{00000000-0005-0000-0000-0000F75C0000}"/>
    <cellStyle name="Currency 3 5 5 4" xfId="21641" xr:uid="{00000000-0005-0000-0000-0000F85C0000}"/>
    <cellStyle name="Currency 3 5 6" xfId="6128" xr:uid="{00000000-0005-0000-0000-0000F95C0000}"/>
    <cellStyle name="Currency 3 5 6 2" xfId="6129" xr:uid="{00000000-0005-0000-0000-0000FA5C0000}"/>
    <cellStyle name="Currency 3 5 6 2 2" xfId="13187" xr:uid="{00000000-0005-0000-0000-0000FB5C0000}"/>
    <cellStyle name="Currency 3 5 6 2 3" xfId="21638" xr:uid="{00000000-0005-0000-0000-0000FC5C0000}"/>
    <cellStyle name="Currency 3 5 6 3" xfId="11807" xr:uid="{00000000-0005-0000-0000-0000FD5C0000}"/>
    <cellStyle name="Currency 3 5 6 3 2" xfId="25522" xr:uid="{00000000-0005-0000-0000-0000FE5C0000}"/>
    <cellStyle name="Currency 3 5 6 4" xfId="21639" xr:uid="{00000000-0005-0000-0000-0000FF5C0000}"/>
    <cellStyle name="Currency 3 5 7" xfId="6130" xr:uid="{00000000-0005-0000-0000-0000005D0000}"/>
    <cellStyle name="Currency 3 5 7 2" xfId="6131" xr:uid="{00000000-0005-0000-0000-0000015D0000}"/>
    <cellStyle name="Currency 3 5 7 2 2" xfId="15646" xr:uid="{00000000-0005-0000-0000-0000025D0000}"/>
    <cellStyle name="Currency 3 5 7 2 3" xfId="21636" xr:uid="{00000000-0005-0000-0000-0000035D0000}"/>
    <cellStyle name="Currency 3 5 7 3" xfId="13408" xr:uid="{00000000-0005-0000-0000-0000045D0000}"/>
    <cellStyle name="Currency 3 5 7 3 2" xfId="26957" xr:uid="{00000000-0005-0000-0000-0000055D0000}"/>
    <cellStyle name="Currency 3 5 7 4" xfId="21637" xr:uid="{00000000-0005-0000-0000-0000065D0000}"/>
    <cellStyle name="Currency 3 5 8" xfId="6132" xr:uid="{00000000-0005-0000-0000-0000075D0000}"/>
    <cellStyle name="Currency 3 5 8 2" xfId="13989" xr:uid="{00000000-0005-0000-0000-0000085D0000}"/>
    <cellStyle name="Currency 3 5 8 2 2" xfId="27538" xr:uid="{00000000-0005-0000-0000-0000095D0000}"/>
    <cellStyle name="Currency 3 5 8 3" xfId="21635" xr:uid="{00000000-0005-0000-0000-00000A5D0000}"/>
    <cellStyle name="Currency 3 5 9" xfId="6133" xr:uid="{00000000-0005-0000-0000-00000B5D0000}"/>
    <cellStyle name="Currency 3 5 9 2" xfId="15875" xr:uid="{00000000-0005-0000-0000-00000C5D0000}"/>
    <cellStyle name="Currency 3 5 9 2 2" xfId="29282" xr:uid="{00000000-0005-0000-0000-00000D5D0000}"/>
    <cellStyle name="Currency 3 5 9 3" xfId="21634" xr:uid="{00000000-0005-0000-0000-00000E5D0000}"/>
    <cellStyle name="Currency 3 6" xfId="6134" xr:uid="{00000000-0005-0000-0000-00000F5D0000}"/>
    <cellStyle name="Currency 3 6 10" xfId="9899" xr:uid="{00000000-0005-0000-0000-0000105D0000}"/>
    <cellStyle name="Currency 3 6 11" xfId="21633" xr:uid="{00000000-0005-0000-0000-0000115D0000}"/>
    <cellStyle name="Currency 3 6 2" xfId="6135" xr:uid="{00000000-0005-0000-0000-0000125D0000}"/>
    <cellStyle name="Currency 3 6 2 2" xfId="6136" xr:uid="{00000000-0005-0000-0000-0000135D0000}"/>
    <cellStyle name="Currency 3 6 2 2 2" xfId="6137" xr:uid="{00000000-0005-0000-0000-0000145D0000}"/>
    <cellStyle name="Currency 3 6 2 2 2 2" xfId="6138" xr:uid="{00000000-0005-0000-0000-0000155D0000}"/>
    <cellStyle name="Currency 3 6 2 2 2 2 2" xfId="11390" xr:uid="{00000000-0005-0000-0000-0000165D0000}"/>
    <cellStyle name="Currency 3 6 2 2 2 2 3" xfId="21629" xr:uid="{00000000-0005-0000-0000-0000175D0000}"/>
    <cellStyle name="Currency 3 6 2 2 2 3" xfId="6139" xr:uid="{00000000-0005-0000-0000-0000185D0000}"/>
    <cellStyle name="Currency 3 6 2 2 2 3 2" xfId="16994" xr:uid="{00000000-0005-0000-0000-0000195D0000}"/>
    <cellStyle name="Currency 3 6 2 2 2 3 2 2" xfId="30401" xr:uid="{00000000-0005-0000-0000-00001A5D0000}"/>
    <cellStyle name="Currency 3 6 2 2 2 3 3" xfId="21628" xr:uid="{00000000-0005-0000-0000-00001B5D0000}"/>
    <cellStyle name="Currency 3 6 2 2 2 4" xfId="9902" xr:uid="{00000000-0005-0000-0000-00001C5D0000}"/>
    <cellStyle name="Currency 3 6 2 2 2 5" xfId="21630" xr:uid="{00000000-0005-0000-0000-00001D5D0000}"/>
    <cellStyle name="Currency 3 6 2 2 3" xfId="6140" xr:uid="{00000000-0005-0000-0000-00001E5D0000}"/>
    <cellStyle name="Currency 3 6 2 2 3 2" xfId="6141" xr:uid="{00000000-0005-0000-0000-00001F5D0000}"/>
    <cellStyle name="Currency 3 6 2 2 3 2 2" xfId="13188" xr:uid="{00000000-0005-0000-0000-0000205D0000}"/>
    <cellStyle name="Currency 3 6 2 2 3 2 3" xfId="21626" xr:uid="{00000000-0005-0000-0000-0000215D0000}"/>
    <cellStyle name="Currency 3 6 2 2 3 3" xfId="12382" xr:uid="{00000000-0005-0000-0000-0000225D0000}"/>
    <cellStyle name="Currency 3 6 2 2 3 3 2" xfId="26094" xr:uid="{00000000-0005-0000-0000-0000235D0000}"/>
    <cellStyle name="Currency 3 6 2 2 3 4" xfId="21627" xr:uid="{00000000-0005-0000-0000-0000245D0000}"/>
    <cellStyle name="Currency 3 6 2 2 4" xfId="6142" xr:uid="{00000000-0005-0000-0000-0000255D0000}"/>
    <cellStyle name="Currency 3 6 2 2 4 2" xfId="6143" xr:uid="{00000000-0005-0000-0000-0000265D0000}"/>
    <cellStyle name="Currency 3 6 2 2 4 2 2" xfId="15647" xr:uid="{00000000-0005-0000-0000-0000275D0000}"/>
    <cellStyle name="Currency 3 6 2 2 4 2 3" xfId="21624" xr:uid="{00000000-0005-0000-0000-0000285D0000}"/>
    <cellStyle name="Currency 3 6 2 2 4 3" xfId="13946" xr:uid="{00000000-0005-0000-0000-0000295D0000}"/>
    <cellStyle name="Currency 3 6 2 2 4 3 2" xfId="27495" xr:uid="{00000000-0005-0000-0000-00002A5D0000}"/>
    <cellStyle name="Currency 3 6 2 2 4 4" xfId="21625" xr:uid="{00000000-0005-0000-0000-00002B5D0000}"/>
    <cellStyle name="Currency 3 6 2 2 5" xfId="6144" xr:uid="{00000000-0005-0000-0000-00002C5D0000}"/>
    <cellStyle name="Currency 3 6 2 2 5 2" xfId="14527" xr:uid="{00000000-0005-0000-0000-00002D5D0000}"/>
    <cellStyle name="Currency 3 6 2 2 5 2 2" xfId="28076" xr:uid="{00000000-0005-0000-0000-00002E5D0000}"/>
    <cellStyle name="Currency 3 6 2 2 5 3" xfId="21623" xr:uid="{00000000-0005-0000-0000-00002F5D0000}"/>
    <cellStyle name="Currency 3 6 2 2 6" xfId="6145" xr:uid="{00000000-0005-0000-0000-0000305D0000}"/>
    <cellStyle name="Currency 3 6 2 2 6 2" xfId="16413" xr:uid="{00000000-0005-0000-0000-0000315D0000}"/>
    <cellStyle name="Currency 3 6 2 2 6 2 2" xfId="29820" xr:uid="{00000000-0005-0000-0000-0000325D0000}"/>
    <cellStyle name="Currency 3 6 2 2 6 3" xfId="21622" xr:uid="{00000000-0005-0000-0000-0000335D0000}"/>
    <cellStyle name="Currency 3 6 2 2 7" xfId="9901" xr:uid="{00000000-0005-0000-0000-0000345D0000}"/>
    <cellStyle name="Currency 3 6 2 2 8" xfId="21631" xr:uid="{00000000-0005-0000-0000-0000355D0000}"/>
    <cellStyle name="Currency 3 6 2 3" xfId="6146" xr:uid="{00000000-0005-0000-0000-0000365D0000}"/>
    <cellStyle name="Currency 3 6 2 3 2" xfId="6147" xr:uid="{00000000-0005-0000-0000-0000375D0000}"/>
    <cellStyle name="Currency 3 6 2 3 2 2" xfId="11391" xr:uid="{00000000-0005-0000-0000-0000385D0000}"/>
    <cellStyle name="Currency 3 6 2 3 2 3" xfId="21620" xr:uid="{00000000-0005-0000-0000-0000395D0000}"/>
    <cellStyle name="Currency 3 6 2 3 3" xfId="6148" xr:uid="{00000000-0005-0000-0000-00003A5D0000}"/>
    <cellStyle name="Currency 3 6 2 3 3 2" xfId="16705" xr:uid="{00000000-0005-0000-0000-00003B5D0000}"/>
    <cellStyle name="Currency 3 6 2 3 3 2 2" xfId="30112" xr:uid="{00000000-0005-0000-0000-00003C5D0000}"/>
    <cellStyle name="Currency 3 6 2 3 3 3" xfId="21619" xr:uid="{00000000-0005-0000-0000-00003D5D0000}"/>
    <cellStyle name="Currency 3 6 2 3 4" xfId="9903" xr:uid="{00000000-0005-0000-0000-00003E5D0000}"/>
    <cellStyle name="Currency 3 6 2 3 5" xfId="21621" xr:uid="{00000000-0005-0000-0000-00003F5D0000}"/>
    <cellStyle name="Currency 3 6 2 4" xfId="6149" xr:uid="{00000000-0005-0000-0000-0000405D0000}"/>
    <cellStyle name="Currency 3 6 2 4 2" xfId="6150" xr:uid="{00000000-0005-0000-0000-0000415D0000}"/>
    <cellStyle name="Currency 3 6 2 4 2 2" xfId="13189" xr:uid="{00000000-0005-0000-0000-0000425D0000}"/>
    <cellStyle name="Currency 3 6 2 4 2 3" xfId="21617" xr:uid="{00000000-0005-0000-0000-0000435D0000}"/>
    <cellStyle name="Currency 3 6 2 4 3" xfId="12082" xr:uid="{00000000-0005-0000-0000-0000445D0000}"/>
    <cellStyle name="Currency 3 6 2 4 3 2" xfId="25797" xr:uid="{00000000-0005-0000-0000-0000455D0000}"/>
    <cellStyle name="Currency 3 6 2 4 4" xfId="21618" xr:uid="{00000000-0005-0000-0000-0000465D0000}"/>
    <cellStyle name="Currency 3 6 2 5" xfId="6151" xr:uid="{00000000-0005-0000-0000-0000475D0000}"/>
    <cellStyle name="Currency 3 6 2 5 2" xfId="6152" xr:uid="{00000000-0005-0000-0000-0000485D0000}"/>
    <cellStyle name="Currency 3 6 2 5 2 2" xfId="15648" xr:uid="{00000000-0005-0000-0000-0000495D0000}"/>
    <cellStyle name="Currency 3 6 2 5 2 3" xfId="21615" xr:uid="{00000000-0005-0000-0000-00004A5D0000}"/>
    <cellStyle name="Currency 3 6 2 5 3" xfId="13657" xr:uid="{00000000-0005-0000-0000-00004B5D0000}"/>
    <cellStyle name="Currency 3 6 2 5 3 2" xfId="27206" xr:uid="{00000000-0005-0000-0000-00004C5D0000}"/>
    <cellStyle name="Currency 3 6 2 5 4" xfId="21616" xr:uid="{00000000-0005-0000-0000-00004D5D0000}"/>
    <cellStyle name="Currency 3 6 2 6" xfId="6153" xr:uid="{00000000-0005-0000-0000-00004E5D0000}"/>
    <cellStyle name="Currency 3 6 2 6 2" xfId="14238" xr:uid="{00000000-0005-0000-0000-00004F5D0000}"/>
    <cellStyle name="Currency 3 6 2 6 2 2" xfId="27787" xr:uid="{00000000-0005-0000-0000-0000505D0000}"/>
    <cellStyle name="Currency 3 6 2 6 3" xfId="21614" xr:uid="{00000000-0005-0000-0000-0000515D0000}"/>
    <cellStyle name="Currency 3 6 2 7" xfId="6154" xr:uid="{00000000-0005-0000-0000-0000525D0000}"/>
    <cellStyle name="Currency 3 6 2 7 2" xfId="16124" xr:uid="{00000000-0005-0000-0000-0000535D0000}"/>
    <cellStyle name="Currency 3 6 2 7 2 2" xfId="29531" xr:uid="{00000000-0005-0000-0000-0000545D0000}"/>
    <cellStyle name="Currency 3 6 2 7 3" xfId="21613" xr:uid="{00000000-0005-0000-0000-0000555D0000}"/>
    <cellStyle name="Currency 3 6 2 8" xfId="9900" xr:uid="{00000000-0005-0000-0000-0000565D0000}"/>
    <cellStyle name="Currency 3 6 2 9" xfId="21632" xr:uid="{00000000-0005-0000-0000-0000575D0000}"/>
    <cellStyle name="Currency 3 6 3" xfId="6155" xr:uid="{00000000-0005-0000-0000-0000585D0000}"/>
    <cellStyle name="Currency 3 6 3 2" xfId="6156" xr:uid="{00000000-0005-0000-0000-0000595D0000}"/>
    <cellStyle name="Currency 3 6 3 2 2" xfId="6157" xr:uid="{00000000-0005-0000-0000-00005A5D0000}"/>
    <cellStyle name="Currency 3 6 3 2 2 2" xfId="11392" xr:uid="{00000000-0005-0000-0000-00005B5D0000}"/>
    <cellStyle name="Currency 3 6 3 2 2 3" xfId="21610" xr:uid="{00000000-0005-0000-0000-00005C5D0000}"/>
    <cellStyle name="Currency 3 6 3 2 3" xfId="6158" xr:uid="{00000000-0005-0000-0000-00005D5D0000}"/>
    <cellStyle name="Currency 3 6 3 2 3 2" xfId="16851" xr:uid="{00000000-0005-0000-0000-00005E5D0000}"/>
    <cellStyle name="Currency 3 6 3 2 3 2 2" xfId="30258" xr:uid="{00000000-0005-0000-0000-00005F5D0000}"/>
    <cellStyle name="Currency 3 6 3 2 3 3" xfId="21609" xr:uid="{00000000-0005-0000-0000-0000605D0000}"/>
    <cellStyle name="Currency 3 6 3 2 4" xfId="9905" xr:uid="{00000000-0005-0000-0000-0000615D0000}"/>
    <cellStyle name="Currency 3 6 3 2 5" xfId="21611" xr:uid="{00000000-0005-0000-0000-0000625D0000}"/>
    <cellStyle name="Currency 3 6 3 3" xfId="6159" xr:uid="{00000000-0005-0000-0000-0000635D0000}"/>
    <cellStyle name="Currency 3 6 3 3 2" xfId="6160" xr:uid="{00000000-0005-0000-0000-0000645D0000}"/>
    <cellStyle name="Currency 3 6 3 3 2 2" xfId="13190" xr:uid="{00000000-0005-0000-0000-0000655D0000}"/>
    <cellStyle name="Currency 3 6 3 3 2 3" xfId="21607" xr:uid="{00000000-0005-0000-0000-0000665D0000}"/>
    <cellStyle name="Currency 3 6 3 3 3" xfId="12239" xr:uid="{00000000-0005-0000-0000-0000675D0000}"/>
    <cellStyle name="Currency 3 6 3 3 3 2" xfId="25951" xr:uid="{00000000-0005-0000-0000-0000685D0000}"/>
    <cellStyle name="Currency 3 6 3 3 4" xfId="21608" xr:uid="{00000000-0005-0000-0000-0000695D0000}"/>
    <cellStyle name="Currency 3 6 3 4" xfId="6161" xr:uid="{00000000-0005-0000-0000-00006A5D0000}"/>
    <cellStyle name="Currency 3 6 3 4 2" xfId="6162" xr:uid="{00000000-0005-0000-0000-00006B5D0000}"/>
    <cellStyle name="Currency 3 6 3 4 2 2" xfId="15649" xr:uid="{00000000-0005-0000-0000-00006C5D0000}"/>
    <cellStyle name="Currency 3 6 3 4 2 3" xfId="21605" xr:uid="{00000000-0005-0000-0000-00006D5D0000}"/>
    <cellStyle name="Currency 3 6 3 4 3" xfId="13803" xr:uid="{00000000-0005-0000-0000-00006E5D0000}"/>
    <cellStyle name="Currency 3 6 3 4 3 2" xfId="27352" xr:uid="{00000000-0005-0000-0000-00006F5D0000}"/>
    <cellStyle name="Currency 3 6 3 4 4" xfId="21606" xr:uid="{00000000-0005-0000-0000-0000705D0000}"/>
    <cellStyle name="Currency 3 6 3 5" xfId="6163" xr:uid="{00000000-0005-0000-0000-0000715D0000}"/>
    <cellStyle name="Currency 3 6 3 5 2" xfId="14384" xr:uid="{00000000-0005-0000-0000-0000725D0000}"/>
    <cellStyle name="Currency 3 6 3 5 2 2" xfId="27933" xr:uid="{00000000-0005-0000-0000-0000735D0000}"/>
    <cellStyle name="Currency 3 6 3 5 3" xfId="21604" xr:uid="{00000000-0005-0000-0000-0000745D0000}"/>
    <cellStyle name="Currency 3 6 3 6" xfId="6164" xr:uid="{00000000-0005-0000-0000-0000755D0000}"/>
    <cellStyle name="Currency 3 6 3 6 2" xfId="16270" xr:uid="{00000000-0005-0000-0000-0000765D0000}"/>
    <cellStyle name="Currency 3 6 3 6 2 2" xfId="29677" xr:uid="{00000000-0005-0000-0000-0000775D0000}"/>
    <cellStyle name="Currency 3 6 3 6 3" xfId="21603" xr:uid="{00000000-0005-0000-0000-0000785D0000}"/>
    <cellStyle name="Currency 3 6 3 7" xfId="9904" xr:uid="{00000000-0005-0000-0000-0000795D0000}"/>
    <cellStyle name="Currency 3 6 3 8" xfId="21612" xr:uid="{00000000-0005-0000-0000-00007A5D0000}"/>
    <cellStyle name="Currency 3 6 4" xfId="6165" xr:uid="{00000000-0005-0000-0000-00007B5D0000}"/>
    <cellStyle name="Currency 3 6 4 2" xfId="6166" xr:uid="{00000000-0005-0000-0000-00007C5D0000}"/>
    <cellStyle name="Currency 3 6 4 2 2" xfId="16562" xr:uid="{00000000-0005-0000-0000-00007D5D0000}"/>
    <cellStyle name="Currency 3 6 4 2 2 2" xfId="29969" xr:uid="{00000000-0005-0000-0000-00007E5D0000}"/>
    <cellStyle name="Currency 3 6 4 2 3" xfId="21601" xr:uid="{00000000-0005-0000-0000-00007F5D0000}"/>
    <cellStyle name="Currency 3 6 4 3" xfId="9906" xr:uid="{00000000-0005-0000-0000-0000805D0000}"/>
    <cellStyle name="Currency 3 6 4 4" xfId="21602" xr:uid="{00000000-0005-0000-0000-0000815D0000}"/>
    <cellStyle name="Currency 3 6 5" xfId="6167" xr:uid="{00000000-0005-0000-0000-0000825D0000}"/>
    <cellStyle name="Currency 3 6 5 2" xfId="6168" xr:uid="{00000000-0005-0000-0000-0000835D0000}"/>
    <cellStyle name="Currency 3 6 5 2 2" xfId="11393" xr:uid="{00000000-0005-0000-0000-0000845D0000}"/>
    <cellStyle name="Currency 3 6 5 2 3" xfId="21599" xr:uid="{00000000-0005-0000-0000-0000855D0000}"/>
    <cellStyle name="Currency 3 6 5 3" xfId="9907" xr:uid="{00000000-0005-0000-0000-0000865D0000}"/>
    <cellStyle name="Currency 3 6 5 4" xfId="21600" xr:uid="{00000000-0005-0000-0000-0000875D0000}"/>
    <cellStyle name="Currency 3 6 6" xfId="6169" xr:uid="{00000000-0005-0000-0000-0000885D0000}"/>
    <cellStyle name="Currency 3 6 6 2" xfId="6170" xr:uid="{00000000-0005-0000-0000-0000895D0000}"/>
    <cellStyle name="Currency 3 6 6 2 2" xfId="13191" xr:uid="{00000000-0005-0000-0000-00008A5D0000}"/>
    <cellStyle name="Currency 3 6 6 2 3" xfId="21597" xr:uid="{00000000-0005-0000-0000-00008B5D0000}"/>
    <cellStyle name="Currency 3 6 6 3" xfId="11937" xr:uid="{00000000-0005-0000-0000-00008C5D0000}"/>
    <cellStyle name="Currency 3 6 6 3 2" xfId="25652" xr:uid="{00000000-0005-0000-0000-00008D5D0000}"/>
    <cellStyle name="Currency 3 6 6 4" xfId="21598" xr:uid="{00000000-0005-0000-0000-00008E5D0000}"/>
    <cellStyle name="Currency 3 6 7" xfId="6171" xr:uid="{00000000-0005-0000-0000-00008F5D0000}"/>
    <cellStyle name="Currency 3 6 7 2" xfId="6172" xr:uid="{00000000-0005-0000-0000-0000905D0000}"/>
    <cellStyle name="Currency 3 6 7 2 2" xfId="15650" xr:uid="{00000000-0005-0000-0000-0000915D0000}"/>
    <cellStyle name="Currency 3 6 7 2 3" xfId="21595" xr:uid="{00000000-0005-0000-0000-0000925D0000}"/>
    <cellStyle name="Currency 3 6 7 3" xfId="13514" xr:uid="{00000000-0005-0000-0000-0000935D0000}"/>
    <cellStyle name="Currency 3 6 7 3 2" xfId="27063" xr:uid="{00000000-0005-0000-0000-0000945D0000}"/>
    <cellStyle name="Currency 3 6 7 4" xfId="21596" xr:uid="{00000000-0005-0000-0000-0000955D0000}"/>
    <cellStyle name="Currency 3 6 8" xfId="6173" xr:uid="{00000000-0005-0000-0000-0000965D0000}"/>
    <cellStyle name="Currency 3 6 8 2" xfId="14095" xr:uid="{00000000-0005-0000-0000-0000975D0000}"/>
    <cellStyle name="Currency 3 6 8 2 2" xfId="27644" xr:uid="{00000000-0005-0000-0000-0000985D0000}"/>
    <cellStyle name="Currency 3 6 8 3" xfId="21594" xr:uid="{00000000-0005-0000-0000-0000995D0000}"/>
    <cellStyle name="Currency 3 6 9" xfId="6174" xr:uid="{00000000-0005-0000-0000-00009A5D0000}"/>
    <cellStyle name="Currency 3 6 9 2" xfId="15981" xr:uid="{00000000-0005-0000-0000-00009B5D0000}"/>
    <cellStyle name="Currency 3 6 9 2 2" xfId="29388" xr:uid="{00000000-0005-0000-0000-00009C5D0000}"/>
    <cellStyle name="Currency 3 6 9 3" xfId="21593" xr:uid="{00000000-0005-0000-0000-00009D5D0000}"/>
    <cellStyle name="Currency 3 7" xfId="6175" xr:uid="{00000000-0005-0000-0000-00009E5D0000}"/>
    <cellStyle name="Currency 3 7 2" xfId="6176" xr:uid="{00000000-0005-0000-0000-00009F5D0000}"/>
    <cellStyle name="Currency 3 7 2 2" xfId="6177" xr:uid="{00000000-0005-0000-0000-0000A05D0000}"/>
    <cellStyle name="Currency 3 7 2 2 2" xfId="6178" xr:uid="{00000000-0005-0000-0000-0000A15D0000}"/>
    <cellStyle name="Currency 3 7 2 2 2 2" xfId="11394" xr:uid="{00000000-0005-0000-0000-0000A25D0000}"/>
    <cellStyle name="Currency 3 7 2 2 2 3" xfId="21589" xr:uid="{00000000-0005-0000-0000-0000A35D0000}"/>
    <cellStyle name="Currency 3 7 2 2 3" xfId="6179" xr:uid="{00000000-0005-0000-0000-0000A45D0000}"/>
    <cellStyle name="Currency 3 7 2 2 3 2" xfId="16871" xr:uid="{00000000-0005-0000-0000-0000A55D0000}"/>
    <cellStyle name="Currency 3 7 2 2 3 2 2" xfId="30278" xr:uid="{00000000-0005-0000-0000-0000A65D0000}"/>
    <cellStyle name="Currency 3 7 2 2 3 3" xfId="21588" xr:uid="{00000000-0005-0000-0000-0000A75D0000}"/>
    <cellStyle name="Currency 3 7 2 2 4" xfId="9910" xr:uid="{00000000-0005-0000-0000-0000A85D0000}"/>
    <cellStyle name="Currency 3 7 2 2 5" xfId="21590" xr:uid="{00000000-0005-0000-0000-0000A95D0000}"/>
    <cellStyle name="Currency 3 7 2 3" xfId="6180" xr:uid="{00000000-0005-0000-0000-0000AA5D0000}"/>
    <cellStyle name="Currency 3 7 2 3 2" xfId="6181" xr:uid="{00000000-0005-0000-0000-0000AB5D0000}"/>
    <cellStyle name="Currency 3 7 2 3 2 2" xfId="13192" xr:uid="{00000000-0005-0000-0000-0000AC5D0000}"/>
    <cellStyle name="Currency 3 7 2 3 2 3" xfId="21586" xr:uid="{00000000-0005-0000-0000-0000AD5D0000}"/>
    <cellStyle name="Currency 3 7 2 3 3" xfId="12259" xr:uid="{00000000-0005-0000-0000-0000AE5D0000}"/>
    <cellStyle name="Currency 3 7 2 3 3 2" xfId="25971" xr:uid="{00000000-0005-0000-0000-0000AF5D0000}"/>
    <cellStyle name="Currency 3 7 2 3 4" xfId="21587" xr:uid="{00000000-0005-0000-0000-0000B05D0000}"/>
    <cellStyle name="Currency 3 7 2 4" xfId="6182" xr:uid="{00000000-0005-0000-0000-0000B15D0000}"/>
    <cellStyle name="Currency 3 7 2 4 2" xfId="6183" xr:uid="{00000000-0005-0000-0000-0000B25D0000}"/>
    <cellStyle name="Currency 3 7 2 4 2 2" xfId="15651" xr:uid="{00000000-0005-0000-0000-0000B35D0000}"/>
    <cellStyle name="Currency 3 7 2 4 2 3" xfId="21584" xr:uid="{00000000-0005-0000-0000-0000B45D0000}"/>
    <cellStyle name="Currency 3 7 2 4 3" xfId="13823" xr:uid="{00000000-0005-0000-0000-0000B55D0000}"/>
    <cellStyle name="Currency 3 7 2 4 3 2" xfId="27372" xr:uid="{00000000-0005-0000-0000-0000B65D0000}"/>
    <cellStyle name="Currency 3 7 2 4 4" xfId="21585" xr:uid="{00000000-0005-0000-0000-0000B75D0000}"/>
    <cellStyle name="Currency 3 7 2 5" xfId="6184" xr:uid="{00000000-0005-0000-0000-0000B85D0000}"/>
    <cellStyle name="Currency 3 7 2 5 2" xfId="14404" xr:uid="{00000000-0005-0000-0000-0000B95D0000}"/>
    <cellStyle name="Currency 3 7 2 5 2 2" xfId="27953" xr:uid="{00000000-0005-0000-0000-0000BA5D0000}"/>
    <cellStyle name="Currency 3 7 2 5 3" xfId="21583" xr:uid="{00000000-0005-0000-0000-0000BB5D0000}"/>
    <cellStyle name="Currency 3 7 2 6" xfId="6185" xr:uid="{00000000-0005-0000-0000-0000BC5D0000}"/>
    <cellStyle name="Currency 3 7 2 6 2" xfId="16290" xr:uid="{00000000-0005-0000-0000-0000BD5D0000}"/>
    <cellStyle name="Currency 3 7 2 6 2 2" xfId="29697" xr:uid="{00000000-0005-0000-0000-0000BE5D0000}"/>
    <cellStyle name="Currency 3 7 2 6 3" xfId="21582" xr:uid="{00000000-0005-0000-0000-0000BF5D0000}"/>
    <cellStyle name="Currency 3 7 2 7" xfId="9909" xr:uid="{00000000-0005-0000-0000-0000C05D0000}"/>
    <cellStyle name="Currency 3 7 2 8" xfId="21591" xr:uid="{00000000-0005-0000-0000-0000C15D0000}"/>
    <cellStyle name="Currency 3 7 3" xfId="6186" xr:uid="{00000000-0005-0000-0000-0000C25D0000}"/>
    <cellStyle name="Currency 3 7 3 2" xfId="6187" xr:uid="{00000000-0005-0000-0000-0000C35D0000}"/>
    <cellStyle name="Currency 3 7 3 2 2" xfId="11395" xr:uid="{00000000-0005-0000-0000-0000C45D0000}"/>
    <cellStyle name="Currency 3 7 3 2 3" xfId="21580" xr:uid="{00000000-0005-0000-0000-0000C55D0000}"/>
    <cellStyle name="Currency 3 7 3 3" xfId="6188" xr:uid="{00000000-0005-0000-0000-0000C65D0000}"/>
    <cellStyle name="Currency 3 7 3 3 2" xfId="16582" xr:uid="{00000000-0005-0000-0000-0000C75D0000}"/>
    <cellStyle name="Currency 3 7 3 3 2 2" xfId="29989" xr:uid="{00000000-0005-0000-0000-0000C85D0000}"/>
    <cellStyle name="Currency 3 7 3 3 3" xfId="21579" xr:uid="{00000000-0005-0000-0000-0000C95D0000}"/>
    <cellStyle name="Currency 3 7 3 4" xfId="9911" xr:uid="{00000000-0005-0000-0000-0000CA5D0000}"/>
    <cellStyle name="Currency 3 7 3 5" xfId="21581" xr:uid="{00000000-0005-0000-0000-0000CB5D0000}"/>
    <cellStyle name="Currency 3 7 4" xfId="6189" xr:uid="{00000000-0005-0000-0000-0000CC5D0000}"/>
    <cellStyle name="Currency 3 7 4 2" xfId="6190" xr:uid="{00000000-0005-0000-0000-0000CD5D0000}"/>
    <cellStyle name="Currency 3 7 4 2 2" xfId="13193" xr:uid="{00000000-0005-0000-0000-0000CE5D0000}"/>
    <cellStyle name="Currency 3 7 4 2 3" xfId="21577" xr:uid="{00000000-0005-0000-0000-0000CF5D0000}"/>
    <cellStyle name="Currency 3 7 4 3" xfId="11958" xr:uid="{00000000-0005-0000-0000-0000D05D0000}"/>
    <cellStyle name="Currency 3 7 4 3 2" xfId="25673" xr:uid="{00000000-0005-0000-0000-0000D15D0000}"/>
    <cellStyle name="Currency 3 7 4 4" xfId="21578" xr:uid="{00000000-0005-0000-0000-0000D25D0000}"/>
    <cellStyle name="Currency 3 7 5" xfId="6191" xr:uid="{00000000-0005-0000-0000-0000D35D0000}"/>
    <cellStyle name="Currency 3 7 5 2" xfId="6192" xr:uid="{00000000-0005-0000-0000-0000D45D0000}"/>
    <cellStyle name="Currency 3 7 5 2 2" xfId="15652" xr:uid="{00000000-0005-0000-0000-0000D55D0000}"/>
    <cellStyle name="Currency 3 7 5 2 3" xfId="21575" xr:uid="{00000000-0005-0000-0000-0000D65D0000}"/>
    <cellStyle name="Currency 3 7 5 3" xfId="13534" xr:uid="{00000000-0005-0000-0000-0000D75D0000}"/>
    <cellStyle name="Currency 3 7 5 3 2" xfId="27083" xr:uid="{00000000-0005-0000-0000-0000D85D0000}"/>
    <cellStyle name="Currency 3 7 5 4" xfId="21576" xr:uid="{00000000-0005-0000-0000-0000D95D0000}"/>
    <cellStyle name="Currency 3 7 6" xfId="6193" xr:uid="{00000000-0005-0000-0000-0000DA5D0000}"/>
    <cellStyle name="Currency 3 7 6 2" xfId="14115" xr:uid="{00000000-0005-0000-0000-0000DB5D0000}"/>
    <cellStyle name="Currency 3 7 6 2 2" xfId="27664" xr:uid="{00000000-0005-0000-0000-0000DC5D0000}"/>
    <cellStyle name="Currency 3 7 6 3" xfId="21574" xr:uid="{00000000-0005-0000-0000-0000DD5D0000}"/>
    <cellStyle name="Currency 3 7 7" xfId="6194" xr:uid="{00000000-0005-0000-0000-0000DE5D0000}"/>
    <cellStyle name="Currency 3 7 7 2" xfId="16001" xr:uid="{00000000-0005-0000-0000-0000DF5D0000}"/>
    <cellStyle name="Currency 3 7 7 2 2" xfId="29408" xr:uid="{00000000-0005-0000-0000-0000E05D0000}"/>
    <cellStyle name="Currency 3 7 7 3" xfId="21573" xr:uid="{00000000-0005-0000-0000-0000E15D0000}"/>
    <cellStyle name="Currency 3 7 8" xfId="9908" xr:uid="{00000000-0005-0000-0000-0000E25D0000}"/>
    <cellStyle name="Currency 3 7 9" xfId="21592" xr:uid="{00000000-0005-0000-0000-0000E35D0000}"/>
    <cellStyle name="Currency 3 8" xfId="6195" xr:uid="{00000000-0005-0000-0000-0000E45D0000}"/>
    <cellStyle name="Currency 3 8 2" xfId="6196" xr:uid="{00000000-0005-0000-0000-0000E55D0000}"/>
    <cellStyle name="Currency 3 8 2 2" xfId="6197" xr:uid="{00000000-0005-0000-0000-0000E65D0000}"/>
    <cellStyle name="Currency 3 8 2 2 2" xfId="11396" xr:uid="{00000000-0005-0000-0000-0000E75D0000}"/>
    <cellStyle name="Currency 3 8 2 2 3" xfId="21570" xr:uid="{00000000-0005-0000-0000-0000E85D0000}"/>
    <cellStyle name="Currency 3 8 2 3" xfId="6198" xr:uid="{00000000-0005-0000-0000-0000E95D0000}"/>
    <cellStyle name="Currency 3 8 2 3 2" xfId="16727" xr:uid="{00000000-0005-0000-0000-0000EA5D0000}"/>
    <cellStyle name="Currency 3 8 2 3 2 2" xfId="30134" xr:uid="{00000000-0005-0000-0000-0000EB5D0000}"/>
    <cellStyle name="Currency 3 8 2 3 3" xfId="21569" xr:uid="{00000000-0005-0000-0000-0000EC5D0000}"/>
    <cellStyle name="Currency 3 8 2 4" xfId="9913" xr:uid="{00000000-0005-0000-0000-0000ED5D0000}"/>
    <cellStyle name="Currency 3 8 2 5" xfId="21571" xr:uid="{00000000-0005-0000-0000-0000EE5D0000}"/>
    <cellStyle name="Currency 3 8 3" xfId="6199" xr:uid="{00000000-0005-0000-0000-0000EF5D0000}"/>
    <cellStyle name="Currency 3 8 3 2" xfId="6200" xr:uid="{00000000-0005-0000-0000-0000F05D0000}"/>
    <cellStyle name="Currency 3 8 3 2 2" xfId="13194" xr:uid="{00000000-0005-0000-0000-0000F15D0000}"/>
    <cellStyle name="Currency 3 8 3 2 3" xfId="21567" xr:uid="{00000000-0005-0000-0000-0000F25D0000}"/>
    <cellStyle name="Currency 3 8 3 3" xfId="12110" xr:uid="{00000000-0005-0000-0000-0000F35D0000}"/>
    <cellStyle name="Currency 3 8 3 3 2" xfId="25822" xr:uid="{00000000-0005-0000-0000-0000F45D0000}"/>
    <cellStyle name="Currency 3 8 3 4" xfId="21568" xr:uid="{00000000-0005-0000-0000-0000F55D0000}"/>
    <cellStyle name="Currency 3 8 4" xfId="6201" xr:uid="{00000000-0005-0000-0000-0000F65D0000}"/>
    <cellStyle name="Currency 3 8 4 2" xfId="6202" xr:uid="{00000000-0005-0000-0000-0000F75D0000}"/>
    <cellStyle name="Currency 3 8 4 2 2" xfId="15653" xr:uid="{00000000-0005-0000-0000-0000F85D0000}"/>
    <cellStyle name="Currency 3 8 4 2 3" xfId="21565" xr:uid="{00000000-0005-0000-0000-0000F95D0000}"/>
    <cellStyle name="Currency 3 8 4 3" xfId="13679" xr:uid="{00000000-0005-0000-0000-0000FA5D0000}"/>
    <cellStyle name="Currency 3 8 4 3 2" xfId="27228" xr:uid="{00000000-0005-0000-0000-0000FB5D0000}"/>
    <cellStyle name="Currency 3 8 4 4" xfId="21566" xr:uid="{00000000-0005-0000-0000-0000FC5D0000}"/>
    <cellStyle name="Currency 3 8 5" xfId="6203" xr:uid="{00000000-0005-0000-0000-0000FD5D0000}"/>
    <cellStyle name="Currency 3 8 5 2" xfId="14260" xr:uid="{00000000-0005-0000-0000-0000FE5D0000}"/>
    <cellStyle name="Currency 3 8 5 2 2" xfId="27809" xr:uid="{00000000-0005-0000-0000-0000FF5D0000}"/>
    <cellStyle name="Currency 3 8 5 3" xfId="21564" xr:uid="{00000000-0005-0000-0000-0000005E0000}"/>
    <cellStyle name="Currency 3 8 6" xfId="6204" xr:uid="{00000000-0005-0000-0000-0000015E0000}"/>
    <cellStyle name="Currency 3 8 6 2" xfId="16146" xr:uid="{00000000-0005-0000-0000-0000025E0000}"/>
    <cellStyle name="Currency 3 8 6 2 2" xfId="29553" xr:uid="{00000000-0005-0000-0000-0000035E0000}"/>
    <cellStyle name="Currency 3 8 6 3" xfId="21563" xr:uid="{00000000-0005-0000-0000-0000045E0000}"/>
    <cellStyle name="Currency 3 8 7" xfId="9912" xr:uid="{00000000-0005-0000-0000-0000055E0000}"/>
    <cellStyle name="Currency 3 8 8" xfId="21572" xr:uid="{00000000-0005-0000-0000-0000065E0000}"/>
    <cellStyle name="Currency 3 9" xfId="6205" xr:uid="{00000000-0005-0000-0000-0000075E0000}"/>
    <cellStyle name="Currency 3 9 2" xfId="6206" xr:uid="{00000000-0005-0000-0000-0000085E0000}"/>
    <cellStyle name="Currency 3 9 2 2" xfId="6207" xr:uid="{00000000-0005-0000-0000-0000095E0000}"/>
    <cellStyle name="Currency 3 9 2 2 2" xfId="11397" xr:uid="{00000000-0005-0000-0000-00000A5E0000}"/>
    <cellStyle name="Currency 3 9 2 2 3" xfId="21560" xr:uid="{00000000-0005-0000-0000-00000B5E0000}"/>
    <cellStyle name="Currency 3 9 2 3" xfId="6208" xr:uid="{00000000-0005-0000-0000-00000C5E0000}"/>
    <cellStyle name="Currency 3 9 2 3 2" xfId="16735" xr:uid="{00000000-0005-0000-0000-00000D5E0000}"/>
    <cellStyle name="Currency 3 9 2 3 2 2" xfId="30142" xr:uid="{00000000-0005-0000-0000-00000E5E0000}"/>
    <cellStyle name="Currency 3 9 2 3 3" xfId="21559" xr:uid="{00000000-0005-0000-0000-00000F5E0000}"/>
    <cellStyle name="Currency 3 9 2 4" xfId="9915" xr:uid="{00000000-0005-0000-0000-0000105E0000}"/>
    <cellStyle name="Currency 3 9 2 5" xfId="21561" xr:uid="{00000000-0005-0000-0000-0000115E0000}"/>
    <cellStyle name="Currency 3 9 3" xfId="6209" xr:uid="{00000000-0005-0000-0000-0000125E0000}"/>
    <cellStyle name="Currency 3 9 3 2" xfId="6210" xr:uid="{00000000-0005-0000-0000-0000135E0000}"/>
    <cellStyle name="Currency 3 9 3 2 2" xfId="13195" xr:uid="{00000000-0005-0000-0000-0000145E0000}"/>
    <cellStyle name="Currency 3 9 3 2 3" xfId="21557" xr:uid="{00000000-0005-0000-0000-0000155E0000}"/>
    <cellStyle name="Currency 3 9 3 3" xfId="12123" xr:uid="{00000000-0005-0000-0000-0000165E0000}"/>
    <cellStyle name="Currency 3 9 3 3 2" xfId="25835" xr:uid="{00000000-0005-0000-0000-0000175E0000}"/>
    <cellStyle name="Currency 3 9 3 4" xfId="21558" xr:uid="{00000000-0005-0000-0000-0000185E0000}"/>
    <cellStyle name="Currency 3 9 4" xfId="6211" xr:uid="{00000000-0005-0000-0000-0000195E0000}"/>
    <cellStyle name="Currency 3 9 4 2" xfId="6212" xr:uid="{00000000-0005-0000-0000-00001A5E0000}"/>
    <cellStyle name="Currency 3 9 4 2 2" xfId="15654" xr:uid="{00000000-0005-0000-0000-00001B5E0000}"/>
    <cellStyle name="Currency 3 9 4 2 3" xfId="21555" xr:uid="{00000000-0005-0000-0000-00001C5E0000}"/>
    <cellStyle name="Currency 3 9 4 3" xfId="13687" xr:uid="{00000000-0005-0000-0000-00001D5E0000}"/>
    <cellStyle name="Currency 3 9 4 3 2" xfId="27236" xr:uid="{00000000-0005-0000-0000-00001E5E0000}"/>
    <cellStyle name="Currency 3 9 4 4" xfId="21556" xr:uid="{00000000-0005-0000-0000-00001F5E0000}"/>
    <cellStyle name="Currency 3 9 5" xfId="6213" xr:uid="{00000000-0005-0000-0000-0000205E0000}"/>
    <cellStyle name="Currency 3 9 5 2" xfId="14268" xr:uid="{00000000-0005-0000-0000-0000215E0000}"/>
    <cellStyle name="Currency 3 9 5 2 2" xfId="27817" xr:uid="{00000000-0005-0000-0000-0000225E0000}"/>
    <cellStyle name="Currency 3 9 5 3" xfId="21554" xr:uid="{00000000-0005-0000-0000-0000235E0000}"/>
    <cellStyle name="Currency 3 9 6" xfId="6214" xr:uid="{00000000-0005-0000-0000-0000245E0000}"/>
    <cellStyle name="Currency 3 9 6 2" xfId="16154" xr:uid="{00000000-0005-0000-0000-0000255E0000}"/>
    <cellStyle name="Currency 3 9 6 2 2" xfId="29561" xr:uid="{00000000-0005-0000-0000-0000265E0000}"/>
    <cellStyle name="Currency 3 9 6 3" xfId="21553" xr:uid="{00000000-0005-0000-0000-0000275E0000}"/>
    <cellStyle name="Currency 3 9 7" xfId="9914" xr:uid="{00000000-0005-0000-0000-0000285E0000}"/>
    <cellStyle name="Currency 3 9 8" xfId="21562" xr:uid="{00000000-0005-0000-0000-0000295E0000}"/>
    <cellStyle name="Currency 4" xfId="6215" xr:uid="{00000000-0005-0000-0000-00002A5E0000}"/>
    <cellStyle name="Currency 4 2" xfId="6216" xr:uid="{00000000-0005-0000-0000-00002B5E0000}"/>
    <cellStyle name="Currency 4 2 2" xfId="6217" xr:uid="{00000000-0005-0000-0000-00002C5E0000}"/>
    <cellStyle name="Currency 4 2 2 2" xfId="9918" xr:uid="{00000000-0005-0000-0000-00002D5E0000}"/>
    <cellStyle name="Currency 4 2 2 3" xfId="21550" xr:uid="{00000000-0005-0000-0000-00002E5E0000}"/>
    <cellStyle name="Currency 4 2 3" xfId="6218" xr:uid="{00000000-0005-0000-0000-00002F5E0000}"/>
    <cellStyle name="Currency 4 2 3 2" xfId="13196" xr:uid="{00000000-0005-0000-0000-0000305E0000}"/>
    <cellStyle name="Currency 4 2 3 3" xfId="21549" xr:uid="{00000000-0005-0000-0000-0000315E0000}"/>
    <cellStyle name="Currency 4 2 4" xfId="6219" xr:uid="{00000000-0005-0000-0000-0000325E0000}"/>
    <cellStyle name="Currency 4 2 4 2" xfId="17030" xr:uid="{00000000-0005-0000-0000-0000335E0000}"/>
    <cellStyle name="Currency 4 2 4 2 2" xfId="30436" xr:uid="{00000000-0005-0000-0000-0000345E0000}"/>
    <cellStyle name="Currency 4 2 4 3" xfId="21548" xr:uid="{00000000-0005-0000-0000-0000355E0000}"/>
    <cellStyle name="Currency 4 2 5" xfId="9917" xr:uid="{00000000-0005-0000-0000-0000365E0000}"/>
    <cellStyle name="Currency 4 2 6" xfId="21551" xr:uid="{00000000-0005-0000-0000-0000375E0000}"/>
    <cellStyle name="Currency 4 3" xfId="6220" xr:uid="{00000000-0005-0000-0000-0000385E0000}"/>
    <cellStyle name="Currency 4 3 2" xfId="9919" xr:uid="{00000000-0005-0000-0000-0000395E0000}"/>
    <cellStyle name="Currency 4 3 3" xfId="21547" xr:uid="{00000000-0005-0000-0000-00003A5E0000}"/>
    <cellStyle name="Currency 4 4" xfId="6221" xr:uid="{00000000-0005-0000-0000-00003B5E0000}"/>
    <cellStyle name="Currency 4 4 2" xfId="9920" xr:uid="{00000000-0005-0000-0000-00003C5E0000}"/>
    <cellStyle name="Currency 4 4 3" xfId="21546" xr:uid="{00000000-0005-0000-0000-00003D5E0000}"/>
    <cellStyle name="Currency 4 5" xfId="6222" xr:uid="{00000000-0005-0000-0000-00003E5E0000}"/>
    <cellStyle name="Currency 4 5 2" xfId="13197" xr:uid="{00000000-0005-0000-0000-00003F5E0000}"/>
    <cellStyle name="Currency 4 5 3" xfId="21545" xr:uid="{00000000-0005-0000-0000-0000405E0000}"/>
    <cellStyle name="Currency 4 6" xfId="6223" xr:uid="{00000000-0005-0000-0000-0000415E0000}"/>
    <cellStyle name="Currency 4 6 2" xfId="9916" xr:uid="{00000000-0005-0000-0000-0000425E0000}"/>
    <cellStyle name="Currency 4 6 3" xfId="21544" xr:uid="{00000000-0005-0000-0000-0000435E0000}"/>
    <cellStyle name="Currency 4 7" xfId="8678" xr:uid="{00000000-0005-0000-0000-0000445E0000}"/>
    <cellStyle name="Currency 4 8" xfId="21552" xr:uid="{00000000-0005-0000-0000-0000455E0000}"/>
    <cellStyle name="Currency 4 9" xfId="33089" xr:uid="{00000000-0005-0000-0000-0000465E0000}"/>
    <cellStyle name="Currency 5" xfId="6224" xr:uid="{00000000-0005-0000-0000-0000475E0000}"/>
    <cellStyle name="Currency 5 10" xfId="6225" xr:uid="{00000000-0005-0000-0000-0000485E0000}"/>
    <cellStyle name="Currency 5 10 2" xfId="15900" xr:uid="{00000000-0005-0000-0000-0000495E0000}"/>
    <cellStyle name="Currency 5 10 2 2" xfId="29307" xr:uid="{00000000-0005-0000-0000-00004A5E0000}"/>
    <cellStyle name="Currency 5 10 3" xfId="21542" xr:uid="{00000000-0005-0000-0000-00004B5E0000}"/>
    <cellStyle name="Currency 5 11" xfId="6226" xr:uid="{00000000-0005-0000-0000-00004C5E0000}"/>
    <cellStyle name="Currency 5 11 2" xfId="17335" xr:uid="{00000000-0005-0000-0000-00004D5E0000}"/>
    <cellStyle name="Currency 5 11 3" xfId="21541" xr:uid="{00000000-0005-0000-0000-00004E5E0000}"/>
    <cellStyle name="Currency 5 12" xfId="8736" xr:uid="{00000000-0005-0000-0000-00004F5E0000}"/>
    <cellStyle name="Currency 5 13" xfId="9921" xr:uid="{00000000-0005-0000-0000-0000505E0000}"/>
    <cellStyle name="Currency 5 14" xfId="21543" xr:uid="{00000000-0005-0000-0000-0000515E0000}"/>
    <cellStyle name="Currency 5 15" xfId="33095" xr:uid="{00000000-0005-0000-0000-0000525E0000}"/>
    <cellStyle name="Currency 5 2" xfId="6227" xr:uid="{00000000-0005-0000-0000-0000535E0000}"/>
    <cellStyle name="Currency 5 2 10" xfId="21540" xr:uid="{00000000-0005-0000-0000-0000545E0000}"/>
    <cellStyle name="Currency 5 2 2" xfId="6228" xr:uid="{00000000-0005-0000-0000-0000555E0000}"/>
    <cellStyle name="Currency 5 2 2 2" xfId="6229" xr:uid="{00000000-0005-0000-0000-0000565E0000}"/>
    <cellStyle name="Currency 5 2 2 2 2" xfId="6230" xr:uid="{00000000-0005-0000-0000-0000575E0000}"/>
    <cellStyle name="Currency 5 2 2 2 2 2" xfId="6231" xr:uid="{00000000-0005-0000-0000-0000585E0000}"/>
    <cellStyle name="Currency 5 2 2 2 2 2 2" xfId="11398" xr:uid="{00000000-0005-0000-0000-0000595E0000}"/>
    <cellStyle name="Currency 5 2 2 2 2 2 3" xfId="21536" xr:uid="{00000000-0005-0000-0000-00005A5E0000}"/>
    <cellStyle name="Currency 5 2 2 2 2 3" xfId="6232" xr:uid="{00000000-0005-0000-0000-00005B5E0000}"/>
    <cellStyle name="Currency 5 2 2 2 2 3 2" xfId="16959" xr:uid="{00000000-0005-0000-0000-00005C5E0000}"/>
    <cellStyle name="Currency 5 2 2 2 2 3 2 2" xfId="30366" xr:uid="{00000000-0005-0000-0000-00005D5E0000}"/>
    <cellStyle name="Currency 5 2 2 2 2 3 3" xfId="21535" xr:uid="{00000000-0005-0000-0000-00005E5E0000}"/>
    <cellStyle name="Currency 5 2 2 2 2 4" xfId="9925" xr:uid="{00000000-0005-0000-0000-00005F5E0000}"/>
    <cellStyle name="Currency 5 2 2 2 2 5" xfId="21537" xr:uid="{00000000-0005-0000-0000-0000605E0000}"/>
    <cellStyle name="Currency 5 2 2 2 3" xfId="6233" xr:uid="{00000000-0005-0000-0000-0000615E0000}"/>
    <cellStyle name="Currency 5 2 2 2 3 2" xfId="6234" xr:uid="{00000000-0005-0000-0000-0000625E0000}"/>
    <cellStyle name="Currency 5 2 2 2 3 2 2" xfId="13198" xr:uid="{00000000-0005-0000-0000-0000635E0000}"/>
    <cellStyle name="Currency 5 2 2 2 3 2 3" xfId="21533" xr:uid="{00000000-0005-0000-0000-0000645E0000}"/>
    <cellStyle name="Currency 5 2 2 2 3 3" xfId="12347" xr:uid="{00000000-0005-0000-0000-0000655E0000}"/>
    <cellStyle name="Currency 5 2 2 2 3 3 2" xfId="26059" xr:uid="{00000000-0005-0000-0000-0000665E0000}"/>
    <cellStyle name="Currency 5 2 2 2 3 4" xfId="21534" xr:uid="{00000000-0005-0000-0000-0000675E0000}"/>
    <cellStyle name="Currency 5 2 2 2 4" xfId="6235" xr:uid="{00000000-0005-0000-0000-0000685E0000}"/>
    <cellStyle name="Currency 5 2 2 2 4 2" xfId="6236" xr:uid="{00000000-0005-0000-0000-0000695E0000}"/>
    <cellStyle name="Currency 5 2 2 2 4 2 2" xfId="15655" xr:uid="{00000000-0005-0000-0000-00006A5E0000}"/>
    <cellStyle name="Currency 5 2 2 2 4 2 3" xfId="21531" xr:uid="{00000000-0005-0000-0000-00006B5E0000}"/>
    <cellStyle name="Currency 5 2 2 2 4 3" xfId="13911" xr:uid="{00000000-0005-0000-0000-00006C5E0000}"/>
    <cellStyle name="Currency 5 2 2 2 4 3 2" xfId="27460" xr:uid="{00000000-0005-0000-0000-00006D5E0000}"/>
    <cellStyle name="Currency 5 2 2 2 4 4" xfId="21532" xr:uid="{00000000-0005-0000-0000-00006E5E0000}"/>
    <cellStyle name="Currency 5 2 2 2 5" xfId="6237" xr:uid="{00000000-0005-0000-0000-00006F5E0000}"/>
    <cellStyle name="Currency 5 2 2 2 5 2" xfId="14492" xr:uid="{00000000-0005-0000-0000-0000705E0000}"/>
    <cellStyle name="Currency 5 2 2 2 5 2 2" xfId="28041" xr:uid="{00000000-0005-0000-0000-0000715E0000}"/>
    <cellStyle name="Currency 5 2 2 2 5 3" xfId="21530" xr:uid="{00000000-0005-0000-0000-0000725E0000}"/>
    <cellStyle name="Currency 5 2 2 2 6" xfId="6238" xr:uid="{00000000-0005-0000-0000-0000735E0000}"/>
    <cellStyle name="Currency 5 2 2 2 6 2" xfId="16378" xr:uid="{00000000-0005-0000-0000-0000745E0000}"/>
    <cellStyle name="Currency 5 2 2 2 6 2 2" xfId="29785" xr:uid="{00000000-0005-0000-0000-0000755E0000}"/>
    <cellStyle name="Currency 5 2 2 2 6 3" xfId="21529" xr:uid="{00000000-0005-0000-0000-0000765E0000}"/>
    <cellStyle name="Currency 5 2 2 2 7" xfId="9924" xr:uid="{00000000-0005-0000-0000-0000775E0000}"/>
    <cellStyle name="Currency 5 2 2 2 8" xfId="21538" xr:uid="{00000000-0005-0000-0000-0000785E0000}"/>
    <cellStyle name="Currency 5 2 2 3" xfId="6239" xr:uid="{00000000-0005-0000-0000-0000795E0000}"/>
    <cellStyle name="Currency 5 2 2 3 2" xfId="6240" xr:uid="{00000000-0005-0000-0000-00007A5E0000}"/>
    <cellStyle name="Currency 5 2 2 3 2 2" xfId="11399" xr:uid="{00000000-0005-0000-0000-00007B5E0000}"/>
    <cellStyle name="Currency 5 2 2 3 2 3" xfId="21527" xr:uid="{00000000-0005-0000-0000-00007C5E0000}"/>
    <cellStyle name="Currency 5 2 2 3 3" xfId="6241" xr:uid="{00000000-0005-0000-0000-00007D5E0000}"/>
    <cellStyle name="Currency 5 2 2 3 3 2" xfId="16670" xr:uid="{00000000-0005-0000-0000-00007E5E0000}"/>
    <cellStyle name="Currency 5 2 2 3 3 2 2" xfId="30077" xr:uid="{00000000-0005-0000-0000-00007F5E0000}"/>
    <cellStyle name="Currency 5 2 2 3 3 3" xfId="21526" xr:uid="{00000000-0005-0000-0000-0000805E0000}"/>
    <cellStyle name="Currency 5 2 2 3 4" xfId="9926" xr:uid="{00000000-0005-0000-0000-0000815E0000}"/>
    <cellStyle name="Currency 5 2 2 3 5" xfId="21528" xr:uid="{00000000-0005-0000-0000-0000825E0000}"/>
    <cellStyle name="Currency 5 2 2 4" xfId="6242" xr:uid="{00000000-0005-0000-0000-0000835E0000}"/>
    <cellStyle name="Currency 5 2 2 4 2" xfId="6243" xr:uid="{00000000-0005-0000-0000-0000845E0000}"/>
    <cellStyle name="Currency 5 2 2 4 2 2" xfId="13199" xr:uid="{00000000-0005-0000-0000-0000855E0000}"/>
    <cellStyle name="Currency 5 2 2 4 2 3" xfId="21524" xr:uid="{00000000-0005-0000-0000-0000865E0000}"/>
    <cellStyle name="Currency 5 2 2 4 3" xfId="12047" xr:uid="{00000000-0005-0000-0000-0000875E0000}"/>
    <cellStyle name="Currency 5 2 2 4 3 2" xfId="25762" xr:uid="{00000000-0005-0000-0000-0000885E0000}"/>
    <cellStyle name="Currency 5 2 2 4 4" xfId="21525" xr:uid="{00000000-0005-0000-0000-0000895E0000}"/>
    <cellStyle name="Currency 5 2 2 5" xfId="6244" xr:uid="{00000000-0005-0000-0000-00008A5E0000}"/>
    <cellStyle name="Currency 5 2 2 5 2" xfId="6245" xr:uid="{00000000-0005-0000-0000-00008B5E0000}"/>
    <cellStyle name="Currency 5 2 2 5 2 2" xfId="15656" xr:uid="{00000000-0005-0000-0000-00008C5E0000}"/>
    <cellStyle name="Currency 5 2 2 5 2 3" xfId="21522" xr:uid="{00000000-0005-0000-0000-00008D5E0000}"/>
    <cellStyle name="Currency 5 2 2 5 3" xfId="13622" xr:uid="{00000000-0005-0000-0000-00008E5E0000}"/>
    <cellStyle name="Currency 5 2 2 5 3 2" xfId="27171" xr:uid="{00000000-0005-0000-0000-00008F5E0000}"/>
    <cellStyle name="Currency 5 2 2 5 4" xfId="21523" xr:uid="{00000000-0005-0000-0000-0000905E0000}"/>
    <cellStyle name="Currency 5 2 2 6" xfId="6246" xr:uid="{00000000-0005-0000-0000-0000915E0000}"/>
    <cellStyle name="Currency 5 2 2 6 2" xfId="14203" xr:uid="{00000000-0005-0000-0000-0000925E0000}"/>
    <cellStyle name="Currency 5 2 2 6 2 2" xfId="27752" xr:uid="{00000000-0005-0000-0000-0000935E0000}"/>
    <cellStyle name="Currency 5 2 2 6 3" xfId="21521" xr:uid="{00000000-0005-0000-0000-0000945E0000}"/>
    <cellStyle name="Currency 5 2 2 7" xfId="6247" xr:uid="{00000000-0005-0000-0000-0000955E0000}"/>
    <cellStyle name="Currency 5 2 2 7 2" xfId="16089" xr:uid="{00000000-0005-0000-0000-0000965E0000}"/>
    <cellStyle name="Currency 5 2 2 7 2 2" xfId="29496" xr:uid="{00000000-0005-0000-0000-0000975E0000}"/>
    <cellStyle name="Currency 5 2 2 7 3" xfId="21520" xr:uid="{00000000-0005-0000-0000-0000985E0000}"/>
    <cellStyle name="Currency 5 2 2 8" xfId="9923" xr:uid="{00000000-0005-0000-0000-0000995E0000}"/>
    <cellStyle name="Currency 5 2 2 9" xfId="21539" xr:uid="{00000000-0005-0000-0000-00009A5E0000}"/>
    <cellStyle name="Currency 5 2 3" xfId="6248" xr:uid="{00000000-0005-0000-0000-00009B5E0000}"/>
    <cellStyle name="Currency 5 2 3 2" xfId="6249" xr:uid="{00000000-0005-0000-0000-00009C5E0000}"/>
    <cellStyle name="Currency 5 2 3 2 2" xfId="6250" xr:uid="{00000000-0005-0000-0000-00009D5E0000}"/>
    <cellStyle name="Currency 5 2 3 2 2 2" xfId="11400" xr:uid="{00000000-0005-0000-0000-00009E5E0000}"/>
    <cellStyle name="Currency 5 2 3 2 2 3" xfId="21517" xr:uid="{00000000-0005-0000-0000-00009F5E0000}"/>
    <cellStyle name="Currency 5 2 3 2 3" xfId="6251" xr:uid="{00000000-0005-0000-0000-0000A05E0000}"/>
    <cellStyle name="Currency 5 2 3 2 3 2" xfId="16816" xr:uid="{00000000-0005-0000-0000-0000A15E0000}"/>
    <cellStyle name="Currency 5 2 3 2 3 2 2" xfId="30223" xr:uid="{00000000-0005-0000-0000-0000A25E0000}"/>
    <cellStyle name="Currency 5 2 3 2 3 3" xfId="21516" xr:uid="{00000000-0005-0000-0000-0000A35E0000}"/>
    <cellStyle name="Currency 5 2 3 2 4" xfId="9928" xr:uid="{00000000-0005-0000-0000-0000A45E0000}"/>
    <cellStyle name="Currency 5 2 3 2 5" xfId="21518" xr:uid="{00000000-0005-0000-0000-0000A55E0000}"/>
    <cellStyle name="Currency 5 2 3 3" xfId="6252" xr:uid="{00000000-0005-0000-0000-0000A65E0000}"/>
    <cellStyle name="Currency 5 2 3 3 2" xfId="6253" xr:uid="{00000000-0005-0000-0000-0000A75E0000}"/>
    <cellStyle name="Currency 5 2 3 3 2 2" xfId="13200" xr:uid="{00000000-0005-0000-0000-0000A85E0000}"/>
    <cellStyle name="Currency 5 2 3 3 2 3" xfId="21514" xr:uid="{00000000-0005-0000-0000-0000A95E0000}"/>
    <cellStyle name="Currency 5 2 3 3 3" xfId="12204" xr:uid="{00000000-0005-0000-0000-0000AA5E0000}"/>
    <cellStyle name="Currency 5 2 3 3 3 2" xfId="25916" xr:uid="{00000000-0005-0000-0000-0000AB5E0000}"/>
    <cellStyle name="Currency 5 2 3 3 4" xfId="21515" xr:uid="{00000000-0005-0000-0000-0000AC5E0000}"/>
    <cellStyle name="Currency 5 2 3 4" xfId="6254" xr:uid="{00000000-0005-0000-0000-0000AD5E0000}"/>
    <cellStyle name="Currency 5 2 3 4 2" xfId="6255" xr:uid="{00000000-0005-0000-0000-0000AE5E0000}"/>
    <cellStyle name="Currency 5 2 3 4 2 2" xfId="15657" xr:uid="{00000000-0005-0000-0000-0000AF5E0000}"/>
    <cellStyle name="Currency 5 2 3 4 2 3" xfId="21512" xr:uid="{00000000-0005-0000-0000-0000B05E0000}"/>
    <cellStyle name="Currency 5 2 3 4 3" xfId="13768" xr:uid="{00000000-0005-0000-0000-0000B15E0000}"/>
    <cellStyle name="Currency 5 2 3 4 3 2" xfId="27317" xr:uid="{00000000-0005-0000-0000-0000B25E0000}"/>
    <cellStyle name="Currency 5 2 3 4 4" xfId="21513" xr:uid="{00000000-0005-0000-0000-0000B35E0000}"/>
    <cellStyle name="Currency 5 2 3 5" xfId="6256" xr:uid="{00000000-0005-0000-0000-0000B45E0000}"/>
    <cellStyle name="Currency 5 2 3 5 2" xfId="14349" xr:uid="{00000000-0005-0000-0000-0000B55E0000}"/>
    <cellStyle name="Currency 5 2 3 5 2 2" xfId="27898" xr:uid="{00000000-0005-0000-0000-0000B65E0000}"/>
    <cellStyle name="Currency 5 2 3 5 3" xfId="21511" xr:uid="{00000000-0005-0000-0000-0000B75E0000}"/>
    <cellStyle name="Currency 5 2 3 6" xfId="6257" xr:uid="{00000000-0005-0000-0000-0000B85E0000}"/>
    <cellStyle name="Currency 5 2 3 6 2" xfId="16235" xr:uid="{00000000-0005-0000-0000-0000B95E0000}"/>
    <cellStyle name="Currency 5 2 3 6 2 2" xfId="29642" xr:uid="{00000000-0005-0000-0000-0000BA5E0000}"/>
    <cellStyle name="Currency 5 2 3 6 3" xfId="21510" xr:uid="{00000000-0005-0000-0000-0000BB5E0000}"/>
    <cellStyle name="Currency 5 2 3 7" xfId="9927" xr:uid="{00000000-0005-0000-0000-0000BC5E0000}"/>
    <cellStyle name="Currency 5 2 3 8" xfId="21519" xr:uid="{00000000-0005-0000-0000-0000BD5E0000}"/>
    <cellStyle name="Currency 5 2 4" xfId="6258" xr:uid="{00000000-0005-0000-0000-0000BE5E0000}"/>
    <cellStyle name="Currency 5 2 4 2" xfId="6259" xr:uid="{00000000-0005-0000-0000-0000BF5E0000}"/>
    <cellStyle name="Currency 5 2 4 2 2" xfId="11401" xr:uid="{00000000-0005-0000-0000-0000C05E0000}"/>
    <cellStyle name="Currency 5 2 4 2 3" xfId="21508" xr:uid="{00000000-0005-0000-0000-0000C15E0000}"/>
    <cellStyle name="Currency 5 2 4 3" xfId="6260" xr:uid="{00000000-0005-0000-0000-0000C25E0000}"/>
    <cellStyle name="Currency 5 2 4 3 2" xfId="17163" xr:uid="{00000000-0005-0000-0000-0000C35E0000}"/>
    <cellStyle name="Currency 5 2 4 3 2 2" xfId="30522" xr:uid="{00000000-0005-0000-0000-0000C45E0000}"/>
    <cellStyle name="Currency 5 2 4 3 3" xfId="21507" xr:uid="{00000000-0005-0000-0000-0000C55E0000}"/>
    <cellStyle name="Currency 5 2 4 4" xfId="9929" xr:uid="{00000000-0005-0000-0000-0000C65E0000}"/>
    <cellStyle name="Currency 5 2 4 5" xfId="21509" xr:uid="{00000000-0005-0000-0000-0000C75E0000}"/>
    <cellStyle name="Currency 5 2 5" xfId="6261" xr:uid="{00000000-0005-0000-0000-0000C85E0000}"/>
    <cellStyle name="Currency 5 2 5 2" xfId="6262" xr:uid="{00000000-0005-0000-0000-0000C95E0000}"/>
    <cellStyle name="Currency 5 2 5 2 2" xfId="13201" xr:uid="{00000000-0005-0000-0000-0000CA5E0000}"/>
    <cellStyle name="Currency 5 2 5 2 3" xfId="21505" xr:uid="{00000000-0005-0000-0000-0000CB5E0000}"/>
    <cellStyle name="Currency 5 2 5 3" xfId="6263" xr:uid="{00000000-0005-0000-0000-0000CC5E0000}"/>
    <cellStyle name="Currency 5 2 5 3 2" xfId="17252" xr:uid="{00000000-0005-0000-0000-0000CD5E0000}"/>
    <cellStyle name="Currency 5 2 5 3 2 2" xfId="30611" xr:uid="{00000000-0005-0000-0000-0000CE5E0000}"/>
    <cellStyle name="Currency 5 2 5 3 3" xfId="21504" xr:uid="{00000000-0005-0000-0000-0000CF5E0000}"/>
    <cellStyle name="Currency 5 2 5 4" xfId="11902" xr:uid="{00000000-0005-0000-0000-0000D05E0000}"/>
    <cellStyle name="Currency 5 2 5 4 2" xfId="25617" xr:uid="{00000000-0005-0000-0000-0000D15E0000}"/>
    <cellStyle name="Currency 5 2 5 5" xfId="21506" xr:uid="{00000000-0005-0000-0000-0000D25E0000}"/>
    <cellStyle name="Currency 5 2 6" xfId="6264" xr:uid="{00000000-0005-0000-0000-0000D35E0000}"/>
    <cellStyle name="Currency 5 2 6 2" xfId="6265" xr:uid="{00000000-0005-0000-0000-0000D45E0000}"/>
    <cellStyle name="Currency 5 2 6 2 2" xfId="15658" xr:uid="{00000000-0005-0000-0000-0000D55E0000}"/>
    <cellStyle name="Currency 5 2 6 2 3" xfId="21502" xr:uid="{00000000-0005-0000-0000-0000D65E0000}"/>
    <cellStyle name="Currency 5 2 6 3" xfId="6266" xr:uid="{00000000-0005-0000-0000-0000D75E0000}"/>
    <cellStyle name="Currency 5 2 6 3 2" xfId="16527" xr:uid="{00000000-0005-0000-0000-0000D85E0000}"/>
    <cellStyle name="Currency 5 2 6 3 2 2" xfId="29934" xr:uid="{00000000-0005-0000-0000-0000D95E0000}"/>
    <cellStyle name="Currency 5 2 6 3 3" xfId="21501" xr:uid="{00000000-0005-0000-0000-0000DA5E0000}"/>
    <cellStyle name="Currency 5 2 6 4" xfId="13479" xr:uid="{00000000-0005-0000-0000-0000DB5E0000}"/>
    <cellStyle name="Currency 5 2 6 4 2" xfId="27028" xr:uid="{00000000-0005-0000-0000-0000DC5E0000}"/>
    <cellStyle name="Currency 5 2 6 5" xfId="21503" xr:uid="{00000000-0005-0000-0000-0000DD5E0000}"/>
    <cellStyle name="Currency 5 2 7" xfId="6267" xr:uid="{00000000-0005-0000-0000-0000DE5E0000}"/>
    <cellStyle name="Currency 5 2 7 2" xfId="14060" xr:uid="{00000000-0005-0000-0000-0000DF5E0000}"/>
    <cellStyle name="Currency 5 2 7 2 2" xfId="27609" xr:uid="{00000000-0005-0000-0000-0000E05E0000}"/>
    <cellStyle name="Currency 5 2 7 3" xfId="21500" xr:uid="{00000000-0005-0000-0000-0000E15E0000}"/>
    <cellStyle name="Currency 5 2 8" xfId="6268" xr:uid="{00000000-0005-0000-0000-0000E25E0000}"/>
    <cellStyle name="Currency 5 2 8 2" xfId="15946" xr:uid="{00000000-0005-0000-0000-0000E35E0000}"/>
    <cellStyle name="Currency 5 2 8 2 2" xfId="29353" xr:uid="{00000000-0005-0000-0000-0000E45E0000}"/>
    <cellStyle name="Currency 5 2 8 3" xfId="21499" xr:uid="{00000000-0005-0000-0000-0000E55E0000}"/>
    <cellStyle name="Currency 5 2 9" xfId="9922" xr:uid="{00000000-0005-0000-0000-0000E65E0000}"/>
    <cellStyle name="Currency 5 3" xfId="6269" xr:uid="{00000000-0005-0000-0000-0000E75E0000}"/>
    <cellStyle name="Currency 5 3 2" xfId="6270" xr:uid="{00000000-0005-0000-0000-0000E85E0000}"/>
    <cellStyle name="Currency 5 3 2 2" xfId="6271" xr:uid="{00000000-0005-0000-0000-0000E95E0000}"/>
    <cellStyle name="Currency 5 3 2 2 2" xfId="6272" xr:uid="{00000000-0005-0000-0000-0000EA5E0000}"/>
    <cellStyle name="Currency 5 3 2 2 2 2" xfId="11402" xr:uid="{00000000-0005-0000-0000-0000EB5E0000}"/>
    <cellStyle name="Currency 5 3 2 2 2 3" xfId="21495" xr:uid="{00000000-0005-0000-0000-0000EC5E0000}"/>
    <cellStyle name="Currency 5 3 2 2 3" xfId="6273" xr:uid="{00000000-0005-0000-0000-0000ED5E0000}"/>
    <cellStyle name="Currency 5 3 2 2 3 2" xfId="16913" xr:uid="{00000000-0005-0000-0000-0000EE5E0000}"/>
    <cellStyle name="Currency 5 3 2 2 3 2 2" xfId="30320" xr:uid="{00000000-0005-0000-0000-0000EF5E0000}"/>
    <cellStyle name="Currency 5 3 2 2 3 3" xfId="21494" xr:uid="{00000000-0005-0000-0000-0000F05E0000}"/>
    <cellStyle name="Currency 5 3 2 2 4" xfId="9932" xr:uid="{00000000-0005-0000-0000-0000F15E0000}"/>
    <cellStyle name="Currency 5 3 2 2 5" xfId="21496" xr:uid="{00000000-0005-0000-0000-0000F25E0000}"/>
    <cellStyle name="Currency 5 3 2 3" xfId="6274" xr:uid="{00000000-0005-0000-0000-0000F35E0000}"/>
    <cellStyle name="Currency 5 3 2 3 2" xfId="6275" xr:uid="{00000000-0005-0000-0000-0000F45E0000}"/>
    <cellStyle name="Currency 5 3 2 3 2 2" xfId="13202" xr:uid="{00000000-0005-0000-0000-0000F55E0000}"/>
    <cellStyle name="Currency 5 3 2 3 2 3" xfId="21492" xr:uid="{00000000-0005-0000-0000-0000F65E0000}"/>
    <cellStyle name="Currency 5 3 2 3 3" xfId="12301" xr:uid="{00000000-0005-0000-0000-0000F75E0000}"/>
    <cellStyle name="Currency 5 3 2 3 3 2" xfId="26013" xr:uid="{00000000-0005-0000-0000-0000F85E0000}"/>
    <cellStyle name="Currency 5 3 2 3 4" xfId="21493" xr:uid="{00000000-0005-0000-0000-0000F95E0000}"/>
    <cellStyle name="Currency 5 3 2 4" xfId="6276" xr:uid="{00000000-0005-0000-0000-0000FA5E0000}"/>
    <cellStyle name="Currency 5 3 2 4 2" xfId="6277" xr:uid="{00000000-0005-0000-0000-0000FB5E0000}"/>
    <cellStyle name="Currency 5 3 2 4 2 2" xfId="15659" xr:uid="{00000000-0005-0000-0000-0000FC5E0000}"/>
    <cellStyle name="Currency 5 3 2 4 2 3" xfId="21490" xr:uid="{00000000-0005-0000-0000-0000FD5E0000}"/>
    <cellStyle name="Currency 5 3 2 4 3" xfId="13865" xr:uid="{00000000-0005-0000-0000-0000FE5E0000}"/>
    <cellStyle name="Currency 5 3 2 4 3 2" xfId="27414" xr:uid="{00000000-0005-0000-0000-0000FF5E0000}"/>
    <cellStyle name="Currency 5 3 2 4 4" xfId="21491" xr:uid="{00000000-0005-0000-0000-0000005F0000}"/>
    <cellStyle name="Currency 5 3 2 5" xfId="6278" xr:uid="{00000000-0005-0000-0000-0000015F0000}"/>
    <cellStyle name="Currency 5 3 2 5 2" xfId="14446" xr:uid="{00000000-0005-0000-0000-0000025F0000}"/>
    <cellStyle name="Currency 5 3 2 5 2 2" xfId="27995" xr:uid="{00000000-0005-0000-0000-0000035F0000}"/>
    <cellStyle name="Currency 5 3 2 5 3" xfId="21489" xr:uid="{00000000-0005-0000-0000-0000045F0000}"/>
    <cellStyle name="Currency 5 3 2 6" xfId="6279" xr:uid="{00000000-0005-0000-0000-0000055F0000}"/>
    <cellStyle name="Currency 5 3 2 6 2" xfId="16332" xr:uid="{00000000-0005-0000-0000-0000065F0000}"/>
    <cellStyle name="Currency 5 3 2 6 2 2" xfId="29739" xr:uid="{00000000-0005-0000-0000-0000075F0000}"/>
    <cellStyle name="Currency 5 3 2 6 3" xfId="21488" xr:uid="{00000000-0005-0000-0000-0000085F0000}"/>
    <cellStyle name="Currency 5 3 2 7" xfId="9931" xr:uid="{00000000-0005-0000-0000-0000095F0000}"/>
    <cellStyle name="Currency 5 3 2 8" xfId="21497" xr:uid="{00000000-0005-0000-0000-00000A5F0000}"/>
    <cellStyle name="Currency 5 3 3" xfId="6280" xr:uid="{00000000-0005-0000-0000-00000B5F0000}"/>
    <cellStyle name="Currency 5 3 3 2" xfId="6281" xr:uid="{00000000-0005-0000-0000-00000C5F0000}"/>
    <cellStyle name="Currency 5 3 3 2 2" xfId="11403" xr:uid="{00000000-0005-0000-0000-00000D5F0000}"/>
    <cellStyle name="Currency 5 3 3 2 3" xfId="21486" xr:uid="{00000000-0005-0000-0000-00000E5F0000}"/>
    <cellStyle name="Currency 5 3 3 3" xfId="6282" xr:uid="{00000000-0005-0000-0000-00000F5F0000}"/>
    <cellStyle name="Currency 5 3 3 3 2" xfId="16624" xr:uid="{00000000-0005-0000-0000-0000105F0000}"/>
    <cellStyle name="Currency 5 3 3 3 2 2" xfId="30031" xr:uid="{00000000-0005-0000-0000-0000115F0000}"/>
    <cellStyle name="Currency 5 3 3 3 3" xfId="21485" xr:uid="{00000000-0005-0000-0000-0000125F0000}"/>
    <cellStyle name="Currency 5 3 3 4" xfId="9933" xr:uid="{00000000-0005-0000-0000-0000135F0000}"/>
    <cellStyle name="Currency 5 3 3 5" xfId="21487" xr:uid="{00000000-0005-0000-0000-0000145F0000}"/>
    <cellStyle name="Currency 5 3 4" xfId="6283" xr:uid="{00000000-0005-0000-0000-0000155F0000}"/>
    <cellStyle name="Currency 5 3 4 2" xfId="6284" xr:uid="{00000000-0005-0000-0000-0000165F0000}"/>
    <cellStyle name="Currency 5 3 4 2 2" xfId="13203" xr:uid="{00000000-0005-0000-0000-0000175F0000}"/>
    <cellStyle name="Currency 5 3 4 2 3" xfId="21483" xr:uid="{00000000-0005-0000-0000-0000185F0000}"/>
    <cellStyle name="Currency 5 3 4 3" xfId="12001" xr:uid="{00000000-0005-0000-0000-0000195F0000}"/>
    <cellStyle name="Currency 5 3 4 3 2" xfId="25716" xr:uid="{00000000-0005-0000-0000-00001A5F0000}"/>
    <cellStyle name="Currency 5 3 4 4" xfId="21484" xr:uid="{00000000-0005-0000-0000-00001B5F0000}"/>
    <cellStyle name="Currency 5 3 5" xfId="6285" xr:uid="{00000000-0005-0000-0000-00001C5F0000}"/>
    <cellStyle name="Currency 5 3 5 2" xfId="6286" xr:uid="{00000000-0005-0000-0000-00001D5F0000}"/>
    <cellStyle name="Currency 5 3 5 2 2" xfId="15660" xr:uid="{00000000-0005-0000-0000-00001E5F0000}"/>
    <cellStyle name="Currency 5 3 5 2 3" xfId="21481" xr:uid="{00000000-0005-0000-0000-00001F5F0000}"/>
    <cellStyle name="Currency 5 3 5 3" xfId="13576" xr:uid="{00000000-0005-0000-0000-0000205F0000}"/>
    <cellStyle name="Currency 5 3 5 3 2" xfId="27125" xr:uid="{00000000-0005-0000-0000-0000215F0000}"/>
    <cellStyle name="Currency 5 3 5 4" xfId="21482" xr:uid="{00000000-0005-0000-0000-0000225F0000}"/>
    <cellStyle name="Currency 5 3 6" xfId="6287" xr:uid="{00000000-0005-0000-0000-0000235F0000}"/>
    <cellStyle name="Currency 5 3 6 2" xfId="14157" xr:uid="{00000000-0005-0000-0000-0000245F0000}"/>
    <cellStyle name="Currency 5 3 6 2 2" xfId="27706" xr:uid="{00000000-0005-0000-0000-0000255F0000}"/>
    <cellStyle name="Currency 5 3 6 3" xfId="21480" xr:uid="{00000000-0005-0000-0000-0000265F0000}"/>
    <cellStyle name="Currency 5 3 7" xfId="6288" xr:uid="{00000000-0005-0000-0000-0000275F0000}"/>
    <cellStyle name="Currency 5 3 7 2" xfId="16043" xr:uid="{00000000-0005-0000-0000-0000285F0000}"/>
    <cellStyle name="Currency 5 3 7 2 2" xfId="29450" xr:uid="{00000000-0005-0000-0000-0000295F0000}"/>
    <cellStyle name="Currency 5 3 7 3" xfId="21479" xr:uid="{00000000-0005-0000-0000-00002A5F0000}"/>
    <cellStyle name="Currency 5 3 8" xfId="9930" xr:uid="{00000000-0005-0000-0000-00002B5F0000}"/>
    <cellStyle name="Currency 5 3 9" xfId="21498" xr:uid="{00000000-0005-0000-0000-00002C5F0000}"/>
    <cellStyle name="Currency 5 4" xfId="6289" xr:uid="{00000000-0005-0000-0000-00002D5F0000}"/>
    <cellStyle name="Currency 5 4 2" xfId="6290" xr:uid="{00000000-0005-0000-0000-00002E5F0000}"/>
    <cellStyle name="Currency 5 4 2 2" xfId="6291" xr:uid="{00000000-0005-0000-0000-00002F5F0000}"/>
    <cellStyle name="Currency 5 4 2 2 2" xfId="11404" xr:uid="{00000000-0005-0000-0000-0000305F0000}"/>
    <cellStyle name="Currency 5 4 2 2 3" xfId="21476" xr:uid="{00000000-0005-0000-0000-0000315F0000}"/>
    <cellStyle name="Currency 5 4 2 3" xfId="6292" xr:uid="{00000000-0005-0000-0000-0000325F0000}"/>
    <cellStyle name="Currency 5 4 2 3 2" xfId="16770" xr:uid="{00000000-0005-0000-0000-0000335F0000}"/>
    <cellStyle name="Currency 5 4 2 3 2 2" xfId="30177" xr:uid="{00000000-0005-0000-0000-0000345F0000}"/>
    <cellStyle name="Currency 5 4 2 3 3" xfId="21475" xr:uid="{00000000-0005-0000-0000-0000355F0000}"/>
    <cellStyle name="Currency 5 4 2 4" xfId="9935" xr:uid="{00000000-0005-0000-0000-0000365F0000}"/>
    <cellStyle name="Currency 5 4 2 5" xfId="21477" xr:uid="{00000000-0005-0000-0000-0000375F0000}"/>
    <cellStyle name="Currency 5 4 3" xfId="6293" xr:uid="{00000000-0005-0000-0000-0000385F0000}"/>
    <cellStyle name="Currency 5 4 3 2" xfId="6294" xr:uid="{00000000-0005-0000-0000-0000395F0000}"/>
    <cellStyle name="Currency 5 4 3 2 2" xfId="13204" xr:uid="{00000000-0005-0000-0000-00003A5F0000}"/>
    <cellStyle name="Currency 5 4 3 2 3" xfId="21473" xr:uid="{00000000-0005-0000-0000-00003B5F0000}"/>
    <cellStyle name="Currency 5 4 3 3" xfId="12158" xr:uid="{00000000-0005-0000-0000-00003C5F0000}"/>
    <cellStyle name="Currency 5 4 3 3 2" xfId="25870" xr:uid="{00000000-0005-0000-0000-00003D5F0000}"/>
    <cellStyle name="Currency 5 4 3 4" xfId="21474" xr:uid="{00000000-0005-0000-0000-00003E5F0000}"/>
    <cellStyle name="Currency 5 4 4" xfId="6295" xr:uid="{00000000-0005-0000-0000-00003F5F0000}"/>
    <cellStyle name="Currency 5 4 4 2" xfId="6296" xr:uid="{00000000-0005-0000-0000-0000405F0000}"/>
    <cellStyle name="Currency 5 4 4 2 2" xfId="15661" xr:uid="{00000000-0005-0000-0000-0000415F0000}"/>
    <cellStyle name="Currency 5 4 4 2 3" xfId="21471" xr:uid="{00000000-0005-0000-0000-0000425F0000}"/>
    <cellStyle name="Currency 5 4 4 3" xfId="13722" xr:uid="{00000000-0005-0000-0000-0000435F0000}"/>
    <cellStyle name="Currency 5 4 4 3 2" xfId="27271" xr:uid="{00000000-0005-0000-0000-0000445F0000}"/>
    <cellStyle name="Currency 5 4 4 4" xfId="21472" xr:uid="{00000000-0005-0000-0000-0000455F0000}"/>
    <cellStyle name="Currency 5 4 5" xfId="6297" xr:uid="{00000000-0005-0000-0000-0000465F0000}"/>
    <cellStyle name="Currency 5 4 5 2" xfId="14303" xr:uid="{00000000-0005-0000-0000-0000475F0000}"/>
    <cellStyle name="Currency 5 4 5 2 2" xfId="27852" xr:uid="{00000000-0005-0000-0000-0000485F0000}"/>
    <cellStyle name="Currency 5 4 5 3" xfId="21470" xr:uid="{00000000-0005-0000-0000-0000495F0000}"/>
    <cellStyle name="Currency 5 4 6" xfId="6298" xr:uid="{00000000-0005-0000-0000-00004A5F0000}"/>
    <cellStyle name="Currency 5 4 6 2" xfId="16189" xr:uid="{00000000-0005-0000-0000-00004B5F0000}"/>
    <cellStyle name="Currency 5 4 6 2 2" xfId="29596" xr:uid="{00000000-0005-0000-0000-00004C5F0000}"/>
    <cellStyle name="Currency 5 4 6 3" xfId="21469" xr:uid="{00000000-0005-0000-0000-00004D5F0000}"/>
    <cellStyle name="Currency 5 4 7" xfId="9934" xr:uid="{00000000-0005-0000-0000-00004E5F0000}"/>
    <cellStyle name="Currency 5 4 8" xfId="21478" xr:uid="{00000000-0005-0000-0000-00004F5F0000}"/>
    <cellStyle name="Currency 5 5" xfId="6299" xr:uid="{00000000-0005-0000-0000-0000505F0000}"/>
    <cellStyle name="Currency 5 5 2" xfId="6300" xr:uid="{00000000-0005-0000-0000-0000515F0000}"/>
    <cellStyle name="Currency 5 5 2 2" xfId="17031" xr:uid="{00000000-0005-0000-0000-0000525F0000}"/>
    <cellStyle name="Currency 5 5 2 2 2" xfId="30437" xr:uid="{00000000-0005-0000-0000-0000535F0000}"/>
    <cellStyle name="Currency 5 5 2 3" xfId="21467" xr:uid="{00000000-0005-0000-0000-0000545F0000}"/>
    <cellStyle name="Currency 5 5 3" xfId="9936" xr:uid="{00000000-0005-0000-0000-0000555F0000}"/>
    <cellStyle name="Currency 5 5 4" xfId="21468" xr:uid="{00000000-0005-0000-0000-0000565F0000}"/>
    <cellStyle name="Currency 5 6" xfId="6301" xr:uid="{00000000-0005-0000-0000-0000575F0000}"/>
    <cellStyle name="Currency 5 6 2" xfId="6302" xr:uid="{00000000-0005-0000-0000-0000585F0000}"/>
    <cellStyle name="Currency 5 6 2 2" xfId="11405" xr:uid="{00000000-0005-0000-0000-0000595F0000}"/>
    <cellStyle name="Currency 5 6 2 3" xfId="21465" xr:uid="{00000000-0005-0000-0000-00005A5F0000}"/>
    <cellStyle name="Currency 5 6 3" xfId="6303" xr:uid="{00000000-0005-0000-0000-00005B5F0000}"/>
    <cellStyle name="Currency 5 6 3 2" xfId="17117" xr:uid="{00000000-0005-0000-0000-00005C5F0000}"/>
    <cellStyle name="Currency 5 6 3 2 2" xfId="30476" xr:uid="{00000000-0005-0000-0000-00005D5F0000}"/>
    <cellStyle name="Currency 5 6 3 3" xfId="21464" xr:uid="{00000000-0005-0000-0000-00005E5F0000}"/>
    <cellStyle name="Currency 5 6 4" xfId="9937" xr:uid="{00000000-0005-0000-0000-00005F5F0000}"/>
    <cellStyle name="Currency 5 6 5" xfId="21466" xr:uid="{00000000-0005-0000-0000-0000605F0000}"/>
    <cellStyle name="Currency 5 7" xfId="6304" xr:uid="{00000000-0005-0000-0000-0000615F0000}"/>
    <cellStyle name="Currency 5 7 2" xfId="6305" xr:uid="{00000000-0005-0000-0000-0000625F0000}"/>
    <cellStyle name="Currency 5 7 2 2" xfId="13205" xr:uid="{00000000-0005-0000-0000-0000635F0000}"/>
    <cellStyle name="Currency 5 7 2 3" xfId="21462" xr:uid="{00000000-0005-0000-0000-0000645F0000}"/>
    <cellStyle name="Currency 5 7 3" xfId="6306" xr:uid="{00000000-0005-0000-0000-0000655F0000}"/>
    <cellStyle name="Currency 5 7 3 2" xfId="17206" xr:uid="{00000000-0005-0000-0000-0000665F0000}"/>
    <cellStyle name="Currency 5 7 3 2 2" xfId="30565" xr:uid="{00000000-0005-0000-0000-0000675F0000}"/>
    <cellStyle name="Currency 5 7 3 3" xfId="21461" xr:uid="{00000000-0005-0000-0000-0000685F0000}"/>
    <cellStyle name="Currency 5 7 4" xfId="11832" xr:uid="{00000000-0005-0000-0000-0000695F0000}"/>
    <cellStyle name="Currency 5 7 4 2" xfId="25547" xr:uid="{00000000-0005-0000-0000-00006A5F0000}"/>
    <cellStyle name="Currency 5 7 5" xfId="21463" xr:uid="{00000000-0005-0000-0000-00006B5F0000}"/>
    <cellStyle name="Currency 5 8" xfId="6307" xr:uid="{00000000-0005-0000-0000-00006C5F0000}"/>
    <cellStyle name="Currency 5 8 2" xfId="6308" xr:uid="{00000000-0005-0000-0000-00006D5F0000}"/>
    <cellStyle name="Currency 5 8 2 2" xfId="15662" xr:uid="{00000000-0005-0000-0000-00006E5F0000}"/>
    <cellStyle name="Currency 5 8 2 3" xfId="21459" xr:uid="{00000000-0005-0000-0000-00006F5F0000}"/>
    <cellStyle name="Currency 5 8 3" xfId="6309" xr:uid="{00000000-0005-0000-0000-0000705F0000}"/>
    <cellStyle name="Currency 5 8 3 2" xfId="16481" xr:uid="{00000000-0005-0000-0000-0000715F0000}"/>
    <cellStyle name="Currency 5 8 3 2 2" xfId="29888" xr:uid="{00000000-0005-0000-0000-0000725F0000}"/>
    <cellStyle name="Currency 5 8 3 3" xfId="21458" xr:uid="{00000000-0005-0000-0000-0000735F0000}"/>
    <cellStyle name="Currency 5 8 4" xfId="13433" xr:uid="{00000000-0005-0000-0000-0000745F0000}"/>
    <cellStyle name="Currency 5 8 4 2" xfId="26982" xr:uid="{00000000-0005-0000-0000-0000755F0000}"/>
    <cellStyle name="Currency 5 8 5" xfId="21460" xr:uid="{00000000-0005-0000-0000-0000765F0000}"/>
    <cellStyle name="Currency 5 9" xfId="6310" xr:uid="{00000000-0005-0000-0000-0000775F0000}"/>
    <cellStyle name="Currency 5 9 2" xfId="14014" xr:uid="{00000000-0005-0000-0000-0000785F0000}"/>
    <cellStyle name="Currency 5 9 2 2" xfId="27563" xr:uid="{00000000-0005-0000-0000-0000795F0000}"/>
    <cellStyle name="Currency 5 9 3" xfId="21457" xr:uid="{00000000-0005-0000-0000-00007A5F0000}"/>
    <cellStyle name="Currency 6" xfId="6311" xr:uid="{00000000-0005-0000-0000-00007B5F0000}"/>
    <cellStyle name="Currency 6 2" xfId="6312" xr:uid="{00000000-0005-0000-0000-00007C5F0000}"/>
    <cellStyle name="Currency 6 2 2" xfId="17032" xr:uid="{00000000-0005-0000-0000-00007D5F0000}"/>
    <cellStyle name="Currency 6 2 2 2" xfId="30438" xr:uid="{00000000-0005-0000-0000-00007E5F0000}"/>
    <cellStyle name="Currency 6 2 3" xfId="21455" xr:uid="{00000000-0005-0000-0000-00007F5F0000}"/>
    <cellStyle name="Currency 6 3" xfId="6313" xr:uid="{00000000-0005-0000-0000-0000805F0000}"/>
    <cellStyle name="Currency 6 3 2" xfId="17336" xr:uid="{00000000-0005-0000-0000-0000815F0000}"/>
    <cellStyle name="Currency 6 3 3" xfId="21454" xr:uid="{00000000-0005-0000-0000-0000825F0000}"/>
    <cellStyle name="Currency 6 4" xfId="8733" xr:uid="{00000000-0005-0000-0000-0000835F0000}"/>
    <cellStyle name="Currency 6 5" xfId="21456" xr:uid="{00000000-0005-0000-0000-0000845F0000}"/>
    <cellStyle name="Currency 6 6" xfId="33085" xr:uid="{00000000-0005-0000-0000-0000855F0000}"/>
    <cellStyle name="Currency 7" xfId="6314" xr:uid="{00000000-0005-0000-0000-0000865F0000}"/>
    <cellStyle name="Currency 7 2" xfId="9938" xr:uid="{00000000-0005-0000-0000-0000875F0000}"/>
    <cellStyle name="Currency 7 3" xfId="21453" xr:uid="{00000000-0005-0000-0000-0000885F0000}"/>
    <cellStyle name="Currency 8" xfId="6315" xr:uid="{00000000-0005-0000-0000-0000895F0000}"/>
    <cellStyle name="Currency 8 10" xfId="21452" xr:uid="{00000000-0005-0000-0000-00008A5F0000}"/>
    <cellStyle name="Currency 8 2" xfId="6316" xr:uid="{00000000-0005-0000-0000-00008B5F0000}"/>
    <cellStyle name="Currency 8 2 2" xfId="6317" xr:uid="{00000000-0005-0000-0000-00008C5F0000}"/>
    <cellStyle name="Currency 8 2 2 2" xfId="6318" xr:uid="{00000000-0005-0000-0000-00008D5F0000}"/>
    <cellStyle name="Currency 8 2 2 2 2" xfId="6319" xr:uid="{00000000-0005-0000-0000-00008E5F0000}"/>
    <cellStyle name="Currency 8 2 2 2 2 2" xfId="11406" xr:uid="{00000000-0005-0000-0000-00008F5F0000}"/>
    <cellStyle name="Currency 8 2 2 2 2 3" xfId="21448" xr:uid="{00000000-0005-0000-0000-0000905F0000}"/>
    <cellStyle name="Currency 8 2 2 2 3" xfId="6320" xr:uid="{00000000-0005-0000-0000-0000915F0000}"/>
    <cellStyle name="Currency 8 2 2 2 3 2" xfId="16936" xr:uid="{00000000-0005-0000-0000-0000925F0000}"/>
    <cellStyle name="Currency 8 2 2 2 3 2 2" xfId="30343" xr:uid="{00000000-0005-0000-0000-0000935F0000}"/>
    <cellStyle name="Currency 8 2 2 2 3 3" xfId="21447" xr:uid="{00000000-0005-0000-0000-0000945F0000}"/>
    <cellStyle name="Currency 8 2 2 2 4" xfId="9942" xr:uid="{00000000-0005-0000-0000-0000955F0000}"/>
    <cellStyle name="Currency 8 2 2 2 5" xfId="21449" xr:uid="{00000000-0005-0000-0000-0000965F0000}"/>
    <cellStyle name="Currency 8 2 2 3" xfId="6321" xr:uid="{00000000-0005-0000-0000-0000975F0000}"/>
    <cellStyle name="Currency 8 2 2 3 2" xfId="6322" xr:uid="{00000000-0005-0000-0000-0000985F0000}"/>
    <cellStyle name="Currency 8 2 2 3 2 2" xfId="13206" xr:uid="{00000000-0005-0000-0000-0000995F0000}"/>
    <cellStyle name="Currency 8 2 2 3 2 3" xfId="21445" xr:uid="{00000000-0005-0000-0000-00009A5F0000}"/>
    <cellStyle name="Currency 8 2 2 3 3" xfId="12324" xr:uid="{00000000-0005-0000-0000-00009B5F0000}"/>
    <cellStyle name="Currency 8 2 2 3 3 2" xfId="26036" xr:uid="{00000000-0005-0000-0000-00009C5F0000}"/>
    <cellStyle name="Currency 8 2 2 3 4" xfId="21446" xr:uid="{00000000-0005-0000-0000-00009D5F0000}"/>
    <cellStyle name="Currency 8 2 2 4" xfId="6323" xr:uid="{00000000-0005-0000-0000-00009E5F0000}"/>
    <cellStyle name="Currency 8 2 2 4 2" xfId="6324" xr:uid="{00000000-0005-0000-0000-00009F5F0000}"/>
    <cellStyle name="Currency 8 2 2 4 2 2" xfId="15663" xr:uid="{00000000-0005-0000-0000-0000A05F0000}"/>
    <cellStyle name="Currency 8 2 2 4 2 3" xfId="21443" xr:uid="{00000000-0005-0000-0000-0000A15F0000}"/>
    <cellStyle name="Currency 8 2 2 4 3" xfId="13888" xr:uid="{00000000-0005-0000-0000-0000A25F0000}"/>
    <cellStyle name="Currency 8 2 2 4 3 2" xfId="27437" xr:uid="{00000000-0005-0000-0000-0000A35F0000}"/>
    <cellStyle name="Currency 8 2 2 4 4" xfId="21444" xr:uid="{00000000-0005-0000-0000-0000A45F0000}"/>
    <cellStyle name="Currency 8 2 2 5" xfId="6325" xr:uid="{00000000-0005-0000-0000-0000A55F0000}"/>
    <cellStyle name="Currency 8 2 2 5 2" xfId="14469" xr:uid="{00000000-0005-0000-0000-0000A65F0000}"/>
    <cellStyle name="Currency 8 2 2 5 2 2" xfId="28018" xr:uid="{00000000-0005-0000-0000-0000A75F0000}"/>
    <cellStyle name="Currency 8 2 2 5 3" xfId="21442" xr:uid="{00000000-0005-0000-0000-0000A85F0000}"/>
    <cellStyle name="Currency 8 2 2 6" xfId="6326" xr:uid="{00000000-0005-0000-0000-0000A95F0000}"/>
    <cellStyle name="Currency 8 2 2 6 2" xfId="16355" xr:uid="{00000000-0005-0000-0000-0000AA5F0000}"/>
    <cellStyle name="Currency 8 2 2 6 2 2" xfId="29762" xr:uid="{00000000-0005-0000-0000-0000AB5F0000}"/>
    <cellStyle name="Currency 8 2 2 6 3" xfId="21441" xr:uid="{00000000-0005-0000-0000-0000AC5F0000}"/>
    <cellStyle name="Currency 8 2 2 7" xfId="9941" xr:uid="{00000000-0005-0000-0000-0000AD5F0000}"/>
    <cellStyle name="Currency 8 2 2 8" xfId="21450" xr:uid="{00000000-0005-0000-0000-0000AE5F0000}"/>
    <cellStyle name="Currency 8 2 3" xfId="6327" xr:uid="{00000000-0005-0000-0000-0000AF5F0000}"/>
    <cellStyle name="Currency 8 2 3 2" xfId="6328" xr:uid="{00000000-0005-0000-0000-0000B05F0000}"/>
    <cellStyle name="Currency 8 2 3 2 2" xfId="11407" xr:uid="{00000000-0005-0000-0000-0000B15F0000}"/>
    <cellStyle name="Currency 8 2 3 2 3" xfId="21439" xr:uid="{00000000-0005-0000-0000-0000B25F0000}"/>
    <cellStyle name="Currency 8 2 3 3" xfId="6329" xr:uid="{00000000-0005-0000-0000-0000B35F0000}"/>
    <cellStyle name="Currency 8 2 3 3 2" xfId="16647" xr:uid="{00000000-0005-0000-0000-0000B45F0000}"/>
    <cellStyle name="Currency 8 2 3 3 2 2" xfId="30054" xr:uid="{00000000-0005-0000-0000-0000B55F0000}"/>
    <cellStyle name="Currency 8 2 3 3 3" xfId="21438" xr:uid="{00000000-0005-0000-0000-0000B65F0000}"/>
    <cellStyle name="Currency 8 2 3 4" xfId="9943" xr:uid="{00000000-0005-0000-0000-0000B75F0000}"/>
    <cellStyle name="Currency 8 2 3 5" xfId="21440" xr:uid="{00000000-0005-0000-0000-0000B85F0000}"/>
    <cellStyle name="Currency 8 2 4" xfId="6330" xr:uid="{00000000-0005-0000-0000-0000B95F0000}"/>
    <cellStyle name="Currency 8 2 4 2" xfId="6331" xr:uid="{00000000-0005-0000-0000-0000BA5F0000}"/>
    <cellStyle name="Currency 8 2 4 2 2" xfId="13207" xr:uid="{00000000-0005-0000-0000-0000BB5F0000}"/>
    <cellStyle name="Currency 8 2 4 2 3" xfId="21436" xr:uid="{00000000-0005-0000-0000-0000BC5F0000}"/>
    <cellStyle name="Currency 8 2 4 3" xfId="12024" xr:uid="{00000000-0005-0000-0000-0000BD5F0000}"/>
    <cellStyle name="Currency 8 2 4 3 2" xfId="25739" xr:uid="{00000000-0005-0000-0000-0000BE5F0000}"/>
    <cellStyle name="Currency 8 2 4 4" xfId="21437" xr:uid="{00000000-0005-0000-0000-0000BF5F0000}"/>
    <cellStyle name="Currency 8 2 5" xfId="6332" xr:uid="{00000000-0005-0000-0000-0000C05F0000}"/>
    <cellStyle name="Currency 8 2 5 2" xfId="6333" xr:uid="{00000000-0005-0000-0000-0000C15F0000}"/>
    <cellStyle name="Currency 8 2 5 2 2" xfId="15664" xr:uid="{00000000-0005-0000-0000-0000C25F0000}"/>
    <cellStyle name="Currency 8 2 5 2 3" xfId="21434" xr:uid="{00000000-0005-0000-0000-0000C35F0000}"/>
    <cellStyle name="Currency 8 2 5 3" xfId="13599" xr:uid="{00000000-0005-0000-0000-0000C45F0000}"/>
    <cellStyle name="Currency 8 2 5 3 2" xfId="27148" xr:uid="{00000000-0005-0000-0000-0000C55F0000}"/>
    <cellStyle name="Currency 8 2 5 4" xfId="21435" xr:uid="{00000000-0005-0000-0000-0000C65F0000}"/>
    <cellStyle name="Currency 8 2 6" xfId="6334" xr:uid="{00000000-0005-0000-0000-0000C75F0000}"/>
    <cellStyle name="Currency 8 2 6 2" xfId="14180" xr:uid="{00000000-0005-0000-0000-0000C85F0000}"/>
    <cellStyle name="Currency 8 2 6 2 2" xfId="27729" xr:uid="{00000000-0005-0000-0000-0000C95F0000}"/>
    <cellStyle name="Currency 8 2 6 3" xfId="21433" xr:uid="{00000000-0005-0000-0000-0000CA5F0000}"/>
    <cellStyle name="Currency 8 2 7" xfId="6335" xr:uid="{00000000-0005-0000-0000-0000CB5F0000}"/>
    <cellStyle name="Currency 8 2 7 2" xfId="16066" xr:uid="{00000000-0005-0000-0000-0000CC5F0000}"/>
    <cellStyle name="Currency 8 2 7 2 2" xfId="29473" xr:uid="{00000000-0005-0000-0000-0000CD5F0000}"/>
    <cellStyle name="Currency 8 2 7 3" xfId="21432" xr:uid="{00000000-0005-0000-0000-0000CE5F0000}"/>
    <cellStyle name="Currency 8 2 8" xfId="9940" xr:uid="{00000000-0005-0000-0000-0000CF5F0000}"/>
    <cellStyle name="Currency 8 2 9" xfId="21451" xr:uid="{00000000-0005-0000-0000-0000D05F0000}"/>
    <cellStyle name="Currency 8 3" xfId="6336" xr:uid="{00000000-0005-0000-0000-0000D15F0000}"/>
    <cellStyle name="Currency 8 3 2" xfId="6337" xr:uid="{00000000-0005-0000-0000-0000D25F0000}"/>
    <cellStyle name="Currency 8 3 2 2" xfId="6338" xr:uid="{00000000-0005-0000-0000-0000D35F0000}"/>
    <cellStyle name="Currency 8 3 2 2 2" xfId="11408" xr:uid="{00000000-0005-0000-0000-0000D45F0000}"/>
    <cellStyle name="Currency 8 3 2 2 3" xfId="21429" xr:uid="{00000000-0005-0000-0000-0000D55F0000}"/>
    <cellStyle name="Currency 8 3 2 3" xfId="6339" xr:uid="{00000000-0005-0000-0000-0000D65F0000}"/>
    <cellStyle name="Currency 8 3 2 3 2" xfId="16793" xr:uid="{00000000-0005-0000-0000-0000D75F0000}"/>
    <cellStyle name="Currency 8 3 2 3 2 2" xfId="30200" xr:uid="{00000000-0005-0000-0000-0000D85F0000}"/>
    <cellStyle name="Currency 8 3 2 3 3" xfId="21428" xr:uid="{00000000-0005-0000-0000-0000D95F0000}"/>
    <cellStyle name="Currency 8 3 2 4" xfId="9945" xr:uid="{00000000-0005-0000-0000-0000DA5F0000}"/>
    <cellStyle name="Currency 8 3 2 5" xfId="21430" xr:uid="{00000000-0005-0000-0000-0000DB5F0000}"/>
    <cellStyle name="Currency 8 3 3" xfId="6340" xr:uid="{00000000-0005-0000-0000-0000DC5F0000}"/>
    <cellStyle name="Currency 8 3 3 2" xfId="6341" xr:uid="{00000000-0005-0000-0000-0000DD5F0000}"/>
    <cellStyle name="Currency 8 3 3 2 2" xfId="13208" xr:uid="{00000000-0005-0000-0000-0000DE5F0000}"/>
    <cellStyle name="Currency 8 3 3 2 3" xfId="21426" xr:uid="{00000000-0005-0000-0000-0000DF5F0000}"/>
    <cellStyle name="Currency 8 3 3 3" xfId="12181" xr:uid="{00000000-0005-0000-0000-0000E05F0000}"/>
    <cellStyle name="Currency 8 3 3 3 2" xfId="25893" xr:uid="{00000000-0005-0000-0000-0000E15F0000}"/>
    <cellStyle name="Currency 8 3 3 4" xfId="21427" xr:uid="{00000000-0005-0000-0000-0000E25F0000}"/>
    <cellStyle name="Currency 8 3 4" xfId="6342" xr:uid="{00000000-0005-0000-0000-0000E35F0000}"/>
    <cellStyle name="Currency 8 3 4 2" xfId="6343" xr:uid="{00000000-0005-0000-0000-0000E45F0000}"/>
    <cellStyle name="Currency 8 3 4 2 2" xfId="15665" xr:uid="{00000000-0005-0000-0000-0000E55F0000}"/>
    <cellStyle name="Currency 8 3 4 2 3" xfId="21424" xr:uid="{00000000-0005-0000-0000-0000E65F0000}"/>
    <cellStyle name="Currency 8 3 4 3" xfId="13745" xr:uid="{00000000-0005-0000-0000-0000E75F0000}"/>
    <cellStyle name="Currency 8 3 4 3 2" xfId="27294" xr:uid="{00000000-0005-0000-0000-0000E85F0000}"/>
    <cellStyle name="Currency 8 3 4 4" xfId="21425" xr:uid="{00000000-0005-0000-0000-0000E95F0000}"/>
    <cellStyle name="Currency 8 3 5" xfId="6344" xr:uid="{00000000-0005-0000-0000-0000EA5F0000}"/>
    <cellStyle name="Currency 8 3 5 2" xfId="14326" xr:uid="{00000000-0005-0000-0000-0000EB5F0000}"/>
    <cellStyle name="Currency 8 3 5 2 2" xfId="27875" xr:uid="{00000000-0005-0000-0000-0000EC5F0000}"/>
    <cellStyle name="Currency 8 3 5 3" xfId="21423" xr:uid="{00000000-0005-0000-0000-0000ED5F0000}"/>
    <cellStyle name="Currency 8 3 6" xfId="6345" xr:uid="{00000000-0005-0000-0000-0000EE5F0000}"/>
    <cellStyle name="Currency 8 3 6 2" xfId="16212" xr:uid="{00000000-0005-0000-0000-0000EF5F0000}"/>
    <cellStyle name="Currency 8 3 6 2 2" xfId="29619" xr:uid="{00000000-0005-0000-0000-0000F05F0000}"/>
    <cellStyle name="Currency 8 3 6 3" xfId="21422" xr:uid="{00000000-0005-0000-0000-0000F15F0000}"/>
    <cellStyle name="Currency 8 3 7" xfId="9944" xr:uid="{00000000-0005-0000-0000-0000F25F0000}"/>
    <cellStyle name="Currency 8 3 8" xfId="21431" xr:uid="{00000000-0005-0000-0000-0000F35F0000}"/>
    <cellStyle name="Currency 8 4" xfId="6346" xr:uid="{00000000-0005-0000-0000-0000F45F0000}"/>
    <cellStyle name="Currency 8 4 2" xfId="6347" xr:uid="{00000000-0005-0000-0000-0000F55F0000}"/>
    <cellStyle name="Currency 8 4 2 2" xfId="11409" xr:uid="{00000000-0005-0000-0000-0000F65F0000}"/>
    <cellStyle name="Currency 8 4 2 3" xfId="21420" xr:uid="{00000000-0005-0000-0000-0000F75F0000}"/>
    <cellStyle name="Currency 8 4 3" xfId="6348" xr:uid="{00000000-0005-0000-0000-0000F85F0000}"/>
    <cellStyle name="Currency 8 4 3 2" xfId="17140" xr:uid="{00000000-0005-0000-0000-0000F95F0000}"/>
    <cellStyle name="Currency 8 4 3 2 2" xfId="30499" xr:uid="{00000000-0005-0000-0000-0000FA5F0000}"/>
    <cellStyle name="Currency 8 4 3 3" xfId="21419" xr:uid="{00000000-0005-0000-0000-0000FB5F0000}"/>
    <cellStyle name="Currency 8 4 4" xfId="9946" xr:uid="{00000000-0005-0000-0000-0000FC5F0000}"/>
    <cellStyle name="Currency 8 4 5" xfId="21421" xr:uid="{00000000-0005-0000-0000-0000FD5F0000}"/>
    <cellStyle name="Currency 8 5" xfId="6349" xr:uid="{00000000-0005-0000-0000-0000FE5F0000}"/>
    <cellStyle name="Currency 8 5 2" xfId="6350" xr:uid="{00000000-0005-0000-0000-0000FF5F0000}"/>
    <cellStyle name="Currency 8 5 2 2" xfId="13209" xr:uid="{00000000-0005-0000-0000-000000600000}"/>
    <cellStyle name="Currency 8 5 2 3" xfId="21417" xr:uid="{00000000-0005-0000-0000-000001600000}"/>
    <cellStyle name="Currency 8 5 3" xfId="6351" xr:uid="{00000000-0005-0000-0000-000002600000}"/>
    <cellStyle name="Currency 8 5 3 2" xfId="17229" xr:uid="{00000000-0005-0000-0000-000003600000}"/>
    <cellStyle name="Currency 8 5 3 2 2" xfId="30588" xr:uid="{00000000-0005-0000-0000-000004600000}"/>
    <cellStyle name="Currency 8 5 3 3" xfId="21416" xr:uid="{00000000-0005-0000-0000-000005600000}"/>
    <cellStyle name="Currency 8 5 4" xfId="11876" xr:uid="{00000000-0005-0000-0000-000006600000}"/>
    <cellStyle name="Currency 8 5 4 2" xfId="25591" xr:uid="{00000000-0005-0000-0000-000007600000}"/>
    <cellStyle name="Currency 8 5 5" xfId="21418" xr:uid="{00000000-0005-0000-0000-000008600000}"/>
    <cellStyle name="Currency 8 6" xfId="6352" xr:uid="{00000000-0005-0000-0000-000009600000}"/>
    <cellStyle name="Currency 8 6 2" xfId="6353" xr:uid="{00000000-0005-0000-0000-00000A600000}"/>
    <cellStyle name="Currency 8 6 2 2" xfId="15666" xr:uid="{00000000-0005-0000-0000-00000B600000}"/>
    <cellStyle name="Currency 8 6 2 3" xfId="21414" xr:uid="{00000000-0005-0000-0000-00000C600000}"/>
    <cellStyle name="Currency 8 6 3" xfId="6354" xr:uid="{00000000-0005-0000-0000-00000D600000}"/>
    <cellStyle name="Currency 8 6 3 2" xfId="16504" xr:uid="{00000000-0005-0000-0000-00000E600000}"/>
    <cellStyle name="Currency 8 6 3 2 2" xfId="29911" xr:uid="{00000000-0005-0000-0000-00000F600000}"/>
    <cellStyle name="Currency 8 6 3 3" xfId="21413" xr:uid="{00000000-0005-0000-0000-000010600000}"/>
    <cellStyle name="Currency 8 6 4" xfId="13456" xr:uid="{00000000-0005-0000-0000-000011600000}"/>
    <cellStyle name="Currency 8 6 4 2" xfId="27005" xr:uid="{00000000-0005-0000-0000-000012600000}"/>
    <cellStyle name="Currency 8 6 5" xfId="21415" xr:uid="{00000000-0005-0000-0000-000013600000}"/>
    <cellStyle name="Currency 8 7" xfId="6355" xr:uid="{00000000-0005-0000-0000-000014600000}"/>
    <cellStyle name="Currency 8 7 2" xfId="14037" xr:uid="{00000000-0005-0000-0000-000015600000}"/>
    <cellStyle name="Currency 8 7 2 2" xfId="27586" xr:uid="{00000000-0005-0000-0000-000016600000}"/>
    <cellStyle name="Currency 8 7 3" xfId="21412" xr:uid="{00000000-0005-0000-0000-000017600000}"/>
    <cellStyle name="Currency 8 8" xfId="6356" xr:uid="{00000000-0005-0000-0000-000018600000}"/>
    <cellStyle name="Currency 8 8 2" xfId="15923" xr:uid="{00000000-0005-0000-0000-000019600000}"/>
    <cellStyle name="Currency 8 8 2 2" xfId="29330" xr:uid="{00000000-0005-0000-0000-00001A600000}"/>
    <cellStyle name="Currency 8 8 3" xfId="21411" xr:uid="{00000000-0005-0000-0000-00001B600000}"/>
    <cellStyle name="Currency 8 9" xfId="9939" xr:uid="{00000000-0005-0000-0000-00001C600000}"/>
    <cellStyle name="Currency 9" xfId="6357" xr:uid="{00000000-0005-0000-0000-00001D600000}"/>
    <cellStyle name="Currency 9 2" xfId="9947" xr:uid="{00000000-0005-0000-0000-00001E600000}"/>
    <cellStyle name="Currency 9 3" xfId="21410" xr:uid="{00000000-0005-0000-0000-00001F600000}"/>
    <cellStyle name="Currency0" xfId="6358" xr:uid="{00000000-0005-0000-0000-000020600000}"/>
    <cellStyle name="Currency0 2" xfId="6359" xr:uid="{00000000-0005-0000-0000-000021600000}"/>
    <cellStyle name="Currency0 2 2" xfId="6360" xr:uid="{00000000-0005-0000-0000-000022600000}"/>
    <cellStyle name="Currency0 2 2 2" xfId="17033" xr:uid="{00000000-0005-0000-0000-000023600000}"/>
    <cellStyle name="Currency0 2 2 3" xfId="21407" xr:uid="{00000000-0005-0000-0000-000024600000}"/>
    <cellStyle name="Currency0 2 3" xfId="8669" xr:uid="{00000000-0005-0000-0000-000025600000}"/>
    <cellStyle name="Currency0 2 4" xfId="21408" xr:uid="{00000000-0005-0000-0000-000026600000}"/>
    <cellStyle name="Currency0 3" xfId="6361" xr:uid="{00000000-0005-0000-0000-000027600000}"/>
    <cellStyle name="Currency0 3 2" xfId="8727" xr:uid="{00000000-0005-0000-0000-000028600000}"/>
    <cellStyle name="Currency0 3 2 2" xfId="17337" xr:uid="{00000000-0005-0000-0000-000029600000}"/>
    <cellStyle name="Currency0 3 3" xfId="17296" xr:uid="{00000000-0005-0000-0000-00002A600000}"/>
    <cellStyle name="Currency0 3 4" xfId="9948" xr:uid="{00000000-0005-0000-0000-00002B600000}"/>
    <cellStyle name="Currency0 3 5" xfId="21406" xr:uid="{00000000-0005-0000-0000-00002C600000}"/>
    <cellStyle name="Currency0 4" xfId="8662" xr:uid="{00000000-0005-0000-0000-00002D600000}"/>
    <cellStyle name="Currency0 5" xfId="21409" xr:uid="{00000000-0005-0000-0000-00002E600000}"/>
    <cellStyle name="Date" xfId="6362" xr:uid="{00000000-0005-0000-0000-00002F600000}"/>
    <cellStyle name="Date 2" xfId="6363" xr:uid="{00000000-0005-0000-0000-000030600000}"/>
    <cellStyle name="Date 2 2" xfId="6364" xr:uid="{00000000-0005-0000-0000-000031600000}"/>
    <cellStyle name="Date 2 2 2" xfId="17034" xr:uid="{00000000-0005-0000-0000-000032600000}"/>
    <cellStyle name="Date 2 2 3" xfId="21403" xr:uid="{00000000-0005-0000-0000-000033600000}"/>
    <cellStyle name="Date 2 3" xfId="8697" xr:uid="{00000000-0005-0000-0000-000034600000}"/>
    <cellStyle name="Date 2 4" xfId="21404" xr:uid="{00000000-0005-0000-0000-000035600000}"/>
    <cellStyle name="Date 3" xfId="6365" xr:uid="{00000000-0005-0000-0000-000036600000}"/>
    <cellStyle name="Date 3 2" xfId="8670" xr:uid="{00000000-0005-0000-0000-000037600000}"/>
    <cellStyle name="Date 3 3" xfId="21402" xr:uid="{00000000-0005-0000-0000-000038600000}"/>
    <cellStyle name="Date 4" xfId="6366" xr:uid="{00000000-0005-0000-0000-000039600000}"/>
    <cellStyle name="Date 4 2" xfId="8741" xr:uid="{00000000-0005-0000-0000-00003A600000}"/>
    <cellStyle name="Date 4 2 2" xfId="17338" xr:uid="{00000000-0005-0000-0000-00003B600000}"/>
    <cellStyle name="Date 4 3" xfId="17297" xr:uid="{00000000-0005-0000-0000-00003C600000}"/>
    <cellStyle name="Date 4 4" xfId="9949" xr:uid="{00000000-0005-0000-0000-00003D600000}"/>
    <cellStyle name="Date 4 5" xfId="30691" xr:uid="{00000000-0005-0000-0000-00003E600000}"/>
    <cellStyle name="Date 5" xfId="8661" xr:uid="{00000000-0005-0000-0000-00003F600000}"/>
    <cellStyle name="Date 6" xfId="21405" xr:uid="{00000000-0005-0000-0000-000040600000}"/>
    <cellStyle name="Explanatory Text" xfId="33036" builtinId="53" customBuiltin="1"/>
    <cellStyle name="Explanatory Text 2" xfId="6368" xr:uid="{00000000-0005-0000-0000-000042600000}"/>
    <cellStyle name="Explanatory Text 2 2" xfId="8740" xr:uid="{00000000-0005-0000-0000-000043600000}"/>
    <cellStyle name="Explanatory Text 2 3" xfId="30693" xr:uid="{00000000-0005-0000-0000-000044600000}"/>
    <cellStyle name="Explanatory Text 2 4" xfId="33059" xr:uid="{00000000-0005-0000-0000-000045600000}"/>
    <cellStyle name="Explanatory Text 3" xfId="8815" xr:uid="{00000000-0005-0000-0000-000046600000}"/>
    <cellStyle name="Explanatory Text 4" xfId="30692" xr:uid="{00000000-0005-0000-0000-000047600000}"/>
    <cellStyle name="Explanatory Text 5" xfId="6367" xr:uid="{00000000-0005-0000-0000-000048600000}"/>
    <cellStyle name="Fixed" xfId="6369" xr:uid="{00000000-0005-0000-0000-000049600000}"/>
    <cellStyle name="Fixed 2" xfId="6370" xr:uid="{00000000-0005-0000-0000-00004A600000}"/>
    <cellStyle name="Fixed 2 2" xfId="6371" xr:uid="{00000000-0005-0000-0000-00004B600000}"/>
    <cellStyle name="Fixed 2 2 2" xfId="17035" xr:uid="{00000000-0005-0000-0000-00004C600000}"/>
    <cellStyle name="Fixed 2 2 3" xfId="30696" xr:uid="{00000000-0005-0000-0000-00004D600000}"/>
    <cellStyle name="Fixed 2 3" xfId="8671" xr:uid="{00000000-0005-0000-0000-00004E600000}"/>
    <cellStyle name="Fixed 2 4" xfId="30695" xr:uid="{00000000-0005-0000-0000-00004F600000}"/>
    <cellStyle name="Fixed 3" xfId="6372" xr:uid="{00000000-0005-0000-0000-000050600000}"/>
    <cellStyle name="Fixed 3 2" xfId="8731" xr:uid="{00000000-0005-0000-0000-000051600000}"/>
    <cellStyle name="Fixed 3 2 2" xfId="17339" xr:uid="{00000000-0005-0000-0000-000052600000}"/>
    <cellStyle name="Fixed 3 3" xfId="17298" xr:uid="{00000000-0005-0000-0000-000053600000}"/>
    <cellStyle name="Fixed 3 4" xfId="9950" xr:uid="{00000000-0005-0000-0000-000054600000}"/>
    <cellStyle name="Fixed 3 5" xfId="30697" xr:uid="{00000000-0005-0000-0000-000055600000}"/>
    <cellStyle name="Fixed 4" xfId="8663" xr:uid="{00000000-0005-0000-0000-000056600000}"/>
    <cellStyle name="Fixed 5" xfId="30694" xr:uid="{00000000-0005-0000-0000-000057600000}"/>
    <cellStyle name="Good" xfId="19" builtinId="26" customBuiltin="1"/>
    <cellStyle name="Good 10" xfId="6373" xr:uid="{00000000-0005-0000-0000-000059600000}"/>
    <cellStyle name="Good 10 2" xfId="9952" xr:uid="{00000000-0005-0000-0000-00005A600000}"/>
    <cellStyle name="Good 10 3" xfId="30698" xr:uid="{00000000-0005-0000-0000-00005B600000}"/>
    <cellStyle name="Good 11" xfId="6374" xr:uid="{00000000-0005-0000-0000-00005C600000}"/>
    <cellStyle name="Good 11 2" xfId="9953" xr:uid="{00000000-0005-0000-0000-00005D600000}"/>
    <cellStyle name="Good 11 3" xfId="30699" xr:uid="{00000000-0005-0000-0000-00005E600000}"/>
    <cellStyle name="Good 12" xfId="6375" xr:uid="{00000000-0005-0000-0000-00005F600000}"/>
    <cellStyle name="Good 12 2" xfId="6376" xr:uid="{00000000-0005-0000-0000-000060600000}"/>
    <cellStyle name="Good 12 2 2" xfId="15667" xr:uid="{00000000-0005-0000-0000-000061600000}"/>
    <cellStyle name="Good 12 2 3" xfId="30701" xr:uid="{00000000-0005-0000-0000-000062600000}"/>
    <cellStyle name="Good 12 3" xfId="10489" xr:uid="{00000000-0005-0000-0000-000063600000}"/>
    <cellStyle name="Good 12 4" xfId="30700" xr:uid="{00000000-0005-0000-0000-000064600000}"/>
    <cellStyle name="Good 13" xfId="6377" xr:uid="{00000000-0005-0000-0000-000065600000}"/>
    <cellStyle name="Good 13 2" xfId="11410" xr:uid="{00000000-0005-0000-0000-000066600000}"/>
    <cellStyle name="Good 13 3" xfId="30702" xr:uid="{00000000-0005-0000-0000-000067600000}"/>
    <cellStyle name="Good 14" xfId="6378" xr:uid="{00000000-0005-0000-0000-000068600000}"/>
    <cellStyle name="Good 14 2" xfId="9951" xr:uid="{00000000-0005-0000-0000-000069600000}"/>
    <cellStyle name="Good 14 3" xfId="30703" xr:uid="{00000000-0005-0000-0000-00006A600000}"/>
    <cellStyle name="Good 2" xfId="6379" xr:uid="{00000000-0005-0000-0000-00006B600000}"/>
    <cellStyle name="Good 2 2" xfId="9954" xr:uid="{00000000-0005-0000-0000-00006C600000}"/>
    <cellStyle name="Good 2 3" xfId="30704" xr:uid="{00000000-0005-0000-0000-00006D600000}"/>
    <cellStyle name="Good 2 4" xfId="33049" xr:uid="{00000000-0005-0000-0000-00006E600000}"/>
    <cellStyle name="Good 3" xfId="6380" xr:uid="{00000000-0005-0000-0000-00006F600000}"/>
    <cellStyle name="Good 3 2" xfId="6381" xr:uid="{00000000-0005-0000-0000-000070600000}"/>
    <cellStyle name="Good 3 2 2" xfId="9956" xr:uid="{00000000-0005-0000-0000-000071600000}"/>
    <cellStyle name="Good 3 2 3" xfId="30706" xr:uid="{00000000-0005-0000-0000-000072600000}"/>
    <cellStyle name="Good 3 3" xfId="9955" xr:uid="{00000000-0005-0000-0000-000073600000}"/>
    <cellStyle name="Good 3 4" xfId="30705" xr:uid="{00000000-0005-0000-0000-000074600000}"/>
    <cellStyle name="Good 4" xfId="6382" xr:uid="{00000000-0005-0000-0000-000075600000}"/>
    <cellStyle name="Good 4 2" xfId="6383" xr:uid="{00000000-0005-0000-0000-000076600000}"/>
    <cellStyle name="Good 4 2 2" xfId="13211" xr:uid="{00000000-0005-0000-0000-000077600000}"/>
    <cellStyle name="Good 4 2 3" xfId="30708" xr:uid="{00000000-0005-0000-0000-000078600000}"/>
    <cellStyle name="Good 4 3" xfId="6384" xr:uid="{00000000-0005-0000-0000-000079600000}"/>
    <cellStyle name="Good 4 3 2" xfId="13210" xr:uid="{00000000-0005-0000-0000-00007A600000}"/>
    <cellStyle name="Good 4 3 3" xfId="30709" xr:uid="{00000000-0005-0000-0000-00007B600000}"/>
    <cellStyle name="Good 4 4" xfId="9957" xr:uid="{00000000-0005-0000-0000-00007C600000}"/>
    <cellStyle name="Good 4 5" xfId="30707" xr:uid="{00000000-0005-0000-0000-00007D600000}"/>
    <cellStyle name="Good 5" xfId="6385" xr:uid="{00000000-0005-0000-0000-00007E600000}"/>
    <cellStyle name="Good 5 2" xfId="6386" xr:uid="{00000000-0005-0000-0000-00007F600000}"/>
    <cellStyle name="Good 5 2 2" xfId="9959" xr:uid="{00000000-0005-0000-0000-000080600000}"/>
    <cellStyle name="Good 5 2 3" xfId="30711" xr:uid="{00000000-0005-0000-0000-000081600000}"/>
    <cellStyle name="Good 5 3" xfId="9958" xr:uid="{00000000-0005-0000-0000-000082600000}"/>
    <cellStyle name="Good 5 4" xfId="30710" xr:uid="{00000000-0005-0000-0000-000083600000}"/>
    <cellStyle name="Good 6" xfId="6387" xr:uid="{00000000-0005-0000-0000-000084600000}"/>
    <cellStyle name="Good 6 2" xfId="9960" xr:uid="{00000000-0005-0000-0000-000085600000}"/>
    <cellStyle name="Good 6 3" xfId="30712" xr:uid="{00000000-0005-0000-0000-000086600000}"/>
    <cellStyle name="Good 7" xfId="6388" xr:uid="{00000000-0005-0000-0000-000087600000}"/>
    <cellStyle name="Good 7 2" xfId="9961" xr:uid="{00000000-0005-0000-0000-000088600000}"/>
    <cellStyle name="Good 7 3" xfId="30713" xr:uid="{00000000-0005-0000-0000-000089600000}"/>
    <cellStyle name="Good 8" xfId="6389" xr:uid="{00000000-0005-0000-0000-00008A600000}"/>
    <cellStyle name="Good 8 2" xfId="9962" xr:uid="{00000000-0005-0000-0000-00008B600000}"/>
    <cellStyle name="Good 8 3" xfId="30714" xr:uid="{00000000-0005-0000-0000-00008C600000}"/>
    <cellStyle name="Good 9" xfId="6390" xr:uid="{00000000-0005-0000-0000-00008D600000}"/>
    <cellStyle name="Good 9 2" xfId="9963" xr:uid="{00000000-0005-0000-0000-00008E600000}"/>
    <cellStyle name="Good 9 3" xfId="30715" xr:uid="{00000000-0005-0000-0000-00008F600000}"/>
    <cellStyle name="Heading 1" xfId="15" builtinId="16" customBuiltin="1"/>
    <cellStyle name="Heading 1 2" xfId="6391" xr:uid="{00000000-0005-0000-0000-000091600000}"/>
    <cellStyle name="Heading 1 2 10" xfId="6392" xr:uid="{00000000-0005-0000-0000-000092600000}"/>
    <cellStyle name="Heading 1 2 10 2" xfId="6393" xr:uid="{00000000-0005-0000-0000-000093600000}"/>
    <cellStyle name="Heading 1 2 10 2 2" xfId="11412" xr:uid="{00000000-0005-0000-0000-000094600000}"/>
    <cellStyle name="Heading 1 2 10 2 3" xfId="30718" xr:uid="{00000000-0005-0000-0000-000095600000}"/>
    <cellStyle name="Heading 1 2 10 3" xfId="9966" xr:uid="{00000000-0005-0000-0000-000096600000}"/>
    <cellStyle name="Heading 1 2 10 4" xfId="30717" xr:uid="{00000000-0005-0000-0000-000097600000}"/>
    <cellStyle name="Heading 1 2 11" xfId="6394" xr:uid="{00000000-0005-0000-0000-000098600000}"/>
    <cellStyle name="Heading 1 2 11 2" xfId="6395" xr:uid="{00000000-0005-0000-0000-000099600000}"/>
    <cellStyle name="Heading 1 2 11 2 2" xfId="11413" xr:uid="{00000000-0005-0000-0000-00009A600000}"/>
    <cellStyle name="Heading 1 2 11 2 3" xfId="30720" xr:uid="{00000000-0005-0000-0000-00009B600000}"/>
    <cellStyle name="Heading 1 2 11 3" xfId="9967" xr:uid="{00000000-0005-0000-0000-00009C600000}"/>
    <cellStyle name="Heading 1 2 11 4" xfId="30719" xr:uid="{00000000-0005-0000-0000-00009D600000}"/>
    <cellStyle name="Heading 1 2 12" xfId="6396" xr:uid="{00000000-0005-0000-0000-00009E600000}"/>
    <cellStyle name="Heading 1 2 12 2" xfId="6397" xr:uid="{00000000-0005-0000-0000-00009F600000}"/>
    <cellStyle name="Heading 1 2 12 2 2" xfId="11414" xr:uid="{00000000-0005-0000-0000-0000A0600000}"/>
    <cellStyle name="Heading 1 2 12 2 3" xfId="30722" xr:uid="{00000000-0005-0000-0000-0000A1600000}"/>
    <cellStyle name="Heading 1 2 12 3" xfId="9968" xr:uid="{00000000-0005-0000-0000-0000A2600000}"/>
    <cellStyle name="Heading 1 2 12 4" xfId="30721" xr:uid="{00000000-0005-0000-0000-0000A3600000}"/>
    <cellStyle name="Heading 1 2 13" xfId="6398" xr:uid="{00000000-0005-0000-0000-0000A4600000}"/>
    <cellStyle name="Heading 1 2 13 2" xfId="6399" xr:uid="{00000000-0005-0000-0000-0000A5600000}"/>
    <cellStyle name="Heading 1 2 13 2 2" xfId="15668" xr:uid="{00000000-0005-0000-0000-0000A6600000}"/>
    <cellStyle name="Heading 1 2 13 2 3" xfId="30724" xr:uid="{00000000-0005-0000-0000-0000A7600000}"/>
    <cellStyle name="Heading 1 2 13 3" xfId="9969" xr:uid="{00000000-0005-0000-0000-0000A8600000}"/>
    <cellStyle name="Heading 1 2 13 4" xfId="30723" xr:uid="{00000000-0005-0000-0000-0000A9600000}"/>
    <cellStyle name="Heading 1 2 14" xfId="6400" xr:uid="{00000000-0005-0000-0000-0000AA600000}"/>
    <cellStyle name="Heading 1 2 14 2" xfId="6401" xr:uid="{00000000-0005-0000-0000-0000AB600000}"/>
    <cellStyle name="Heading 1 2 14 2 2" xfId="15669" xr:uid="{00000000-0005-0000-0000-0000AC600000}"/>
    <cellStyle name="Heading 1 2 14 2 3" xfId="30726" xr:uid="{00000000-0005-0000-0000-0000AD600000}"/>
    <cellStyle name="Heading 1 2 14 3" xfId="10490" xr:uid="{00000000-0005-0000-0000-0000AE600000}"/>
    <cellStyle name="Heading 1 2 14 4" xfId="30725" xr:uid="{00000000-0005-0000-0000-0000AF600000}"/>
    <cellStyle name="Heading 1 2 15" xfId="6402" xr:uid="{00000000-0005-0000-0000-0000B0600000}"/>
    <cellStyle name="Heading 1 2 15 2" xfId="11411" xr:uid="{00000000-0005-0000-0000-0000B1600000}"/>
    <cellStyle name="Heading 1 2 15 3" xfId="30727" xr:uid="{00000000-0005-0000-0000-0000B2600000}"/>
    <cellStyle name="Heading 1 2 16" xfId="8664" xr:uid="{00000000-0005-0000-0000-0000B3600000}"/>
    <cellStyle name="Heading 1 2 16 2" xfId="9965" xr:uid="{00000000-0005-0000-0000-0000B4600000}"/>
    <cellStyle name="Heading 1 2 17" xfId="17303" xr:uid="{00000000-0005-0000-0000-0000B5600000}"/>
    <cellStyle name="Heading 1 2 18" xfId="30716" xr:uid="{00000000-0005-0000-0000-0000B6600000}"/>
    <cellStyle name="Heading 1 2 19" xfId="33045" xr:uid="{00000000-0005-0000-0000-0000B7600000}"/>
    <cellStyle name="Heading 1 2 2" xfId="6403" xr:uid="{00000000-0005-0000-0000-0000B8600000}"/>
    <cellStyle name="Heading 1 2 2 2" xfId="6404" xr:uid="{00000000-0005-0000-0000-0000B9600000}"/>
    <cellStyle name="Heading 1 2 2 2 2" xfId="6405" xr:uid="{00000000-0005-0000-0000-0000BA600000}"/>
    <cellStyle name="Heading 1 2 2 2 2 2" xfId="11415" xr:uid="{00000000-0005-0000-0000-0000BB600000}"/>
    <cellStyle name="Heading 1 2 2 2 2 3" xfId="30730" xr:uid="{00000000-0005-0000-0000-0000BC600000}"/>
    <cellStyle name="Heading 1 2 2 2 3" xfId="9971" xr:uid="{00000000-0005-0000-0000-0000BD600000}"/>
    <cellStyle name="Heading 1 2 2 2 4" xfId="30729" xr:uid="{00000000-0005-0000-0000-0000BE600000}"/>
    <cellStyle name="Heading 1 2 2 3" xfId="6406" xr:uid="{00000000-0005-0000-0000-0000BF600000}"/>
    <cellStyle name="Heading 1 2 2 3 2" xfId="6407" xr:uid="{00000000-0005-0000-0000-0000C0600000}"/>
    <cellStyle name="Heading 1 2 2 3 2 2" xfId="15670" xr:uid="{00000000-0005-0000-0000-0000C1600000}"/>
    <cellStyle name="Heading 1 2 2 3 2 3" xfId="30732" xr:uid="{00000000-0005-0000-0000-0000C2600000}"/>
    <cellStyle name="Heading 1 2 2 3 3" xfId="11664" xr:uid="{00000000-0005-0000-0000-0000C3600000}"/>
    <cellStyle name="Heading 1 2 2 3 4" xfId="30731" xr:uid="{00000000-0005-0000-0000-0000C4600000}"/>
    <cellStyle name="Heading 1 2 2 4" xfId="6408" xr:uid="{00000000-0005-0000-0000-0000C5600000}"/>
    <cellStyle name="Heading 1 2 2 4 2" xfId="12089" xr:uid="{00000000-0005-0000-0000-0000C6600000}"/>
    <cellStyle name="Heading 1 2 2 4 3" xfId="30733" xr:uid="{00000000-0005-0000-0000-0000C7600000}"/>
    <cellStyle name="Heading 1 2 2 5" xfId="6409" xr:uid="{00000000-0005-0000-0000-0000C8600000}"/>
    <cellStyle name="Heading 1 2 2 5 2" xfId="9970" xr:uid="{00000000-0005-0000-0000-0000C9600000}"/>
    <cellStyle name="Heading 1 2 2 5 3" xfId="30734" xr:uid="{00000000-0005-0000-0000-0000CA600000}"/>
    <cellStyle name="Heading 1 2 2 6" xfId="8693" xr:uid="{00000000-0005-0000-0000-0000CB600000}"/>
    <cellStyle name="Heading 1 2 2 7" xfId="30728" xr:uid="{00000000-0005-0000-0000-0000CC600000}"/>
    <cellStyle name="Heading 1 2 3" xfId="6410" xr:uid="{00000000-0005-0000-0000-0000CD600000}"/>
    <cellStyle name="Heading 1 2 3 2" xfId="6411" xr:uid="{00000000-0005-0000-0000-0000CE600000}"/>
    <cellStyle name="Heading 1 2 3 2 2" xfId="9973" xr:uid="{00000000-0005-0000-0000-0000CF600000}"/>
    <cellStyle name="Heading 1 2 3 2 3" xfId="30736" xr:uid="{00000000-0005-0000-0000-0000D0600000}"/>
    <cellStyle name="Heading 1 2 3 3" xfId="6412" xr:uid="{00000000-0005-0000-0000-0000D1600000}"/>
    <cellStyle name="Heading 1 2 3 3 2" xfId="11416" xr:uid="{00000000-0005-0000-0000-0000D2600000}"/>
    <cellStyle name="Heading 1 2 3 3 3" xfId="30737" xr:uid="{00000000-0005-0000-0000-0000D3600000}"/>
    <cellStyle name="Heading 1 2 3 4" xfId="6413" xr:uid="{00000000-0005-0000-0000-0000D4600000}"/>
    <cellStyle name="Heading 1 2 3 4 2" xfId="17340" xr:uid="{00000000-0005-0000-0000-0000D5600000}"/>
    <cellStyle name="Heading 1 2 3 4 3" xfId="30738" xr:uid="{00000000-0005-0000-0000-0000D6600000}"/>
    <cellStyle name="Heading 1 2 3 5" xfId="8725" xr:uid="{00000000-0005-0000-0000-0000D7600000}"/>
    <cellStyle name="Heading 1 2 3 6" xfId="9972" xr:uid="{00000000-0005-0000-0000-0000D8600000}"/>
    <cellStyle name="Heading 1 2 3 7" xfId="30735" xr:uid="{00000000-0005-0000-0000-0000D9600000}"/>
    <cellStyle name="Heading 1 2 4" xfId="6414" xr:uid="{00000000-0005-0000-0000-0000DA600000}"/>
    <cellStyle name="Heading 1 2 4 2" xfId="6415" xr:uid="{00000000-0005-0000-0000-0000DB600000}"/>
    <cellStyle name="Heading 1 2 4 2 2" xfId="9975" xr:uid="{00000000-0005-0000-0000-0000DC600000}"/>
    <cellStyle name="Heading 1 2 4 2 3" xfId="30740" xr:uid="{00000000-0005-0000-0000-0000DD600000}"/>
    <cellStyle name="Heading 1 2 4 3" xfId="6416" xr:uid="{00000000-0005-0000-0000-0000DE600000}"/>
    <cellStyle name="Heading 1 2 4 3 2" xfId="13213" xr:uid="{00000000-0005-0000-0000-0000DF600000}"/>
    <cellStyle name="Heading 1 2 4 3 3" xfId="30741" xr:uid="{00000000-0005-0000-0000-0000E0600000}"/>
    <cellStyle name="Heading 1 2 4 4" xfId="6417" xr:uid="{00000000-0005-0000-0000-0000E1600000}"/>
    <cellStyle name="Heading 1 2 4 4 2" xfId="13212" xr:uid="{00000000-0005-0000-0000-0000E2600000}"/>
    <cellStyle name="Heading 1 2 4 4 3" xfId="30742" xr:uid="{00000000-0005-0000-0000-0000E3600000}"/>
    <cellStyle name="Heading 1 2 4 5" xfId="9974" xr:uid="{00000000-0005-0000-0000-0000E4600000}"/>
    <cellStyle name="Heading 1 2 4 6" xfId="30739" xr:uid="{00000000-0005-0000-0000-0000E5600000}"/>
    <cellStyle name="Heading 1 2 5" xfId="6418" xr:uid="{00000000-0005-0000-0000-0000E6600000}"/>
    <cellStyle name="Heading 1 2 5 2" xfId="6419" xr:uid="{00000000-0005-0000-0000-0000E7600000}"/>
    <cellStyle name="Heading 1 2 5 2 2" xfId="13215" xr:uid="{00000000-0005-0000-0000-0000E8600000}"/>
    <cellStyle name="Heading 1 2 5 2 3" xfId="30744" xr:uid="{00000000-0005-0000-0000-0000E9600000}"/>
    <cellStyle name="Heading 1 2 5 3" xfId="6420" xr:uid="{00000000-0005-0000-0000-0000EA600000}"/>
    <cellStyle name="Heading 1 2 5 3 2" xfId="13214" xr:uid="{00000000-0005-0000-0000-0000EB600000}"/>
    <cellStyle name="Heading 1 2 5 3 3" xfId="30745" xr:uid="{00000000-0005-0000-0000-0000EC600000}"/>
    <cellStyle name="Heading 1 2 5 4" xfId="6421" xr:uid="{00000000-0005-0000-0000-0000ED600000}"/>
    <cellStyle name="Heading 1 2 5 4 2" xfId="15671" xr:uid="{00000000-0005-0000-0000-0000EE600000}"/>
    <cellStyle name="Heading 1 2 5 4 3" xfId="30746" xr:uid="{00000000-0005-0000-0000-0000EF600000}"/>
    <cellStyle name="Heading 1 2 5 5" xfId="9976" xr:uid="{00000000-0005-0000-0000-0000F0600000}"/>
    <cellStyle name="Heading 1 2 5 6" xfId="30743" xr:uid="{00000000-0005-0000-0000-0000F1600000}"/>
    <cellStyle name="Heading 1 2 6" xfId="6422" xr:uid="{00000000-0005-0000-0000-0000F2600000}"/>
    <cellStyle name="Heading 1 2 6 2" xfId="6423" xr:uid="{00000000-0005-0000-0000-0000F3600000}"/>
    <cellStyle name="Heading 1 2 6 2 2" xfId="6424" xr:uid="{00000000-0005-0000-0000-0000F4600000}"/>
    <cellStyle name="Heading 1 2 6 2 2 2" xfId="11418" xr:uid="{00000000-0005-0000-0000-0000F5600000}"/>
    <cellStyle name="Heading 1 2 6 2 2 3" xfId="30749" xr:uid="{00000000-0005-0000-0000-0000F6600000}"/>
    <cellStyle name="Heading 1 2 6 2 3" xfId="9978" xr:uid="{00000000-0005-0000-0000-0000F7600000}"/>
    <cellStyle name="Heading 1 2 6 2 4" xfId="30748" xr:uid="{00000000-0005-0000-0000-0000F8600000}"/>
    <cellStyle name="Heading 1 2 6 3" xfId="6425" xr:uid="{00000000-0005-0000-0000-0000F9600000}"/>
    <cellStyle name="Heading 1 2 6 3 2" xfId="11417" xr:uid="{00000000-0005-0000-0000-0000FA600000}"/>
    <cellStyle name="Heading 1 2 6 3 3" xfId="30750" xr:uid="{00000000-0005-0000-0000-0000FB600000}"/>
    <cellStyle name="Heading 1 2 6 4" xfId="9977" xr:uid="{00000000-0005-0000-0000-0000FC600000}"/>
    <cellStyle name="Heading 1 2 6 5" xfId="30747" xr:uid="{00000000-0005-0000-0000-0000FD600000}"/>
    <cellStyle name="Heading 1 2 7" xfId="6426" xr:uid="{00000000-0005-0000-0000-0000FE600000}"/>
    <cellStyle name="Heading 1 2 7 2" xfId="6427" xr:uid="{00000000-0005-0000-0000-0000FF600000}"/>
    <cellStyle name="Heading 1 2 7 2 2" xfId="6428" xr:uid="{00000000-0005-0000-0000-000000610000}"/>
    <cellStyle name="Heading 1 2 7 2 2 2" xfId="11420" xr:uid="{00000000-0005-0000-0000-000001610000}"/>
    <cellStyle name="Heading 1 2 7 2 2 3" xfId="30753" xr:uid="{00000000-0005-0000-0000-000002610000}"/>
    <cellStyle name="Heading 1 2 7 2 3" xfId="9980" xr:uid="{00000000-0005-0000-0000-000003610000}"/>
    <cellStyle name="Heading 1 2 7 2 4" xfId="30752" xr:uid="{00000000-0005-0000-0000-000004610000}"/>
    <cellStyle name="Heading 1 2 7 3" xfId="6429" xr:uid="{00000000-0005-0000-0000-000005610000}"/>
    <cellStyle name="Heading 1 2 7 3 2" xfId="11419" xr:uid="{00000000-0005-0000-0000-000006610000}"/>
    <cellStyle name="Heading 1 2 7 3 3" xfId="30754" xr:uid="{00000000-0005-0000-0000-000007610000}"/>
    <cellStyle name="Heading 1 2 7 4" xfId="9979" xr:uid="{00000000-0005-0000-0000-000008610000}"/>
    <cellStyle name="Heading 1 2 7 5" xfId="30751" xr:uid="{00000000-0005-0000-0000-000009610000}"/>
    <cellStyle name="Heading 1 2 8" xfId="6430" xr:uid="{00000000-0005-0000-0000-00000A610000}"/>
    <cellStyle name="Heading 1 2 8 2" xfId="6431" xr:uid="{00000000-0005-0000-0000-00000B610000}"/>
    <cellStyle name="Heading 1 2 8 2 2" xfId="11421" xr:uid="{00000000-0005-0000-0000-00000C610000}"/>
    <cellStyle name="Heading 1 2 8 2 3" xfId="30756" xr:uid="{00000000-0005-0000-0000-00000D610000}"/>
    <cellStyle name="Heading 1 2 8 3" xfId="9981" xr:uid="{00000000-0005-0000-0000-00000E610000}"/>
    <cellStyle name="Heading 1 2 8 4" xfId="30755" xr:uid="{00000000-0005-0000-0000-00000F610000}"/>
    <cellStyle name="Heading 1 2 9" xfId="6432" xr:uid="{00000000-0005-0000-0000-000010610000}"/>
    <cellStyle name="Heading 1 2 9 2" xfId="6433" xr:uid="{00000000-0005-0000-0000-000011610000}"/>
    <cellStyle name="Heading 1 2 9 2 2" xfId="11422" xr:uid="{00000000-0005-0000-0000-000012610000}"/>
    <cellStyle name="Heading 1 2 9 2 3" xfId="30758" xr:uid="{00000000-0005-0000-0000-000013610000}"/>
    <cellStyle name="Heading 1 2 9 3" xfId="9982" xr:uid="{00000000-0005-0000-0000-000014610000}"/>
    <cellStyle name="Heading 1 2 9 4" xfId="30757" xr:uid="{00000000-0005-0000-0000-000015610000}"/>
    <cellStyle name="Heading 1 3" xfId="6434" xr:uid="{00000000-0005-0000-0000-000016610000}"/>
    <cellStyle name="Heading 1 3 2" xfId="8672" xr:uid="{00000000-0005-0000-0000-000017610000}"/>
    <cellStyle name="Heading 1 3 3" xfId="30759" xr:uid="{00000000-0005-0000-0000-000018610000}"/>
    <cellStyle name="Heading 1 3 4" xfId="33090" xr:uid="{00000000-0005-0000-0000-000019610000}"/>
    <cellStyle name="Heading 1 4" xfId="6435" xr:uid="{00000000-0005-0000-0000-00001A610000}"/>
    <cellStyle name="Heading 1 4 2" xfId="9983" xr:uid="{00000000-0005-0000-0000-00001B610000}"/>
    <cellStyle name="Heading 1 4 3" xfId="30760" xr:uid="{00000000-0005-0000-0000-00001C610000}"/>
    <cellStyle name="Heading 1 5" xfId="6436" xr:uid="{00000000-0005-0000-0000-00001D610000}"/>
    <cellStyle name="Heading 1 5 2" xfId="9984" xr:uid="{00000000-0005-0000-0000-00001E610000}"/>
    <cellStyle name="Heading 1 5 3" xfId="30761" xr:uid="{00000000-0005-0000-0000-00001F610000}"/>
    <cellStyle name="Heading 1 6" xfId="6437" xr:uid="{00000000-0005-0000-0000-000020610000}"/>
    <cellStyle name="Heading 1 6 2" xfId="9985" xr:uid="{00000000-0005-0000-0000-000021610000}"/>
    <cellStyle name="Heading 1 6 3" xfId="30762" xr:uid="{00000000-0005-0000-0000-000022610000}"/>
    <cellStyle name="Heading 1 7" xfId="6438" xr:uid="{00000000-0005-0000-0000-000023610000}"/>
    <cellStyle name="Heading 1 7 2" xfId="9986" xr:uid="{00000000-0005-0000-0000-000024610000}"/>
    <cellStyle name="Heading 1 7 3" xfId="30763" xr:uid="{00000000-0005-0000-0000-000025610000}"/>
    <cellStyle name="Heading 1 8" xfId="9964" xr:uid="{00000000-0005-0000-0000-000026610000}"/>
    <cellStyle name="Heading 2" xfId="16" builtinId="17" customBuiltin="1"/>
    <cellStyle name="Heading 2 2" xfId="6439" xr:uid="{00000000-0005-0000-0000-000028610000}"/>
    <cellStyle name="Heading 2 2 10" xfId="6440" xr:uid="{00000000-0005-0000-0000-000029610000}"/>
    <cellStyle name="Heading 2 2 10 2" xfId="6441" xr:uid="{00000000-0005-0000-0000-00002A610000}"/>
    <cellStyle name="Heading 2 2 10 2 2" xfId="11424" xr:uid="{00000000-0005-0000-0000-00002B610000}"/>
    <cellStyle name="Heading 2 2 10 2 3" xfId="30766" xr:uid="{00000000-0005-0000-0000-00002C610000}"/>
    <cellStyle name="Heading 2 2 10 3" xfId="9989" xr:uid="{00000000-0005-0000-0000-00002D610000}"/>
    <cellStyle name="Heading 2 2 10 4" xfId="30765" xr:uid="{00000000-0005-0000-0000-00002E610000}"/>
    <cellStyle name="Heading 2 2 11" xfId="6442" xr:uid="{00000000-0005-0000-0000-00002F610000}"/>
    <cellStyle name="Heading 2 2 11 2" xfId="6443" xr:uid="{00000000-0005-0000-0000-000030610000}"/>
    <cellStyle name="Heading 2 2 11 2 2" xfId="11425" xr:uid="{00000000-0005-0000-0000-000031610000}"/>
    <cellStyle name="Heading 2 2 11 2 3" xfId="30768" xr:uid="{00000000-0005-0000-0000-000032610000}"/>
    <cellStyle name="Heading 2 2 11 3" xfId="9990" xr:uid="{00000000-0005-0000-0000-000033610000}"/>
    <cellStyle name="Heading 2 2 11 4" xfId="30767" xr:uid="{00000000-0005-0000-0000-000034610000}"/>
    <cellStyle name="Heading 2 2 12" xfId="6444" xr:uid="{00000000-0005-0000-0000-000035610000}"/>
    <cellStyle name="Heading 2 2 12 2" xfId="6445" xr:uid="{00000000-0005-0000-0000-000036610000}"/>
    <cellStyle name="Heading 2 2 12 2 2" xfId="11426" xr:uid="{00000000-0005-0000-0000-000037610000}"/>
    <cellStyle name="Heading 2 2 12 2 3" xfId="30770" xr:uid="{00000000-0005-0000-0000-000038610000}"/>
    <cellStyle name="Heading 2 2 12 3" xfId="9991" xr:uid="{00000000-0005-0000-0000-000039610000}"/>
    <cellStyle name="Heading 2 2 12 4" xfId="30769" xr:uid="{00000000-0005-0000-0000-00003A610000}"/>
    <cellStyle name="Heading 2 2 13" xfId="6446" xr:uid="{00000000-0005-0000-0000-00003B610000}"/>
    <cellStyle name="Heading 2 2 13 2" xfId="6447" xr:uid="{00000000-0005-0000-0000-00003C610000}"/>
    <cellStyle name="Heading 2 2 13 2 2" xfId="15672" xr:uid="{00000000-0005-0000-0000-00003D610000}"/>
    <cellStyle name="Heading 2 2 13 2 3" xfId="30772" xr:uid="{00000000-0005-0000-0000-00003E610000}"/>
    <cellStyle name="Heading 2 2 13 3" xfId="9992" xr:uid="{00000000-0005-0000-0000-00003F610000}"/>
    <cellStyle name="Heading 2 2 13 4" xfId="30771" xr:uid="{00000000-0005-0000-0000-000040610000}"/>
    <cellStyle name="Heading 2 2 14" xfId="6448" xr:uid="{00000000-0005-0000-0000-000041610000}"/>
    <cellStyle name="Heading 2 2 14 2" xfId="6449" xr:uid="{00000000-0005-0000-0000-000042610000}"/>
    <cellStyle name="Heading 2 2 14 2 2" xfId="15673" xr:uid="{00000000-0005-0000-0000-000043610000}"/>
    <cellStyle name="Heading 2 2 14 2 3" xfId="30774" xr:uid="{00000000-0005-0000-0000-000044610000}"/>
    <cellStyle name="Heading 2 2 14 3" xfId="10491" xr:uid="{00000000-0005-0000-0000-000045610000}"/>
    <cellStyle name="Heading 2 2 14 4" xfId="30773" xr:uid="{00000000-0005-0000-0000-000046610000}"/>
    <cellStyle name="Heading 2 2 15" xfId="6450" xr:uid="{00000000-0005-0000-0000-000047610000}"/>
    <cellStyle name="Heading 2 2 15 2" xfId="11423" xr:uid="{00000000-0005-0000-0000-000048610000}"/>
    <cellStyle name="Heading 2 2 15 3" xfId="30775" xr:uid="{00000000-0005-0000-0000-000049610000}"/>
    <cellStyle name="Heading 2 2 16" xfId="8665" xr:uid="{00000000-0005-0000-0000-00004A610000}"/>
    <cellStyle name="Heading 2 2 16 2" xfId="9988" xr:uid="{00000000-0005-0000-0000-00004B610000}"/>
    <cellStyle name="Heading 2 2 17" xfId="17304" xr:uid="{00000000-0005-0000-0000-00004C610000}"/>
    <cellStyle name="Heading 2 2 18" xfId="30764" xr:uid="{00000000-0005-0000-0000-00004D610000}"/>
    <cellStyle name="Heading 2 2 19" xfId="33046" xr:uid="{00000000-0005-0000-0000-00004E610000}"/>
    <cellStyle name="Heading 2 2 2" xfId="6451" xr:uid="{00000000-0005-0000-0000-00004F610000}"/>
    <cellStyle name="Heading 2 2 2 2" xfId="6452" xr:uid="{00000000-0005-0000-0000-000050610000}"/>
    <cellStyle name="Heading 2 2 2 2 2" xfId="6453" xr:uid="{00000000-0005-0000-0000-000051610000}"/>
    <cellStyle name="Heading 2 2 2 2 2 2" xfId="11427" xr:uid="{00000000-0005-0000-0000-000052610000}"/>
    <cellStyle name="Heading 2 2 2 2 2 3" xfId="30778" xr:uid="{00000000-0005-0000-0000-000053610000}"/>
    <cellStyle name="Heading 2 2 2 2 3" xfId="9994" xr:uid="{00000000-0005-0000-0000-000054610000}"/>
    <cellStyle name="Heading 2 2 2 2 4" xfId="30777" xr:uid="{00000000-0005-0000-0000-000055610000}"/>
    <cellStyle name="Heading 2 2 2 3" xfId="6454" xr:uid="{00000000-0005-0000-0000-000056610000}"/>
    <cellStyle name="Heading 2 2 2 3 2" xfId="6455" xr:uid="{00000000-0005-0000-0000-000057610000}"/>
    <cellStyle name="Heading 2 2 2 3 2 2" xfId="15674" xr:uid="{00000000-0005-0000-0000-000058610000}"/>
    <cellStyle name="Heading 2 2 2 3 2 3" xfId="30780" xr:uid="{00000000-0005-0000-0000-000059610000}"/>
    <cellStyle name="Heading 2 2 2 3 3" xfId="11727" xr:uid="{00000000-0005-0000-0000-00005A610000}"/>
    <cellStyle name="Heading 2 2 2 3 4" xfId="30779" xr:uid="{00000000-0005-0000-0000-00005B610000}"/>
    <cellStyle name="Heading 2 2 2 4" xfId="6456" xr:uid="{00000000-0005-0000-0000-00005C610000}"/>
    <cellStyle name="Heading 2 2 2 4 2" xfId="12103" xr:uid="{00000000-0005-0000-0000-00005D610000}"/>
    <cellStyle name="Heading 2 2 2 4 3" xfId="30781" xr:uid="{00000000-0005-0000-0000-00005E610000}"/>
    <cellStyle name="Heading 2 2 2 5" xfId="6457" xr:uid="{00000000-0005-0000-0000-00005F610000}"/>
    <cellStyle name="Heading 2 2 2 5 2" xfId="9993" xr:uid="{00000000-0005-0000-0000-000060610000}"/>
    <cellStyle name="Heading 2 2 2 5 3" xfId="30782" xr:uid="{00000000-0005-0000-0000-000061610000}"/>
    <cellStyle name="Heading 2 2 2 6" xfId="8694" xr:uid="{00000000-0005-0000-0000-000062610000}"/>
    <cellStyle name="Heading 2 2 2 7" xfId="30776" xr:uid="{00000000-0005-0000-0000-000063610000}"/>
    <cellStyle name="Heading 2 2 3" xfId="6458" xr:uid="{00000000-0005-0000-0000-000064610000}"/>
    <cellStyle name="Heading 2 2 3 2" xfId="6459" xr:uid="{00000000-0005-0000-0000-000065610000}"/>
    <cellStyle name="Heading 2 2 3 2 2" xfId="9996" xr:uid="{00000000-0005-0000-0000-000066610000}"/>
    <cellStyle name="Heading 2 2 3 2 3" xfId="30784" xr:uid="{00000000-0005-0000-0000-000067610000}"/>
    <cellStyle name="Heading 2 2 3 3" xfId="6460" xr:uid="{00000000-0005-0000-0000-000068610000}"/>
    <cellStyle name="Heading 2 2 3 3 2" xfId="11428" xr:uid="{00000000-0005-0000-0000-000069610000}"/>
    <cellStyle name="Heading 2 2 3 3 3" xfId="30785" xr:uid="{00000000-0005-0000-0000-00006A610000}"/>
    <cellStyle name="Heading 2 2 3 4" xfId="6461" xr:uid="{00000000-0005-0000-0000-00006B610000}"/>
    <cellStyle name="Heading 2 2 3 4 2" xfId="17341" xr:uid="{00000000-0005-0000-0000-00006C610000}"/>
    <cellStyle name="Heading 2 2 3 4 3" xfId="30786" xr:uid="{00000000-0005-0000-0000-00006D610000}"/>
    <cellStyle name="Heading 2 2 3 5" xfId="8729" xr:uid="{00000000-0005-0000-0000-00006E610000}"/>
    <cellStyle name="Heading 2 2 3 6" xfId="9995" xr:uid="{00000000-0005-0000-0000-00006F610000}"/>
    <cellStyle name="Heading 2 2 3 7" xfId="30783" xr:uid="{00000000-0005-0000-0000-000070610000}"/>
    <cellStyle name="Heading 2 2 4" xfId="6462" xr:uid="{00000000-0005-0000-0000-000071610000}"/>
    <cellStyle name="Heading 2 2 4 2" xfId="6463" xr:uid="{00000000-0005-0000-0000-000072610000}"/>
    <cellStyle name="Heading 2 2 4 2 2" xfId="9998" xr:uid="{00000000-0005-0000-0000-000073610000}"/>
    <cellStyle name="Heading 2 2 4 2 3" xfId="30788" xr:uid="{00000000-0005-0000-0000-000074610000}"/>
    <cellStyle name="Heading 2 2 4 3" xfId="6464" xr:uid="{00000000-0005-0000-0000-000075610000}"/>
    <cellStyle name="Heading 2 2 4 3 2" xfId="13217" xr:uid="{00000000-0005-0000-0000-000076610000}"/>
    <cellStyle name="Heading 2 2 4 3 3" xfId="30789" xr:uid="{00000000-0005-0000-0000-000077610000}"/>
    <cellStyle name="Heading 2 2 4 4" xfId="6465" xr:uid="{00000000-0005-0000-0000-000078610000}"/>
    <cellStyle name="Heading 2 2 4 4 2" xfId="13216" xr:uid="{00000000-0005-0000-0000-000079610000}"/>
    <cellStyle name="Heading 2 2 4 4 3" xfId="30790" xr:uid="{00000000-0005-0000-0000-00007A610000}"/>
    <cellStyle name="Heading 2 2 4 5" xfId="9997" xr:uid="{00000000-0005-0000-0000-00007B610000}"/>
    <cellStyle name="Heading 2 2 4 6" xfId="30787" xr:uid="{00000000-0005-0000-0000-00007C610000}"/>
    <cellStyle name="Heading 2 2 5" xfId="6466" xr:uid="{00000000-0005-0000-0000-00007D610000}"/>
    <cellStyle name="Heading 2 2 5 2" xfId="6467" xr:uid="{00000000-0005-0000-0000-00007E610000}"/>
    <cellStyle name="Heading 2 2 5 2 2" xfId="13219" xr:uid="{00000000-0005-0000-0000-00007F610000}"/>
    <cellStyle name="Heading 2 2 5 2 3" xfId="30792" xr:uid="{00000000-0005-0000-0000-000080610000}"/>
    <cellStyle name="Heading 2 2 5 3" xfId="6468" xr:uid="{00000000-0005-0000-0000-000081610000}"/>
    <cellStyle name="Heading 2 2 5 3 2" xfId="13218" xr:uid="{00000000-0005-0000-0000-000082610000}"/>
    <cellStyle name="Heading 2 2 5 3 3" xfId="30793" xr:uid="{00000000-0005-0000-0000-000083610000}"/>
    <cellStyle name="Heading 2 2 5 4" xfId="6469" xr:uid="{00000000-0005-0000-0000-000084610000}"/>
    <cellStyle name="Heading 2 2 5 4 2" xfId="15675" xr:uid="{00000000-0005-0000-0000-000085610000}"/>
    <cellStyle name="Heading 2 2 5 4 3" xfId="30794" xr:uid="{00000000-0005-0000-0000-000086610000}"/>
    <cellStyle name="Heading 2 2 5 5" xfId="9999" xr:uid="{00000000-0005-0000-0000-000087610000}"/>
    <cellStyle name="Heading 2 2 5 6" xfId="30791" xr:uid="{00000000-0005-0000-0000-000088610000}"/>
    <cellStyle name="Heading 2 2 6" xfId="6470" xr:uid="{00000000-0005-0000-0000-000089610000}"/>
    <cellStyle name="Heading 2 2 6 2" xfId="6471" xr:uid="{00000000-0005-0000-0000-00008A610000}"/>
    <cellStyle name="Heading 2 2 6 2 2" xfId="6472" xr:uid="{00000000-0005-0000-0000-00008B610000}"/>
    <cellStyle name="Heading 2 2 6 2 2 2" xfId="11430" xr:uid="{00000000-0005-0000-0000-00008C610000}"/>
    <cellStyle name="Heading 2 2 6 2 2 3" xfId="30797" xr:uid="{00000000-0005-0000-0000-00008D610000}"/>
    <cellStyle name="Heading 2 2 6 2 3" xfId="10001" xr:uid="{00000000-0005-0000-0000-00008E610000}"/>
    <cellStyle name="Heading 2 2 6 2 4" xfId="30796" xr:uid="{00000000-0005-0000-0000-00008F610000}"/>
    <cellStyle name="Heading 2 2 6 3" xfId="6473" xr:uid="{00000000-0005-0000-0000-000090610000}"/>
    <cellStyle name="Heading 2 2 6 3 2" xfId="11429" xr:uid="{00000000-0005-0000-0000-000091610000}"/>
    <cellStyle name="Heading 2 2 6 3 3" xfId="30798" xr:uid="{00000000-0005-0000-0000-000092610000}"/>
    <cellStyle name="Heading 2 2 6 4" xfId="10000" xr:uid="{00000000-0005-0000-0000-000093610000}"/>
    <cellStyle name="Heading 2 2 6 5" xfId="30795" xr:uid="{00000000-0005-0000-0000-000094610000}"/>
    <cellStyle name="Heading 2 2 7" xfId="6474" xr:uid="{00000000-0005-0000-0000-000095610000}"/>
    <cellStyle name="Heading 2 2 7 2" xfId="6475" xr:uid="{00000000-0005-0000-0000-000096610000}"/>
    <cellStyle name="Heading 2 2 7 2 2" xfId="6476" xr:uid="{00000000-0005-0000-0000-000097610000}"/>
    <cellStyle name="Heading 2 2 7 2 2 2" xfId="11432" xr:uid="{00000000-0005-0000-0000-000098610000}"/>
    <cellStyle name="Heading 2 2 7 2 2 3" xfId="30801" xr:uid="{00000000-0005-0000-0000-000099610000}"/>
    <cellStyle name="Heading 2 2 7 2 3" xfId="10003" xr:uid="{00000000-0005-0000-0000-00009A610000}"/>
    <cellStyle name="Heading 2 2 7 2 4" xfId="30800" xr:uid="{00000000-0005-0000-0000-00009B610000}"/>
    <cellStyle name="Heading 2 2 7 3" xfId="6477" xr:uid="{00000000-0005-0000-0000-00009C610000}"/>
    <cellStyle name="Heading 2 2 7 3 2" xfId="11431" xr:uid="{00000000-0005-0000-0000-00009D610000}"/>
    <cellStyle name="Heading 2 2 7 3 3" xfId="30802" xr:uid="{00000000-0005-0000-0000-00009E610000}"/>
    <cellStyle name="Heading 2 2 7 4" xfId="10002" xr:uid="{00000000-0005-0000-0000-00009F610000}"/>
    <cellStyle name="Heading 2 2 7 5" xfId="30799" xr:uid="{00000000-0005-0000-0000-0000A0610000}"/>
    <cellStyle name="Heading 2 2 8" xfId="6478" xr:uid="{00000000-0005-0000-0000-0000A1610000}"/>
    <cellStyle name="Heading 2 2 8 2" xfId="6479" xr:uid="{00000000-0005-0000-0000-0000A2610000}"/>
    <cellStyle name="Heading 2 2 8 2 2" xfId="11433" xr:uid="{00000000-0005-0000-0000-0000A3610000}"/>
    <cellStyle name="Heading 2 2 8 2 3" xfId="30804" xr:uid="{00000000-0005-0000-0000-0000A4610000}"/>
    <cellStyle name="Heading 2 2 8 3" xfId="10004" xr:uid="{00000000-0005-0000-0000-0000A5610000}"/>
    <cellStyle name="Heading 2 2 8 4" xfId="30803" xr:uid="{00000000-0005-0000-0000-0000A6610000}"/>
    <cellStyle name="Heading 2 2 9" xfId="6480" xr:uid="{00000000-0005-0000-0000-0000A7610000}"/>
    <cellStyle name="Heading 2 2 9 2" xfId="6481" xr:uid="{00000000-0005-0000-0000-0000A8610000}"/>
    <cellStyle name="Heading 2 2 9 2 2" xfId="11434" xr:uid="{00000000-0005-0000-0000-0000A9610000}"/>
    <cellStyle name="Heading 2 2 9 2 3" xfId="30806" xr:uid="{00000000-0005-0000-0000-0000AA610000}"/>
    <cellStyle name="Heading 2 2 9 3" xfId="10005" xr:uid="{00000000-0005-0000-0000-0000AB610000}"/>
    <cellStyle name="Heading 2 2 9 4" xfId="30805" xr:uid="{00000000-0005-0000-0000-0000AC610000}"/>
    <cellStyle name="Heading 2 3" xfId="6482" xr:uid="{00000000-0005-0000-0000-0000AD610000}"/>
    <cellStyle name="Heading 2 3 2" xfId="8673" xr:uid="{00000000-0005-0000-0000-0000AE610000}"/>
    <cellStyle name="Heading 2 3 3" xfId="30807" xr:uid="{00000000-0005-0000-0000-0000AF610000}"/>
    <cellStyle name="Heading 2 3 4" xfId="33091" xr:uid="{00000000-0005-0000-0000-0000B0610000}"/>
    <cellStyle name="Heading 2 4" xfId="6483" xr:uid="{00000000-0005-0000-0000-0000B1610000}"/>
    <cellStyle name="Heading 2 4 2" xfId="10006" xr:uid="{00000000-0005-0000-0000-0000B2610000}"/>
    <cellStyle name="Heading 2 4 3" xfId="30808" xr:uid="{00000000-0005-0000-0000-0000B3610000}"/>
    <cellStyle name="Heading 2 5" xfId="6484" xr:uid="{00000000-0005-0000-0000-0000B4610000}"/>
    <cellStyle name="Heading 2 5 2" xfId="10007" xr:uid="{00000000-0005-0000-0000-0000B5610000}"/>
    <cellStyle name="Heading 2 5 3" xfId="30809" xr:uid="{00000000-0005-0000-0000-0000B6610000}"/>
    <cellStyle name="Heading 2 6" xfId="6485" xr:uid="{00000000-0005-0000-0000-0000B7610000}"/>
    <cellStyle name="Heading 2 6 2" xfId="10008" xr:uid="{00000000-0005-0000-0000-0000B8610000}"/>
    <cellStyle name="Heading 2 6 3" xfId="30810" xr:uid="{00000000-0005-0000-0000-0000B9610000}"/>
    <cellStyle name="Heading 2 7" xfId="6486" xr:uid="{00000000-0005-0000-0000-0000BA610000}"/>
    <cellStyle name="Heading 2 7 2" xfId="10009" xr:uid="{00000000-0005-0000-0000-0000BB610000}"/>
    <cellStyle name="Heading 2 7 3" xfId="30811" xr:uid="{00000000-0005-0000-0000-0000BC610000}"/>
    <cellStyle name="Heading 2 8" xfId="9987" xr:uid="{00000000-0005-0000-0000-0000BD610000}"/>
    <cellStyle name="Heading 3" xfId="17" builtinId="18" customBuiltin="1"/>
    <cellStyle name="Heading 3 10" xfId="6487" xr:uid="{00000000-0005-0000-0000-0000BF610000}"/>
    <cellStyle name="Heading 3 10 2" xfId="6488" xr:uid="{00000000-0005-0000-0000-0000C0610000}"/>
    <cellStyle name="Heading 3 10 2 2" xfId="11436" xr:uid="{00000000-0005-0000-0000-0000C1610000}"/>
    <cellStyle name="Heading 3 10 2 3" xfId="30813" xr:uid="{00000000-0005-0000-0000-0000C2610000}"/>
    <cellStyle name="Heading 3 10 3" xfId="10011" xr:uid="{00000000-0005-0000-0000-0000C3610000}"/>
    <cellStyle name="Heading 3 10 4" xfId="30812" xr:uid="{00000000-0005-0000-0000-0000C4610000}"/>
    <cellStyle name="Heading 3 11" xfId="6489" xr:uid="{00000000-0005-0000-0000-0000C5610000}"/>
    <cellStyle name="Heading 3 11 2" xfId="6490" xr:uid="{00000000-0005-0000-0000-0000C6610000}"/>
    <cellStyle name="Heading 3 11 2 2" xfId="11437" xr:uid="{00000000-0005-0000-0000-0000C7610000}"/>
    <cellStyle name="Heading 3 11 2 3" xfId="30815" xr:uid="{00000000-0005-0000-0000-0000C8610000}"/>
    <cellStyle name="Heading 3 11 3" xfId="10012" xr:uid="{00000000-0005-0000-0000-0000C9610000}"/>
    <cellStyle name="Heading 3 11 4" xfId="30814" xr:uid="{00000000-0005-0000-0000-0000CA610000}"/>
    <cellStyle name="Heading 3 12" xfId="6491" xr:uid="{00000000-0005-0000-0000-0000CB610000}"/>
    <cellStyle name="Heading 3 12 2" xfId="6492" xr:uid="{00000000-0005-0000-0000-0000CC610000}"/>
    <cellStyle name="Heading 3 12 2 2" xfId="15676" xr:uid="{00000000-0005-0000-0000-0000CD610000}"/>
    <cellStyle name="Heading 3 12 2 3" xfId="30817" xr:uid="{00000000-0005-0000-0000-0000CE610000}"/>
    <cellStyle name="Heading 3 12 3" xfId="10013" xr:uid="{00000000-0005-0000-0000-0000CF610000}"/>
    <cellStyle name="Heading 3 12 4" xfId="30816" xr:uid="{00000000-0005-0000-0000-0000D0610000}"/>
    <cellStyle name="Heading 3 13" xfId="6493" xr:uid="{00000000-0005-0000-0000-0000D1610000}"/>
    <cellStyle name="Heading 3 13 2" xfId="6494" xr:uid="{00000000-0005-0000-0000-0000D2610000}"/>
    <cellStyle name="Heading 3 13 2 2" xfId="15677" xr:uid="{00000000-0005-0000-0000-0000D3610000}"/>
    <cellStyle name="Heading 3 13 2 3" xfId="30819" xr:uid="{00000000-0005-0000-0000-0000D4610000}"/>
    <cellStyle name="Heading 3 13 3" xfId="10492" xr:uid="{00000000-0005-0000-0000-0000D5610000}"/>
    <cellStyle name="Heading 3 13 4" xfId="30818" xr:uid="{00000000-0005-0000-0000-0000D6610000}"/>
    <cellStyle name="Heading 3 14" xfId="6495" xr:uid="{00000000-0005-0000-0000-0000D7610000}"/>
    <cellStyle name="Heading 3 14 2" xfId="11435" xr:uid="{00000000-0005-0000-0000-0000D8610000}"/>
    <cellStyle name="Heading 3 14 3" xfId="30820" xr:uid="{00000000-0005-0000-0000-0000D9610000}"/>
    <cellStyle name="Heading 3 15" xfId="6496" xr:uid="{00000000-0005-0000-0000-0000DA610000}"/>
    <cellStyle name="Heading 3 15 2" xfId="10010" xr:uid="{00000000-0005-0000-0000-0000DB610000}"/>
    <cellStyle name="Heading 3 15 3" xfId="30821" xr:uid="{00000000-0005-0000-0000-0000DC610000}"/>
    <cellStyle name="Heading 3 2" xfId="6497" xr:uid="{00000000-0005-0000-0000-0000DD610000}"/>
    <cellStyle name="Heading 3 2 2" xfId="6498" xr:uid="{00000000-0005-0000-0000-0000DE610000}"/>
    <cellStyle name="Heading 3 2 2 2" xfId="11694" xr:uid="{00000000-0005-0000-0000-0000DF610000}"/>
    <cellStyle name="Heading 3 2 2 3" xfId="30823" xr:uid="{00000000-0005-0000-0000-0000E0610000}"/>
    <cellStyle name="Heading 3 2 3" xfId="6499" xr:uid="{00000000-0005-0000-0000-0000E1610000}"/>
    <cellStyle name="Heading 3 2 3 2" xfId="17342" xr:uid="{00000000-0005-0000-0000-0000E2610000}"/>
    <cellStyle name="Heading 3 2 3 3" xfId="30824" xr:uid="{00000000-0005-0000-0000-0000E3610000}"/>
    <cellStyle name="Heading 3 2 4" xfId="8734" xr:uid="{00000000-0005-0000-0000-0000E4610000}"/>
    <cellStyle name="Heading 3 2 5" xfId="10014" xr:uid="{00000000-0005-0000-0000-0000E5610000}"/>
    <cellStyle name="Heading 3 2 6" xfId="30822" xr:uid="{00000000-0005-0000-0000-0000E6610000}"/>
    <cellStyle name="Heading 3 2 7" xfId="33047" xr:uid="{00000000-0005-0000-0000-0000E7610000}"/>
    <cellStyle name="Heading 3 3" xfId="6500" xr:uid="{00000000-0005-0000-0000-0000E8610000}"/>
    <cellStyle name="Heading 3 3 2" xfId="6501" xr:uid="{00000000-0005-0000-0000-0000E9610000}"/>
    <cellStyle name="Heading 3 3 2 2" xfId="10016" xr:uid="{00000000-0005-0000-0000-0000EA610000}"/>
    <cellStyle name="Heading 3 3 2 3" xfId="30826" xr:uid="{00000000-0005-0000-0000-0000EB610000}"/>
    <cellStyle name="Heading 3 3 3" xfId="6502" xr:uid="{00000000-0005-0000-0000-0000EC610000}"/>
    <cellStyle name="Heading 3 3 3 2" xfId="13220" xr:uid="{00000000-0005-0000-0000-0000ED610000}"/>
    <cellStyle name="Heading 3 3 3 3" xfId="30827" xr:uid="{00000000-0005-0000-0000-0000EE610000}"/>
    <cellStyle name="Heading 3 3 4" xfId="10015" xr:uid="{00000000-0005-0000-0000-0000EF610000}"/>
    <cellStyle name="Heading 3 3 5" xfId="30825" xr:uid="{00000000-0005-0000-0000-0000F0610000}"/>
    <cellStyle name="Heading 3 4" xfId="6503" xr:uid="{00000000-0005-0000-0000-0000F1610000}"/>
    <cellStyle name="Heading 3 4 2" xfId="6504" xr:uid="{00000000-0005-0000-0000-0000F2610000}"/>
    <cellStyle name="Heading 3 4 2 2" xfId="10018" xr:uid="{00000000-0005-0000-0000-0000F3610000}"/>
    <cellStyle name="Heading 3 4 2 3" xfId="30829" xr:uid="{00000000-0005-0000-0000-0000F4610000}"/>
    <cellStyle name="Heading 3 4 3" xfId="6505" xr:uid="{00000000-0005-0000-0000-0000F5610000}"/>
    <cellStyle name="Heading 3 4 3 2" xfId="13222" xr:uid="{00000000-0005-0000-0000-0000F6610000}"/>
    <cellStyle name="Heading 3 4 3 3" xfId="30830" xr:uid="{00000000-0005-0000-0000-0000F7610000}"/>
    <cellStyle name="Heading 3 4 4" xfId="6506" xr:uid="{00000000-0005-0000-0000-0000F8610000}"/>
    <cellStyle name="Heading 3 4 4 2" xfId="13221" xr:uid="{00000000-0005-0000-0000-0000F9610000}"/>
    <cellStyle name="Heading 3 4 4 3" xfId="30831" xr:uid="{00000000-0005-0000-0000-0000FA610000}"/>
    <cellStyle name="Heading 3 4 5" xfId="10017" xr:uid="{00000000-0005-0000-0000-0000FB610000}"/>
    <cellStyle name="Heading 3 4 6" xfId="30828" xr:uid="{00000000-0005-0000-0000-0000FC610000}"/>
    <cellStyle name="Heading 3 5" xfId="6507" xr:uid="{00000000-0005-0000-0000-0000FD610000}"/>
    <cellStyle name="Heading 3 5 2" xfId="6508" xr:uid="{00000000-0005-0000-0000-0000FE610000}"/>
    <cellStyle name="Heading 3 5 2 2" xfId="6509" xr:uid="{00000000-0005-0000-0000-0000FF610000}"/>
    <cellStyle name="Heading 3 5 2 2 2" xfId="11439" xr:uid="{00000000-0005-0000-0000-000000620000}"/>
    <cellStyle name="Heading 3 5 2 2 3" xfId="30834" xr:uid="{00000000-0005-0000-0000-000001620000}"/>
    <cellStyle name="Heading 3 5 2 3" xfId="10020" xr:uid="{00000000-0005-0000-0000-000002620000}"/>
    <cellStyle name="Heading 3 5 2 4" xfId="30833" xr:uid="{00000000-0005-0000-0000-000003620000}"/>
    <cellStyle name="Heading 3 5 3" xfId="6510" xr:uid="{00000000-0005-0000-0000-000004620000}"/>
    <cellStyle name="Heading 3 5 3 2" xfId="11438" xr:uid="{00000000-0005-0000-0000-000005620000}"/>
    <cellStyle name="Heading 3 5 3 3" xfId="30835" xr:uid="{00000000-0005-0000-0000-000006620000}"/>
    <cellStyle name="Heading 3 5 4" xfId="6511" xr:uid="{00000000-0005-0000-0000-000007620000}"/>
    <cellStyle name="Heading 3 5 4 2" xfId="13223" xr:uid="{00000000-0005-0000-0000-000008620000}"/>
    <cellStyle name="Heading 3 5 4 3" xfId="30836" xr:uid="{00000000-0005-0000-0000-000009620000}"/>
    <cellStyle name="Heading 3 5 5" xfId="6512" xr:uid="{00000000-0005-0000-0000-00000A620000}"/>
    <cellStyle name="Heading 3 5 5 2" xfId="15678" xr:uid="{00000000-0005-0000-0000-00000B620000}"/>
    <cellStyle name="Heading 3 5 5 3" xfId="30837" xr:uid="{00000000-0005-0000-0000-00000C620000}"/>
    <cellStyle name="Heading 3 5 6" xfId="10019" xr:uid="{00000000-0005-0000-0000-00000D620000}"/>
    <cellStyle name="Heading 3 5 7" xfId="30832" xr:uid="{00000000-0005-0000-0000-00000E620000}"/>
    <cellStyle name="Heading 3 6" xfId="6513" xr:uid="{00000000-0005-0000-0000-00000F620000}"/>
    <cellStyle name="Heading 3 6 2" xfId="6514" xr:uid="{00000000-0005-0000-0000-000010620000}"/>
    <cellStyle name="Heading 3 6 2 2" xfId="6515" xr:uid="{00000000-0005-0000-0000-000011620000}"/>
    <cellStyle name="Heading 3 6 2 2 2" xfId="11441" xr:uid="{00000000-0005-0000-0000-000012620000}"/>
    <cellStyle name="Heading 3 6 2 2 3" xfId="30840" xr:uid="{00000000-0005-0000-0000-000013620000}"/>
    <cellStyle name="Heading 3 6 2 3" xfId="10022" xr:uid="{00000000-0005-0000-0000-000014620000}"/>
    <cellStyle name="Heading 3 6 2 4" xfId="30839" xr:uid="{00000000-0005-0000-0000-000015620000}"/>
    <cellStyle name="Heading 3 6 3" xfId="6516" xr:uid="{00000000-0005-0000-0000-000016620000}"/>
    <cellStyle name="Heading 3 6 3 2" xfId="11440" xr:uid="{00000000-0005-0000-0000-000017620000}"/>
    <cellStyle name="Heading 3 6 3 3" xfId="30841" xr:uid="{00000000-0005-0000-0000-000018620000}"/>
    <cellStyle name="Heading 3 6 4" xfId="10021" xr:uid="{00000000-0005-0000-0000-000019620000}"/>
    <cellStyle name="Heading 3 6 5" xfId="30838" xr:uid="{00000000-0005-0000-0000-00001A620000}"/>
    <cellStyle name="Heading 3 7" xfId="6517" xr:uid="{00000000-0005-0000-0000-00001B620000}"/>
    <cellStyle name="Heading 3 7 2" xfId="6518" xr:uid="{00000000-0005-0000-0000-00001C620000}"/>
    <cellStyle name="Heading 3 7 2 2" xfId="11442" xr:uid="{00000000-0005-0000-0000-00001D620000}"/>
    <cellStyle name="Heading 3 7 2 3" xfId="30843" xr:uid="{00000000-0005-0000-0000-00001E620000}"/>
    <cellStyle name="Heading 3 7 3" xfId="10023" xr:uid="{00000000-0005-0000-0000-00001F620000}"/>
    <cellStyle name="Heading 3 7 4" xfId="30842" xr:uid="{00000000-0005-0000-0000-000020620000}"/>
    <cellStyle name="Heading 3 8" xfId="6519" xr:uid="{00000000-0005-0000-0000-000021620000}"/>
    <cellStyle name="Heading 3 8 2" xfId="6520" xr:uid="{00000000-0005-0000-0000-000022620000}"/>
    <cellStyle name="Heading 3 8 2 2" xfId="11443" xr:uid="{00000000-0005-0000-0000-000023620000}"/>
    <cellStyle name="Heading 3 8 2 3" xfId="30845" xr:uid="{00000000-0005-0000-0000-000024620000}"/>
    <cellStyle name="Heading 3 8 3" xfId="10024" xr:uid="{00000000-0005-0000-0000-000025620000}"/>
    <cellStyle name="Heading 3 8 4" xfId="30844" xr:uid="{00000000-0005-0000-0000-000026620000}"/>
    <cellStyle name="Heading 3 9" xfId="6521" xr:uid="{00000000-0005-0000-0000-000027620000}"/>
    <cellStyle name="Heading 3 9 2" xfId="6522" xr:uid="{00000000-0005-0000-0000-000028620000}"/>
    <cellStyle name="Heading 3 9 2 2" xfId="11444" xr:uid="{00000000-0005-0000-0000-000029620000}"/>
    <cellStyle name="Heading 3 9 2 3" xfId="30847" xr:uid="{00000000-0005-0000-0000-00002A620000}"/>
    <cellStyle name="Heading 3 9 3" xfId="10025" xr:uid="{00000000-0005-0000-0000-00002B620000}"/>
    <cellStyle name="Heading 3 9 4" xfId="30846" xr:uid="{00000000-0005-0000-0000-00002C620000}"/>
    <cellStyle name="Heading 4" xfId="18" builtinId="19" customBuiltin="1"/>
    <cellStyle name="Heading 4 10" xfId="6523" xr:uid="{00000000-0005-0000-0000-00002E620000}"/>
    <cellStyle name="Heading 4 10 2" xfId="6524" xr:uid="{00000000-0005-0000-0000-00002F620000}"/>
    <cellStyle name="Heading 4 10 2 2" xfId="11446" xr:uid="{00000000-0005-0000-0000-000030620000}"/>
    <cellStyle name="Heading 4 10 2 3" xfId="30849" xr:uid="{00000000-0005-0000-0000-000031620000}"/>
    <cellStyle name="Heading 4 10 3" xfId="10027" xr:uid="{00000000-0005-0000-0000-000032620000}"/>
    <cellStyle name="Heading 4 10 4" xfId="30848" xr:uid="{00000000-0005-0000-0000-000033620000}"/>
    <cellStyle name="Heading 4 11" xfId="6525" xr:uid="{00000000-0005-0000-0000-000034620000}"/>
    <cellStyle name="Heading 4 11 2" xfId="6526" xr:uid="{00000000-0005-0000-0000-000035620000}"/>
    <cellStyle name="Heading 4 11 2 2" xfId="15679" xr:uid="{00000000-0005-0000-0000-000036620000}"/>
    <cellStyle name="Heading 4 11 2 3" xfId="30851" xr:uid="{00000000-0005-0000-0000-000037620000}"/>
    <cellStyle name="Heading 4 11 3" xfId="10028" xr:uid="{00000000-0005-0000-0000-000038620000}"/>
    <cellStyle name="Heading 4 11 4" xfId="30850" xr:uid="{00000000-0005-0000-0000-000039620000}"/>
    <cellStyle name="Heading 4 12" xfId="6527" xr:uid="{00000000-0005-0000-0000-00003A620000}"/>
    <cellStyle name="Heading 4 12 2" xfId="6528" xr:uid="{00000000-0005-0000-0000-00003B620000}"/>
    <cellStyle name="Heading 4 12 2 2" xfId="15680" xr:uid="{00000000-0005-0000-0000-00003C620000}"/>
    <cellStyle name="Heading 4 12 2 3" xfId="30853" xr:uid="{00000000-0005-0000-0000-00003D620000}"/>
    <cellStyle name="Heading 4 12 3" xfId="10493" xr:uid="{00000000-0005-0000-0000-00003E620000}"/>
    <cellStyle name="Heading 4 12 4" xfId="30852" xr:uid="{00000000-0005-0000-0000-00003F620000}"/>
    <cellStyle name="Heading 4 13" xfId="6529" xr:uid="{00000000-0005-0000-0000-000040620000}"/>
    <cellStyle name="Heading 4 13 2" xfId="11445" xr:uid="{00000000-0005-0000-0000-000041620000}"/>
    <cellStyle name="Heading 4 13 3" xfId="30854" xr:uid="{00000000-0005-0000-0000-000042620000}"/>
    <cellStyle name="Heading 4 14" xfId="6530" xr:uid="{00000000-0005-0000-0000-000043620000}"/>
    <cellStyle name="Heading 4 14 2" xfId="10026" xr:uid="{00000000-0005-0000-0000-000044620000}"/>
    <cellStyle name="Heading 4 14 3" xfId="30855" xr:uid="{00000000-0005-0000-0000-000045620000}"/>
    <cellStyle name="Heading 4 2" xfId="6531" xr:uid="{00000000-0005-0000-0000-000046620000}"/>
    <cellStyle name="Heading 4 2 2" xfId="6532" xr:uid="{00000000-0005-0000-0000-000047620000}"/>
    <cellStyle name="Heading 4 2 2 2" xfId="10030" xr:uid="{00000000-0005-0000-0000-000048620000}"/>
    <cellStyle name="Heading 4 2 2 3" xfId="30857" xr:uid="{00000000-0005-0000-0000-000049620000}"/>
    <cellStyle name="Heading 4 2 3" xfId="6533" xr:uid="{00000000-0005-0000-0000-00004A620000}"/>
    <cellStyle name="Heading 4 2 3 2" xfId="13224" xr:uid="{00000000-0005-0000-0000-00004B620000}"/>
    <cellStyle name="Heading 4 2 3 3" xfId="30858" xr:uid="{00000000-0005-0000-0000-00004C620000}"/>
    <cellStyle name="Heading 4 2 4" xfId="10029" xr:uid="{00000000-0005-0000-0000-00004D620000}"/>
    <cellStyle name="Heading 4 2 5" xfId="30856" xr:uid="{00000000-0005-0000-0000-00004E620000}"/>
    <cellStyle name="Heading 4 2 6" xfId="33048" xr:uid="{00000000-0005-0000-0000-00004F620000}"/>
    <cellStyle name="Heading 4 3" xfId="6534" xr:uid="{00000000-0005-0000-0000-000050620000}"/>
    <cellStyle name="Heading 4 3 2" xfId="6535" xr:uid="{00000000-0005-0000-0000-000051620000}"/>
    <cellStyle name="Heading 4 3 2 2" xfId="10032" xr:uid="{00000000-0005-0000-0000-000052620000}"/>
    <cellStyle name="Heading 4 3 2 3" xfId="30860" xr:uid="{00000000-0005-0000-0000-000053620000}"/>
    <cellStyle name="Heading 4 3 3" xfId="6536" xr:uid="{00000000-0005-0000-0000-000054620000}"/>
    <cellStyle name="Heading 4 3 3 2" xfId="13226" xr:uid="{00000000-0005-0000-0000-000055620000}"/>
    <cellStyle name="Heading 4 3 3 3" xfId="30861" xr:uid="{00000000-0005-0000-0000-000056620000}"/>
    <cellStyle name="Heading 4 3 4" xfId="6537" xr:uid="{00000000-0005-0000-0000-000057620000}"/>
    <cellStyle name="Heading 4 3 4 2" xfId="13225" xr:uid="{00000000-0005-0000-0000-000058620000}"/>
    <cellStyle name="Heading 4 3 4 3" xfId="30862" xr:uid="{00000000-0005-0000-0000-000059620000}"/>
    <cellStyle name="Heading 4 3 5" xfId="10031" xr:uid="{00000000-0005-0000-0000-00005A620000}"/>
    <cellStyle name="Heading 4 3 6" xfId="30859" xr:uid="{00000000-0005-0000-0000-00005B620000}"/>
    <cellStyle name="Heading 4 4" xfId="6538" xr:uid="{00000000-0005-0000-0000-00005C620000}"/>
    <cellStyle name="Heading 4 4 2" xfId="6539" xr:uid="{00000000-0005-0000-0000-00005D620000}"/>
    <cellStyle name="Heading 4 4 2 2" xfId="6540" xr:uid="{00000000-0005-0000-0000-00005E620000}"/>
    <cellStyle name="Heading 4 4 2 2 2" xfId="11448" xr:uid="{00000000-0005-0000-0000-00005F620000}"/>
    <cellStyle name="Heading 4 4 2 2 3" xfId="30865" xr:uid="{00000000-0005-0000-0000-000060620000}"/>
    <cellStyle name="Heading 4 4 2 3" xfId="10034" xr:uid="{00000000-0005-0000-0000-000061620000}"/>
    <cellStyle name="Heading 4 4 2 4" xfId="30864" xr:uid="{00000000-0005-0000-0000-000062620000}"/>
    <cellStyle name="Heading 4 4 3" xfId="6541" xr:uid="{00000000-0005-0000-0000-000063620000}"/>
    <cellStyle name="Heading 4 4 3 2" xfId="11447" xr:uid="{00000000-0005-0000-0000-000064620000}"/>
    <cellStyle name="Heading 4 4 3 3" xfId="30866" xr:uid="{00000000-0005-0000-0000-000065620000}"/>
    <cellStyle name="Heading 4 4 4" xfId="6542" xr:uid="{00000000-0005-0000-0000-000066620000}"/>
    <cellStyle name="Heading 4 4 4 2" xfId="13227" xr:uid="{00000000-0005-0000-0000-000067620000}"/>
    <cellStyle name="Heading 4 4 4 3" xfId="30867" xr:uid="{00000000-0005-0000-0000-000068620000}"/>
    <cellStyle name="Heading 4 4 5" xfId="6543" xr:uid="{00000000-0005-0000-0000-000069620000}"/>
    <cellStyle name="Heading 4 4 5 2" xfId="15681" xr:uid="{00000000-0005-0000-0000-00006A620000}"/>
    <cellStyle name="Heading 4 4 5 3" xfId="30868" xr:uid="{00000000-0005-0000-0000-00006B620000}"/>
    <cellStyle name="Heading 4 4 6" xfId="10033" xr:uid="{00000000-0005-0000-0000-00006C620000}"/>
    <cellStyle name="Heading 4 4 7" xfId="30863" xr:uid="{00000000-0005-0000-0000-00006D620000}"/>
    <cellStyle name="Heading 4 5" xfId="6544" xr:uid="{00000000-0005-0000-0000-00006E620000}"/>
    <cellStyle name="Heading 4 5 2" xfId="6545" xr:uid="{00000000-0005-0000-0000-00006F620000}"/>
    <cellStyle name="Heading 4 5 2 2" xfId="6546" xr:uid="{00000000-0005-0000-0000-000070620000}"/>
    <cellStyle name="Heading 4 5 2 2 2" xfId="11450" xr:uid="{00000000-0005-0000-0000-000071620000}"/>
    <cellStyle name="Heading 4 5 2 2 3" xfId="30871" xr:uid="{00000000-0005-0000-0000-000072620000}"/>
    <cellStyle name="Heading 4 5 2 3" xfId="10036" xr:uid="{00000000-0005-0000-0000-000073620000}"/>
    <cellStyle name="Heading 4 5 2 4" xfId="30870" xr:uid="{00000000-0005-0000-0000-000074620000}"/>
    <cellStyle name="Heading 4 5 3" xfId="6547" xr:uid="{00000000-0005-0000-0000-000075620000}"/>
    <cellStyle name="Heading 4 5 3 2" xfId="11449" xr:uid="{00000000-0005-0000-0000-000076620000}"/>
    <cellStyle name="Heading 4 5 3 3" xfId="30872" xr:uid="{00000000-0005-0000-0000-000077620000}"/>
    <cellStyle name="Heading 4 5 4" xfId="10035" xr:uid="{00000000-0005-0000-0000-000078620000}"/>
    <cellStyle name="Heading 4 5 5" xfId="30869" xr:uid="{00000000-0005-0000-0000-000079620000}"/>
    <cellStyle name="Heading 4 6" xfId="6548" xr:uid="{00000000-0005-0000-0000-00007A620000}"/>
    <cellStyle name="Heading 4 6 2" xfId="6549" xr:uid="{00000000-0005-0000-0000-00007B620000}"/>
    <cellStyle name="Heading 4 6 2 2" xfId="11451" xr:uid="{00000000-0005-0000-0000-00007C620000}"/>
    <cellStyle name="Heading 4 6 2 3" xfId="30874" xr:uid="{00000000-0005-0000-0000-00007D620000}"/>
    <cellStyle name="Heading 4 6 3" xfId="10037" xr:uid="{00000000-0005-0000-0000-00007E620000}"/>
    <cellStyle name="Heading 4 6 4" xfId="30873" xr:uid="{00000000-0005-0000-0000-00007F620000}"/>
    <cellStyle name="Heading 4 7" xfId="6550" xr:uid="{00000000-0005-0000-0000-000080620000}"/>
    <cellStyle name="Heading 4 7 2" xfId="6551" xr:uid="{00000000-0005-0000-0000-000081620000}"/>
    <cellStyle name="Heading 4 7 2 2" xfId="11452" xr:uid="{00000000-0005-0000-0000-000082620000}"/>
    <cellStyle name="Heading 4 7 2 3" xfId="30876" xr:uid="{00000000-0005-0000-0000-000083620000}"/>
    <cellStyle name="Heading 4 7 3" xfId="10038" xr:uid="{00000000-0005-0000-0000-000084620000}"/>
    <cellStyle name="Heading 4 7 4" xfId="30875" xr:uid="{00000000-0005-0000-0000-000085620000}"/>
    <cellStyle name="Heading 4 8" xfId="6552" xr:uid="{00000000-0005-0000-0000-000086620000}"/>
    <cellStyle name="Heading 4 8 2" xfId="6553" xr:uid="{00000000-0005-0000-0000-000087620000}"/>
    <cellStyle name="Heading 4 8 2 2" xfId="11453" xr:uid="{00000000-0005-0000-0000-000088620000}"/>
    <cellStyle name="Heading 4 8 2 3" xfId="30878" xr:uid="{00000000-0005-0000-0000-000089620000}"/>
    <cellStyle name="Heading 4 8 3" xfId="10039" xr:uid="{00000000-0005-0000-0000-00008A620000}"/>
    <cellStyle name="Heading 4 8 4" xfId="30877" xr:uid="{00000000-0005-0000-0000-00008B620000}"/>
    <cellStyle name="Heading 4 9" xfId="6554" xr:uid="{00000000-0005-0000-0000-00008C620000}"/>
    <cellStyle name="Heading 4 9 2" xfId="6555" xr:uid="{00000000-0005-0000-0000-00008D620000}"/>
    <cellStyle name="Heading 4 9 2 2" xfId="11454" xr:uid="{00000000-0005-0000-0000-00008E620000}"/>
    <cellStyle name="Heading 4 9 2 3" xfId="30880" xr:uid="{00000000-0005-0000-0000-00008F620000}"/>
    <cellStyle name="Heading 4 9 3" xfId="10040" xr:uid="{00000000-0005-0000-0000-000090620000}"/>
    <cellStyle name="Heading 4 9 4" xfId="30879" xr:uid="{00000000-0005-0000-0000-000091620000}"/>
    <cellStyle name="Hyperlink" xfId="7" builtinId="8"/>
    <cellStyle name="Hyperlink 2" xfId="6556" xr:uid="{00000000-0005-0000-0000-000093620000}"/>
    <cellStyle name="Hyperlink 2 2" xfId="8699" xr:uid="{00000000-0005-0000-0000-000094620000}"/>
    <cellStyle name="Hyperlink 2 3" xfId="30881" xr:uid="{00000000-0005-0000-0000-000095620000}"/>
    <cellStyle name="Hyperlink 2 4" xfId="33097" xr:uid="{00000000-0005-0000-0000-000096620000}"/>
    <cellStyle name="Hyperlink 3" xfId="6557" xr:uid="{00000000-0005-0000-0000-000097620000}"/>
    <cellStyle name="Hyperlink 3 2" xfId="10041" xr:uid="{00000000-0005-0000-0000-000098620000}"/>
    <cellStyle name="Hyperlink 3 3" xfId="30882" xr:uid="{00000000-0005-0000-0000-000099620000}"/>
    <cellStyle name="Hyperlink 4" xfId="33113" xr:uid="{C959ABCC-2097-46BA-A21A-374486B72559}"/>
    <cellStyle name="Input" xfId="22" builtinId="20" customBuiltin="1"/>
    <cellStyle name="Input 10" xfId="6558" xr:uid="{00000000-0005-0000-0000-00009B620000}"/>
    <cellStyle name="Input 10 2" xfId="10043" xr:uid="{00000000-0005-0000-0000-00009C620000}"/>
    <cellStyle name="Input 10 3" xfId="30883" xr:uid="{00000000-0005-0000-0000-00009D620000}"/>
    <cellStyle name="Input 11" xfId="6559" xr:uid="{00000000-0005-0000-0000-00009E620000}"/>
    <cellStyle name="Input 11 2" xfId="10044" xr:uid="{00000000-0005-0000-0000-00009F620000}"/>
    <cellStyle name="Input 11 3" xfId="30884" xr:uid="{00000000-0005-0000-0000-0000A0620000}"/>
    <cellStyle name="Input 12" xfId="6560" xr:uid="{00000000-0005-0000-0000-0000A1620000}"/>
    <cellStyle name="Input 12 2" xfId="6561" xr:uid="{00000000-0005-0000-0000-0000A2620000}"/>
    <cellStyle name="Input 12 2 2" xfId="15682" xr:uid="{00000000-0005-0000-0000-0000A3620000}"/>
    <cellStyle name="Input 12 2 3" xfId="30886" xr:uid="{00000000-0005-0000-0000-0000A4620000}"/>
    <cellStyle name="Input 12 3" xfId="10494" xr:uid="{00000000-0005-0000-0000-0000A5620000}"/>
    <cellStyle name="Input 12 4" xfId="30885" xr:uid="{00000000-0005-0000-0000-0000A6620000}"/>
    <cellStyle name="Input 13" xfId="6562" xr:uid="{00000000-0005-0000-0000-0000A7620000}"/>
    <cellStyle name="Input 13 2" xfId="11455" xr:uid="{00000000-0005-0000-0000-0000A8620000}"/>
    <cellStyle name="Input 13 3" xfId="30887" xr:uid="{00000000-0005-0000-0000-0000A9620000}"/>
    <cellStyle name="Input 14" xfId="6563" xr:uid="{00000000-0005-0000-0000-0000AA620000}"/>
    <cellStyle name="Input 14 2" xfId="10042" xr:uid="{00000000-0005-0000-0000-0000AB620000}"/>
    <cellStyle name="Input 14 3" xfId="30888" xr:uid="{00000000-0005-0000-0000-0000AC620000}"/>
    <cellStyle name="Input 2" xfId="6564" xr:uid="{00000000-0005-0000-0000-0000AD620000}"/>
    <cellStyle name="Input 2 2" xfId="10045" xr:uid="{00000000-0005-0000-0000-0000AE620000}"/>
    <cellStyle name="Input 2 3" xfId="30889" xr:uid="{00000000-0005-0000-0000-0000AF620000}"/>
    <cellStyle name="Input 2 4" xfId="33052" xr:uid="{00000000-0005-0000-0000-0000B0620000}"/>
    <cellStyle name="Input 3" xfId="6565" xr:uid="{00000000-0005-0000-0000-0000B1620000}"/>
    <cellStyle name="Input 3 2" xfId="6566" xr:uid="{00000000-0005-0000-0000-0000B2620000}"/>
    <cellStyle name="Input 3 2 2" xfId="10047" xr:uid="{00000000-0005-0000-0000-0000B3620000}"/>
    <cellStyle name="Input 3 2 3" xfId="30891" xr:uid="{00000000-0005-0000-0000-0000B4620000}"/>
    <cellStyle name="Input 3 3" xfId="10046" xr:uid="{00000000-0005-0000-0000-0000B5620000}"/>
    <cellStyle name="Input 3 4" xfId="30890" xr:uid="{00000000-0005-0000-0000-0000B6620000}"/>
    <cellStyle name="Input 4" xfId="6567" xr:uid="{00000000-0005-0000-0000-0000B7620000}"/>
    <cellStyle name="Input 4 2" xfId="6568" xr:uid="{00000000-0005-0000-0000-0000B8620000}"/>
    <cellStyle name="Input 4 2 2" xfId="13229" xr:uid="{00000000-0005-0000-0000-0000B9620000}"/>
    <cellStyle name="Input 4 2 3" xfId="30893" xr:uid="{00000000-0005-0000-0000-0000BA620000}"/>
    <cellStyle name="Input 4 3" xfId="6569" xr:uid="{00000000-0005-0000-0000-0000BB620000}"/>
    <cellStyle name="Input 4 3 2" xfId="13228" xr:uid="{00000000-0005-0000-0000-0000BC620000}"/>
    <cellStyle name="Input 4 3 3" xfId="30894" xr:uid="{00000000-0005-0000-0000-0000BD620000}"/>
    <cellStyle name="Input 4 4" xfId="10048" xr:uid="{00000000-0005-0000-0000-0000BE620000}"/>
    <cellStyle name="Input 4 5" xfId="30892" xr:uid="{00000000-0005-0000-0000-0000BF620000}"/>
    <cellStyle name="Input 5" xfId="6570" xr:uid="{00000000-0005-0000-0000-0000C0620000}"/>
    <cellStyle name="Input 5 2" xfId="6571" xr:uid="{00000000-0005-0000-0000-0000C1620000}"/>
    <cellStyle name="Input 5 2 2" xfId="10050" xr:uid="{00000000-0005-0000-0000-0000C2620000}"/>
    <cellStyle name="Input 5 2 3" xfId="30896" xr:uid="{00000000-0005-0000-0000-0000C3620000}"/>
    <cellStyle name="Input 5 3" xfId="10049" xr:uid="{00000000-0005-0000-0000-0000C4620000}"/>
    <cellStyle name="Input 5 4" xfId="30895" xr:uid="{00000000-0005-0000-0000-0000C5620000}"/>
    <cellStyle name="Input 6" xfId="6572" xr:uid="{00000000-0005-0000-0000-0000C6620000}"/>
    <cellStyle name="Input 6 2" xfId="10051" xr:uid="{00000000-0005-0000-0000-0000C7620000}"/>
    <cellStyle name="Input 6 3" xfId="30897" xr:uid="{00000000-0005-0000-0000-0000C8620000}"/>
    <cellStyle name="Input 7" xfId="6573" xr:uid="{00000000-0005-0000-0000-0000C9620000}"/>
    <cellStyle name="Input 7 2" xfId="10052" xr:uid="{00000000-0005-0000-0000-0000CA620000}"/>
    <cellStyle name="Input 7 3" xfId="30898" xr:uid="{00000000-0005-0000-0000-0000CB620000}"/>
    <cellStyle name="Input 8" xfId="6574" xr:uid="{00000000-0005-0000-0000-0000CC620000}"/>
    <cellStyle name="Input 8 2" xfId="10053" xr:uid="{00000000-0005-0000-0000-0000CD620000}"/>
    <cellStyle name="Input 8 3" xfId="30899" xr:uid="{00000000-0005-0000-0000-0000CE620000}"/>
    <cellStyle name="Input 9" xfId="6575" xr:uid="{00000000-0005-0000-0000-0000CF620000}"/>
    <cellStyle name="Input 9 2" xfId="10054" xr:uid="{00000000-0005-0000-0000-0000D0620000}"/>
    <cellStyle name="Input 9 3" xfId="30900" xr:uid="{00000000-0005-0000-0000-0000D1620000}"/>
    <cellStyle name="Linked Cell" xfId="25" builtinId="24" customBuiltin="1"/>
    <cellStyle name="Linked Cell 10" xfId="6576" xr:uid="{00000000-0005-0000-0000-0000D3620000}"/>
    <cellStyle name="Linked Cell 10 2" xfId="6577" xr:uid="{00000000-0005-0000-0000-0000D4620000}"/>
    <cellStyle name="Linked Cell 10 2 2" xfId="11457" xr:uid="{00000000-0005-0000-0000-0000D5620000}"/>
    <cellStyle name="Linked Cell 10 2 3" xfId="30902" xr:uid="{00000000-0005-0000-0000-0000D6620000}"/>
    <cellStyle name="Linked Cell 10 3" xfId="10056" xr:uid="{00000000-0005-0000-0000-0000D7620000}"/>
    <cellStyle name="Linked Cell 10 4" xfId="30901" xr:uid="{00000000-0005-0000-0000-0000D8620000}"/>
    <cellStyle name="Linked Cell 11" xfId="6578" xr:uid="{00000000-0005-0000-0000-0000D9620000}"/>
    <cellStyle name="Linked Cell 11 2" xfId="6579" xr:uid="{00000000-0005-0000-0000-0000DA620000}"/>
    <cellStyle name="Linked Cell 11 2 2" xfId="11458" xr:uid="{00000000-0005-0000-0000-0000DB620000}"/>
    <cellStyle name="Linked Cell 11 2 3" xfId="30904" xr:uid="{00000000-0005-0000-0000-0000DC620000}"/>
    <cellStyle name="Linked Cell 11 3" xfId="10057" xr:uid="{00000000-0005-0000-0000-0000DD620000}"/>
    <cellStyle name="Linked Cell 11 4" xfId="30903" xr:uid="{00000000-0005-0000-0000-0000DE620000}"/>
    <cellStyle name="Linked Cell 12" xfId="6580" xr:uid="{00000000-0005-0000-0000-0000DF620000}"/>
    <cellStyle name="Linked Cell 12 2" xfId="6581" xr:uid="{00000000-0005-0000-0000-0000E0620000}"/>
    <cellStyle name="Linked Cell 12 2 2" xfId="15683" xr:uid="{00000000-0005-0000-0000-0000E1620000}"/>
    <cellStyle name="Linked Cell 12 2 3" xfId="30906" xr:uid="{00000000-0005-0000-0000-0000E2620000}"/>
    <cellStyle name="Linked Cell 12 3" xfId="10058" xr:uid="{00000000-0005-0000-0000-0000E3620000}"/>
    <cellStyle name="Linked Cell 12 4" xfId="30905" xr:uid="{00000000-0005-0000-0000-0000E4620000}"/>
    <cellStyle name="Linked Cell 13" xfId="6582" xr:uid="{00000000-0005-0000-0000-0000E5620000}"/>
    <cellStyle name="Linked Cell 13 2" xfId="6583" xr:uid="{00000000-0005-0000-0000-0000E6620000}"/>
    <cellStyle name="Linked Cell 13 2 2" xfId="15684" xr:uid="{00000000-0005-0000-0000-0000E7620000}"/>
    <cellStyle name="Linked Cell 13 2 3" xfId="30908" xr:uid="{00000000-0005-0000-0000-0000E8620000}"/>
    <cellStyle name="Linked Cell 13 3" xfId="10495" xr:uid="{00000000-0005-0000-0000-0000E9620000}"/>
    <cellStyle name="Linked Cell 13 4" xfId="30907" xr:uid="{00000000-0005-0000-0000-0000EA620000}"/>
    <cellStyle name="Linked Cell 14" xfId="6584" xr:uid="{00000000-0005-0000-0000-0000EB620000}"/>
    <cellStyle name="Linked Cell 14 2" xfId="11456" xr:uid="{00000000-0005-0000-0000-0000EC620000}"/>
    <cellStyle name="Linked Cell 14 3" xfId="30909" xr:uid="{00000000-0005-0000-0000-0000ED620000}"/>
    <cellStyle name="Linked Cell 15" xfId="6585" xr:uid="{00000000-0005-0000-0000-0000EE620000}"/>
    <cellStyle name="Linked Cell 15 2" xfId="10055" xr:uid="{00000000-0005-0000-0000-0000EF620000}"/>
    <cellStyle name="Linked Cell 15 3" xfId="30910" xr:uid="{00000000-0005-0000-0000-0000F0620000}"/>
    <cellStyle name="Linked Cell 2" xfId="6586" xr:uid="{00000000-0005-0000-0000-0000F1620000}"/>
    <cellStyle name="Linked Cell 2 2" xfId="6587" xr:uid="{00000000-0005-0000-0000-0000F2620000}"/>
    <cellStyle name="Linked Cell 2 2 2" xfId="10060" xr:uid="{00000000-0005-0000-0000-0000F3620000}"/>
    <cellStyle name="Linked Cell 2 2 3" xfId="30912" xr:uid="{00000000-0005-0000-0000-0000F4620000}"/>
    <cellStyle name="Linked Cell 2 3" xfId="6588" xr:uid="{00000000-0005-0000-0000-0000F5620000}"/>
    <cellStyle name="Linked Cell 2 3 2" xfId="13230" xr:uid="{00000000-0005-0000-0000-0000F6620000}"/>
    <cellStyle name="Linked Cell 2 3 3" xfId="30913" xr:uid="{00000000-0005-0000-0000-0000F7620000}"/>
    <cellStyle name="Linked Cell 2 4" xfId="10059" xr:uid="{00000000-0005-0000-0000-0000F8620000}"/>
    <cellStyle name="Linked Cell 2 5" xfId="30911" xr:uid="{00000000-0005-0000-0000-0000F9620000}"/>
    <cellStyle name="Linked Cell 2 6" xfId="33055" xr:uid="{00000000-0005-0000-0000-0000FA620000}"/>
    <cellStyle name="Linked Cell 3" xfId="6589" xr:uid="{00000000-0005-0000-0000-0000FB620000}"/>
    <cellStyle name="Linked Cell 3 2" xfId="6590" xr:uid="{00000000-0005-0000-0000-0000FC620000}"/>
    <cellStyle name="Linked Cell 3 2 2" xfId="10062" xr:uid="{00000000-0005-0000-0000-0000FD620000}"/>
    <cellStyle name="Linked Cell 3 2 3" xfId="30915" xr:uid="{00000000-0005-0000-0000-0000FE620000}"/>
    <cellStyle name="Linked Cell 3 3" xfId="6591" xr:uid="{00000000-0005-0000-0000-0000FF620000}"/>
    <cellStyle name="Linked Cell 3 3 2" xfId="13232" xr:uid="{00000000-0005-0000-0000-000000630000}"/>
    <cellStyle name="Linked Cell 3 3 3" xfId="30916" xr:uid="{00000000-0005-0000-0000-000001630000}"/>
    <cellStyle name="Linked Cell 3 4" xfId="6592" xr:uid="{00000000-0005-0000-0000-000002630000}"/>
    <cellStyle name="Linked Cell 3 4 2" xfId="13231" xr:uid="{00000000-0005-0000-0000-000003630000}"/>
    <cellStyle name="Linked Cell 3 4 3" xfId="30917" xr:uid="{00000000-0005-0000-0000-000004630000}"/>
    <cellStyle name="Linked Cell 3 5" xfId="10061" xr:uid="{00000000-0005-0000-0000-000005630000}"/>
    <cellStyle name="Linked Cell 3 6" xfId="30914" xr:uid="{00000000-0005-0000-0000-000006630000}"/>
    <cellStyle name="Linked Cell 4" xfId="6593" xr:uid="{00000000-0005-0000-0000-000007630000}"/>
    <cellStyle name="Linked Cell 4 2" xfId="6594" xr:uid="{00000000-0005-0000-0000-000008630000}"/>
    <cellStyle name="Linked Cell 4 2 2" xfId="6595" xr:uid="{00000000-0005-0000-0000-000009630000}"/>
    <cellStyle name="Linked Cell 4 2 2 2" xfId="11460" xr:uid="{00000000-0005-0000-0000-00000A630000}"/>
    <cellStyle name="Linked Cell 4 2 2 3" xfId="30920" xr:uid="{00000000-0005-0000-0000-00000B630000}"/>
    <cellStyle name="Linked Cell 4 2 3" xfId="10064" xr:uid="{00000000-0005-0000-0000-00000C630000}"/>
    <cellStyle name="Linked Cell 4 2 4" xfId="30919" xr:uid="{00000000-0005-0000-0000-00000D630000}"/>
    <cellStyle name="Linked Cell 4 3" xfId="6596" xr:uid="{00000000-0005-0000-0000-00000E630000}"/>
    <cellStyle name="Linked Cell 4 3 2" xfId="11459" xr:uid="{00000000-0005-0000-0000-00000F630000}"/>
    <cellStyle name="Linked Cell 4 3 3" xfId="30921" xr:uid="{00000000-0005-0000-0000-000010630000}"/>
    <cellStyle name="Linked Cell 4 4" xfId="6597" xr:uid="{00000000-0005-0000-0000-000011630000}"/>
    <cellStyle name="Linked Cell 4 4 2" xfId="13233" xr:uid="{00000000-0005-0000-0000-000012630000}"/>
    <cellStyle name="Linked Cell 4 4 3" xfId="30922" xr:uid="{00000000-0005-0000-0000-000013630000}"/>
    <cellStyle name="Linked Cell 4 5" xfId="6598" xr:uid="{00000000-0005-0000-0000-000014630000}"/>
    <cellStyle name="Linked Cell 4 5 2" xfId="15685" xr:uid="{00000000-0005-0000-0000-000015630000}"/>
    <cellStyle name="Linked Cell 4 5 3" xfId="30923" xr:uid="{00000000-0005-0000-0000-000016630000}"/>
    <cellStyle name="Linked Cell 4 6" xfId="10063" xr:uid="{00000000-0005-0000-0000-000017630000}"/>
    <cellStyle name="Linked Cell 4 7" xfId="30918" xr:uid="{00000000-0005-0000-0000-000018630000}"/>
    <cellStyle name="Linked Cell 5" xfId="6599" xr:uid="{00000000-0005-0000-0000-000019630000}"/>
    <cellStyle name="Linked Cell 5 2" xfId="6600" xr:uid="{00000000-0005-0000-0000-00001A630000}"/>
    <cellStyle name="Linked Cell 5 2 2" xfId="6601" xr:uid="{00000000-0005-0000-0000-00001B630000}"/>
    <cellStyle name="Linked Cell 5 2 2 2" xfId="11462" xr:uid="{00000000-0005-0000-0000-00001C630000}"/>
    <cellStyle name="Linked Cell 5 2 2 3" xfId="30926" xr:uid="{00000000-0005-0000-0000-00001D630000}"/>
    <cellStyle name="Linked Cell 5 2 3" xfId="10066" xr:uid="{00000000-0005-0000-0000-00001E630000}"/>
    <cellStyle name="Linked Cell 5 2 4" xfId="30925" xr:uid="{00000000-0005-0000-0000-00001F630000}"/>
    <cellStyle name="Linked Cell 5 3" xfId="6602" xr:uid="{00000000-0005-0000-0000-000020630000}"/>
    <cellStyle name="Linked Cell 5 3 2" xfId="11461" xr:uid="{00000000-0005-0000-0000-000021630000}"/>
    <cellStyle name="Linked Cell 5 3 3" xfId="30927" xr:uid="{00000000-0005-0000-0000-000022630000}"/>
    <cellStyle name="Linked Cell 5 4" xfId="10065" xr:uid="{00000000-0005-0000-0000-000023630000}"/>
    <cellStyle name="Linked Cell 5 5" xfId="30924" xr:uid="{00000000-0005-0000-0000-000024630000}"/>
    <cellStyle name="Linked Cell 6" xfId="6603" xr:uid="{00000000-0005-0000-0000-000025630000}"/>
    <cellStyle name="Linked Cell 6 2" xfId="10067" xr:uid="{00000000-0005-0000-0000-000026630000}"/>
    <cellStyle name="Linked Cell 6 3" xfId="30928" xr:uid="{00000000-0005-0000-0000-000027630000}"/>
    <cellStyle name="Linked Cell 7" xfId="6604" xr:uid="{00000000-0005-0000-0000-000028630000}"/>
    <cellStyle name="Linked Cell 7 2" xfId="6605" xr:uid="{00000000-0005-0000-0000-000029630000}"/>
    <cellStyle name="Linked Cell 7 2 2" xfId="11463" xr:uid="{00000000-0005-0000-0000-00002A630000}"/>
    <cellStyle name="Linked Cell 7 2 3" xfId="30930" xr:uid="{00000000-0005-0000-0000-00002B630000}"/>
    <cellStyle name="Linked Cell 7 3" xfId="10068" xr:uid="{00000000-0005-0000-0000-00002C630000}"/>
    <cellStyle name="Linked Cell 7 4" xfId="30929" xr:uid="{00000000-0005-0000-0000-00002D630000}"/>
    <cellStyle name="Linked Cell 8" xfId="6606" xr:uid="{00000000-0005-0000-0000-00002E630000}"/>
    <cellStyle name="Linked Cell 8 2" xfId="6607" xr:uid="{00000000-0005-0000-0000-00002F630000}"/>
    <cellStyle name="Linked Cell 8 2 2" xfId="11464" xr:uid="{00000000-0005-0000-0000-000030630000}"/>
    <cellStyle name="Linked Cell 8 2 3" xfId="30932" xr:uid="{00000000-0005-0000-0000-000031630000}"/>
    <cellStyle name="Linked Cell 8 3" xfId="10069" xr:uid="{00000000-0005-0000-0000-000032630000}"/>
    <cellStyle name="Linked Cell 8 4" xfId="30931" xr:uid="{00000000-0005-0000-0000-000033630000}"/>
    <cellStyle name="Linked Cell 9" xfId="6608" xr:uid="{00000000-0005-0000-0000-000034630000}"/>
    <cellStyle name="Linked Cell 9 2" xfId="6609" xr:uid="{00000000-0005-0000-0000-000035630000}"/>
    <cellStyle name="Linked Cell 9 2 2" xfId="11465" xr:uid="{00000000-0005-0000-0000-000036630000}"/>
    <cellStyle name="Linked Cell 9 2 3" xfId="30934" xr:uid="{00000000-0005-0000-0000-000037630000}"/>
    <cellStyle name="Linked Cell 9 3" xfId="10070" xr:uid="{00000000-0005-0000-0000-000038630000}"/>
    <cellStyle name="Linked Cell 9 4" xfId="30933" xr:uid="{00000000-0005-0000-0000-000039630000}"/>
    <cellStyle name="Neutral" xfId="21" builtinId="28" customBuiltin="1"/>
    <cellStyle name="Neutral 10" xfId="6610" xr:uid="{00000000-0005-0000-0000-00003B630000}"/>
    <cellStyle name="Neutral 10 2" xfId="10072" xr:uid="{00000000-0005-0000-0000-00003C630000}"/>
    <cellStyle name="Neutral 10 3" xfId="30935" xr:uid="{00000000-0005-0000-0000-00003D630000}"/>
    <cellStyle name="Neutral 11" xfId="6611" xr:uid="{00000000-0005-0000-0000-00003E630000}"/>
    <cellStyle name="Neutral 11 2" xfId="10073" xr:uid="{00000000-0005-0000-0000-00003F630000}"/>
    <cellStyle name="Neutral 11 3" xfId="30936" xr:uid="{00000000-0005-0000-0000-000040630000}"/>
    <cellStyle name="Neutral 12" xfId="6612" xr:uid="{00000000-0005-0000-0000-000041630000}"/>
    <cellStyle name="Neutral 12 2" xfId="6613" xr:uid="{00000000-0005-0000-0000-000042630000}"/>
    <cellStyle name="Neutral 12 2 2" xfId="15686" xr:uid="{00000000-0005-0000-0000-000043630000}"/>
    <cellStyle name="Neutral 12 2 3" xfId="30938" xr:uid="{00000000-0005-0000-0000-000044630000}"/>
    <cellStyle name="Neutral 12 3" xfId="10496" xr:uid="{00000000-0005-0000-0000-000045630000}"/>
    <cellStyle name="Neutral 12 4" xfId="30937" xr:uid="{00000000-0005-0000-0000-000046630000}"/>
    <cellStyle name="Neutral 13" xfId="6614" xr:uid="{00000000-0005-0000-0000-000047630000}"/>
    <cellStyle name="Neutral 13 2" xfId="11466" xr:uid="{00000000-0005-0000-0000-000048630000}"/>
    <cellStyle name="Neutral 13 3" xfId="30939" xr:uid="{00000000-0005-0000-0000-000049630000}"/>
    <cellStyle name="Neutral 14" xfId="6615" xr:uid="{00000000-0005-0000-0000-00004A630000}"/>
    <cellStyle name="Neutral 14 2" xfId="10071" xr:uid="{00000000-0005-0000-0000-00004B630000}"/>
    <cellStyle name="Neutral 14 3" xfId="30940" xr:uid="{00000000-0005-0000-0000-00004C630000}"/>
    <cellStyle name="Neutral 2" xfId="6616" xr:uid="{00000000-0005-0000-0000-00004D630000}"/>
    <cellStyle name="Neutral 2 2" xfId="10074" xr:uid="{00000000-0005-0000-0000-00004E630000}"/>
    <cellStyle name="Neutral 2 3" xfId="30941" xr:uid="{00000000-0005-0000-0000-00004F630000}"/>
    <cellStyle name="Neutral 2 4" xfId="33051" xr:uid="{00000000-0005-0000-0000-000050630000}"/>
    <cellStyle name="Neutral 3" xfId="6617" xr:uid="{00000000-0005-0000-0000-000051630000}"/>
    <cellStyle name="Neutral 3 2" xfId="6618" xr:uid="{00000000-0005-0000-0000-000052630000}"/>
    <cellStyle name="Neutral 3 2 2" xfId="10076" xr:uid="{00000000-0005-0000-0000-000053630000}"/>
    <cellStyle name="Neutral 3 2 3" xfId="30943" xr:uid="{00000000-0005-0000-0000-000054630000}"/>
    <cellStyle name="Neutral 3 3" xfId="10075" xr:uid="{00000000-0005-0000-0000-000055630000}"/>
    <cellStyle name="Neutral 3 4" xfId="30942" xr:uid="{00000000-0005-0000-0000-000056630000}"/>
    <cellStyle name="Neutral 3 5" xfId="33103" xr:uid="{00000000-0005-0000-0000-000057630000}"/>
    <cellStyle name="Neutral 4" xfId="6619" xr:uid="{00000000-0005-0000-0000-000058630000}"/>
    <cellStyle name="Neutral 4 2" xfId="6620" xr:uid="{00000000-0005-0000-0000-000059630000}"/>
    <cellStyle name="Neutral 4 2 2" xfId="13235" xr:uid="{00000000-0005-0000-0000-00005A630000}"/>
    <cellStyle name="Neutral 4 2 3" xfId="30945" xr:uid="{00000000-0005-0000-0000-00005B630000}"/>
    <cellStyle name="Neutral 4 3" xfId="6621" xr:uid="{00000000-0005-0000-0000-00005C630000}"/>
    <cellStyle name="Neutral 4 3 2" xfId="13234" xr:uid="{00000000-0005-0000-0000-00005D630000}"/>
    <cellStyle name="Neutral 4 3 3" xfId="30946" xr:uid="{00000000-0005-0000-0000-00005E630000}"/>
    <cellStyle name="Neutral 4 4" xfId="10077" xr:uid="{00000000-0005-0000-0000-00005F630000}"/>
    <cellStyle name="Neutral 4 5" xfId="30944" xr:uid="{00000000-0005-0000-0000-000060630000}"/>
    <cellStyle name="Neutral 5" xfId="6622" xr:uid="{00000000-0005-0000-0000-000061630000}"/>
    <cellStyle name="Neutral 5 2" xfId="6623" xr:uid="{00000000-0005-0000-0000-000062630000}"/>
    <cellStyle name="Neutral 5 2 2" xfId="10079" xr:uid="{00000000-0005-0000-0000-000063630000}"/>
    <cellStyle name="Neutral 5 2 3" xfId="30948" xr:uid="{00000000-0005-0000-0000-000064630000}"/>
    <cellStyle name="Neutral 5 3" xfId="10078" xr:uid="{00000000-0005-0000-0000-000065630000}"/>
    <cellStyle name="Neutral 5 4" xfId="30947" xr:uid="{00000000-0005-0000-0000-000066630000}"/>
    <cellStyle name="Neutral 6" xfId="6624" xr:uid="{00000000-0005-0000-0000-000067630000}"/>
    <cellStyle name="Neutral 6 2" xfId="10080" xr:uid="{00000000-0005-0000-0000-000068630000}"/>
    <cellStyle name="Neutral 6 3" xfId="30949" xr:uid="{00000000-0005-0000-0000-000069630000}"/>
    <cellStyle name="Neutral 7" xfId="6625" xr:uid="{00000000-0005-0000-0000-00006A630000}"/>
    <cellStyle name="Neutral 7 2" xfId="10081" xr:uid="{00000000-0005-0000-0000-00006B630000}"/>
    <cellStyle name="Neutral 7 3" xfId="30950" xr:uid="{00000000-0005-0000-0000-00006C630000}"/>
    <cellStyle name="Neutral 8" xfId="6626" xr:uid="{00000000-0005-0000-0000-00006D630000}"/>
    <cellStyle name="Neutral 8 2" xfId="10082" xr:uid="{00000000-0005-0000-0000-00006E630000}"/>
    <cellStyle name="Neutral 8 3" xfId="30951" xr:uid="{00000000-0005-0000-0000-00006F630000}"/>
    <cellStyle name="Neutral 9" xfId="6627" xr:uid="{00000000-0005-0000-0000-000070630000}"/>
    <cellStyle name="Neutral 9 2" xfId="10083" xr:uid="{00000000-0005-0000-0000-000071630000}"/>
    <cellStyle name="Neutral 9 3" xfId="30952" xr:uid="{00000000-0005-0000-0000-000072630000}"/>
    <cellStyle name="Normal" xfId="0" builtinId="0"/>
    <cellStyle name="Normal 10" xfId="6628" xr:uid="{00000000-0005-0000-0000-000074630000}"/>
    <cellStyle name="Normal 10 2" xfId="6629" xr:uid="{00000000-0005-0000-0000-000075630000}"/>
    <cellStyle name="Normal 10 2 2" xfId="6630" xr:uid="{00000000-0005-0000-0000-000076630000}"/>
    <cellStyle name="Normal 10 2 2 2" xfId="11693" xr:uid="{00000000-0005-0000-0000-000077630000}"/>
    <cellStyle name="Normal 10 2 2 2 2" xfId="25429" xr:uid="{00000000-0005-0000-0000-000078630000}"/>
    <cellStyle name="Normal 10 2 2 3" xfId="30953" xr:uid="{00000000-0005-0000-0000-000079630000}"/>
    <cellStyle name="Normal 10 2 3" xfId="6631" xr:uid="{00000000-0005-0000-0000-00007A630000}"/>
    <cellStyle name="Normal 10 2 3 2" xfId="17343" xr:uid="{00000000-0005-0000-0000-00007B630000}"/>
    <cellStyle name="Normal 10 2 3 3" xfId="30954" xr:uid="{00000000-0005-0000-0000-00007C630000}"/>
    <cellStyle name="Normal 10 2 4" xfId="8730" xr:uid="{00000000-0005-0000-0000-00007D630000}"/>
    <cellStyle name="Normal 10 2 5" xfId="10085" xr:uid="{00000000-0005-0000-0000-00007E630000}"/>
    <cellStyle name="Normal 10 3" xfId="6632" xr:uid="{00000000-0005-0000-0000-00007F630000}"/>
    <cellStyle name="Normal 10 3 2" xfId="6633" xr:uid="{00000000-0005-0000-0000-000080630000}"/>
    <cellStyle name="Normal 10 3 2 2" xfId="13237" xr:uid="{00000000-0005-0000-0000-000081630000}"/>
    <cellStyle name="Normal 10 3 2 2 2" xfId="26882" xr:uid="{00000000-0005-0000-0000-000082630000}"/>
    <cellStyle name="Normal 10 3 2 3" xfId="30956" xr:uid="{00000000-0005-0000-0000-000083630000}"/>
    <cellStyle name="Normal 10 3 3" xfId="6634" xr:uid="{00000000-0005-0000-0000-000084630000}"/>
    <cellStyle name="Normal 10 3 3 2" xfId="15688" xr:uid="{00000000-0005-0000-0000-000085630000}"/>
    <cellStyle name="Normal 10 3 3 2 2" xfId="29174" xr:uid="{00000000-0005-0000-0000-000086630000}"/>
    <cellStyle name="Normal 10 3 3 3" xfId="30957" xr:uid="{00000000-0005-0000-0000-000087630000}"/>
    <cellStyle name="Normal 10 3 4" xfId="11467" xr:uid="{00000000-0005-0000-0000-000088630000}"/>
    <cellStyle name="Normal 10 3 4 2" xfId="25299" xr:uid="{00000000-0005-0000-0000-000089630000}"/>
    <cellStyle name="Normal 10 3 5" xfId="30955" xr:uid="{00000000-0005-0000-0000-00008A630000}"/>
    <cellStyle name="Normal 10 3 6" xfId="32946" xr:uid="{00000000-0005-0000-0000-00008B630000}"/>
    <cellStyle name="Normal 10 3 7" xfId="33004" xr:uid="{00000000-0005-0000-0000-00008C630000}"/>
    <cellStyle name="Normal 10 4" xfId="6635" xr:uid="{00000000-0005-0000-0000-00008D630000}"/>
    <cellStyle name="Normal 10 4 2" xfId="13236" xr:uid="{00000000-0005-0000-0000-00008E630000}"/>
    <cellStyle name="Normal 10 4 2 2" xfId="26881" xr:uid="{00000000-0005-0000-0000-00008F630000}"/>
    <cellStyle name="Normal 10 4 3" xfId="30958" xr:uid="{00000000-0005-0000-0000-000090630000}"/>
    <cellStyle name="Normal 10 5" xfId="6636" xr:uid="{00000000-0005-0000-0000-000091630000}"/>
    <cellStyle name="Normal 10 5 2" xfId="15687" xr:uid="{00000000-0005-0000-0000-000092630000}"/>
    <cellStyle name="Normal 10 5 2 2" xfId="29173" xr:uid="{00000000-0005-0000-0000-000093630000}"/>
    <cellStyle name="Normal 10 5 3" xfId="30959" xr:uid="{00000000-0005-0000-0000-000094630000}"/>
    <cellStyle name="Normal 10 6" xfId="6637" xr:uid="{00000000-0005-0000-0000-000095630000}"/>
    <cellStyle name="Normal 10 6 2" xfId="15803" xr:uid="{00000000-0005-0000-0000-000096630000}"/>
    <cellStyle name="Normal 10 6 2 2" xfId="29210" xr:uid="{00000000-0005-0000-0000-000097630000}"/>
    <cellStyle name="Normal 10 6 3" xfId="30960" xr:uid="{00000000-0005-0000-0000-000098630000}"/>
    <cellStyle name="Normal 10 7" xfId="8720" xr:uid="{00000000-0005-0000-0000-000099630000}"/>
    <cellStyle name="Normal 10 7 2" xfId="10084" xr:uid="{00000000-0005-0000-0000-00009A630000}"/>
    <cellStyle name="Normal 10 7 2 2" xfId="24316" xr:uid="{00000000-0005-0000-0000-00009B630000}"/>
    <cellStyle name="Normal 10 8" xfId="8721" xr:uid="{00000000-0005-0000-0000-00009C630000}"/>
    <cellStyle name="Normal 10 8 2" xfId="17329" xr:uid="{00000000-0005-0000-0000-00009D630000}"/>
    <cellStyle name="Normal 10 8 3" xfId="23236" xr:uid="{00000000-0005-0000-0000-00009E630000}"/>
    <cellStyle name="Normal 11" xfId="6638" xr:uid="{00000000-0005-0000-0000-00009F630000}"/>
    <cellStyle name="Normal 11 2" xfId="10086" xr:uid="{00000000-0005-0000-0000-0000A0630000}"/>
    <cellStyle name="Normal 11 3" xfId="30961" xr:uid="{00000000-0005-0000-0000-0000A1630000}"/>
    <cellStyle name="Normal 11 4" xfId="32917" xr:uid="{00000000-0005-0000-0000-0000A2630000}"/>
    <cellStyle name="Normal 11 5" xfId="32977" xr:uid="{00000000-0005-0000-0000-0000A3630000}"/>
    <cellStyle name="Normal 12" xfId="6639" xr:uid="{00000000-0005-0000-0000-0000A4630000}"/>
    <cellStyle name="Normal 12 2" xfId="10087" xr:uid="{00000000-0005-0000-0000-0000A5630000}"/>
    <cellStyle name="Normal 12 3" xfId="30962" xr:uid="{00000000-0005-0000-0000-0000A6630000}"/>
    <cellStyle name="Normal 12 4" xfId="32943" xr:uid="{00000000-0005-0000-0000-0000A7630000}"/>
    <cellStyle name="Normal 13" xfId="6640" xr:uid="{00000000-0005-0000-0000-0000A8630000}"/>
    <cellStyle name="Normal 13 10" xfId="6641" xr:uid="{00000000-0005-0000-0000-0000A9630000}"/>
    <cellStyle name="Normal 13 10 2" xfId="6642" xr:uid="{00000000-0005-0000-0000-0000AA630000}"/>
    <cellStyle name="Normal 13 10 2 2" xfId="13238" xr:uid="{00000000-0005-0000-0000-0000AB630000}"/>
    <cellStyle name="Normal 13 10 2 2 2" xfId="26883" xr:uid="{00000000-0005-0000-0000-0000AC630000}"/>
    <cellStyle name="Normal 13 10 2 3" xfId="30964" xr:uid="{00000000-0005-0000-0000-0000AD630000}"/>
    <cellStyle name="Normal 13 10 3" xfId="6643" xr:uid="{00000000-0005-0000-0000-0000AE630000}"/>
    <cellStyle name="Normal 13 10 3 2" xfId="15689" xr:uid="{00000000-0005-0000-0000-0000AF630000}"/>
    <cellStyle name="Normal 13 10 3 2 2" xfId="29175" xr:uid="{00000000-0005-0000-0000-0000B0630000}"/>
    <cellStyle name="Normal 13 10 3 3" xfId="30965" xr:uid="{00000000-0005-0000-0000-0000B1630000}"/>
    <cellStyle name="Normal 13 10 4" xfId="6644" xr:uid="{00000000-0005-0000-0000-0000B2630000}"/>
    <cellStyle name="Normal 13 10 4 2" xfId="17110" xr:uid="{00000000-0005-0000-0000-0000B3630000}"/>
    <cellStyle name="Normal 13 10 4 2 2" xfId="30469" xr:uid="{00000000-0005-0000-0000-0000B4630000}"/>
    <cellStyle name="Normal 13 10 4 3" xfId="30966" xr:uid="{00000000-0005-0000-0000-0000B5630000}"/>
    <cellStyle name="Normal 13 10 5" xfId="10521" xr:uid="{00000000-0005-0000-0000-0000B6630000}"/>
    <cellStyle name="Normal 13 10 5 2" xfId="24467" xr:uid="{00000000-0005-0000-0000-0000B7630000}"/>
    <cellStyle name="Normal 13 10 6" xfId="30963" xr:uid="{00000000-0005-0000-0000-0000B8630000}"/>
    <cellStyle name="Normal 13 11" xfId="6645" xr:uid="{00000000-0005-0000-0000-0000B9630000}"/>
    <cellStyle name="Normal 13 11 2" xfId="6646" xr:uid="{00000000-0005-0000-0000-0000BA630000}"/>
    <cellStyle name="Normal 13 11 2 2" xfId="13239" xr:uid="{00000000-0005-0000-0000-0000BB630000}"/>
    <cellStyle name="Normal 13 11 2 2 2" xfId="26884" xr:uid="{00000000-0005-0000-0000-0000BC630000}"/>
    <cellStyle name="Normal 13 11 2 3" xfId="30968" xr:uid="{00000000-0005-0000-0000-0000BD630000}"/>
    <cellStyle name="Normal 13 11 3" xfId="6647" xr:uid="{00000000-0005-0000-0000-0000BE630000}"/>
    <cellStyle name="Normal 13 11 3 2" xfId="15690" xr:uid="{00000000-0005-0000-0000-0000BF630000}"/>
    <cellStyle name="Normal 13 11 3 2 2" xfId="29176" xr:uid="{00000000-0005-0000-0000-0000C0630000}"/>
    <cellStyle name="Normal 13 11 3 3" xfId="30969" xr:uid="{00000000-0005-0000-0000-0000C1630000}"/>
    <cellStyle name="Normal 13 11 4" xfId="6648" xr:uid="{00000000-0005-0000-0000-0000C2630000}"/>
    <cellStyle name="Normal 13 11 4 2" xfId="17199" xr:uid="{00000000-0005-0000-0000-0000C3630000}"/>
    <cellStyle name="Normal 13 11 4 2 2" xfId="30558" xr:uid="{00000000-0005-0000-0000-0000C4630000}"/>
    <cellStyle name="Normal 13 11 4 3" xfId="30970" xr:uid="{00000000-0005-0000-0000-0000C5630000}"/>
    <cellStyle name="Normal 13 11 5" xfId="11468" xr:uid="{00000000-0005-0000-0000-0000C6630000}"/>
    <cellStyle name="Normal 13 11 5 2" xfId="25300" xr:uid="{00000000-0005-0000-0000-0000C7630000}"/>
    <cellStyle name="Normal 13 11 6" xfId="30967" xr:uid="{00000000-0005-0000-0000-0000C8630000}"/>
    <cellStyle name="Normal 13 12" xfId="6649" xr:uid="{00000000-0005-0000-0000-0000C9630000}"/>
    <cellStyle name="Normal 13 12 2" xfId="6650" xr:uid="{00000000-0005-0000-0000-0000CA630000}"/>
    <cellStyle name="Normal 13 12 2 2" xfId="17288" xr:uid="{00000000-0005-0000-0000-0000CB630000}"/>
    <cellStyle name="Normal 13 12 2 2 2" xfId="30647" xr:uid="{00000000-0005-0000-0000-0000CC630000}"/>
    <cellStyle name="Normal 13 12 2 3" xfId="30972" xr:uid="{00000000-0005-0000-0000-0000CD630000}"/>
    <cellStyle name="Normal 13 12 3" xfId="11777" xr:uid="{00000000-0005-0000-0000-0000CE630000}"/>
    <cellStyle name="Normal 13 12 3 2" xfId="25492" xr:uid="{00000000-0005-0000-0000-0000CF630000}"/>
    <cellStyle name="Normal 13 12 4" xfId="30971" xr:uid="{00000000-0005-0000-0000-0000D0630000}"/>
    <cellStyle name="Normal 13 13" xfId="6651" xr:uid="{00000000-0005-0000-0000-0000D1630000}"/>
    <cellStyle name="Normal 13 13 2" xfId="6652" xr:uid="{00000000-0005-0000-0000-0000D2630000}"/>
    <cellStyle name="Normal 13 13 2 2" xfId="16440" xr:uid="{00000000-0005-0000-0000-0000D3630000}"/>
    <cellStyle name="Normal 13 13 2 2 2" xfId="29847" xr:uid="{00000000-0005-0000-0000-0000D4630000}"/>
    <cellStyle name="Normal 13 13 2 3" xfId="30974" xr:uid="{00000000-0005-0000-0000-0000D5630000}"/>
    <cellStyle name="Normal 13 13 3" xfId="13392" xr:uid="{00000000-0005-0000-0000-0000D6630000}"/>
    <cellStyle name="Normal 13 13 3 2" xfId="26941" xr:uid="{00000000-0005-0000-0000-0000D7630000}"/>
    <cellStyle name="Normal 13 13 4" xfId="30973" xr:uid="{00000000-0005-0000-0000-0000D8630000}"/>
    <cellStyle name="Normal 13 14" xfId="6653" xr:uid="{00000000-0005-0000-0000-0000D9630000}"/>
    <cellStyle name="Normal 13 14 2" xfId="13973" xr:uid="{00000000-0005-0000-0000-0000DA630000}"/>
    <cellStyle name="Normal 13 14 2 2" xfId="27522" xr:uid="{00000000-0005-0000-0000-0000DB630000}"/>
    <cellStyle name="Normal 13 14 3" xfId="30975" xr:uid="{00000000-0005-0000-0000-0000DC630000}"/>
    <cellStyle name="Normal 13 15" xfId="6654" xr:uid="{00000000-0005-0000-0000-0000DD630000}"/>
    <cellStyle name="Normal 13 15 2" xfId="15842" xr:uid="{00000000-0005-0000-0000-0000DE630000}"/>
    <cellStyle name="Normal 13 15 2 2" xfId="29249" xr:uid="{00000000-0005-0000-0000-0000DF630000}"/>
    <cellStyle name="Normal 13 15 3" xfId="30976" xr:uid="{00000000-0005-0000-0000-0000E0630000}"/>
    <cellStyle name="Normal 13 16" xfId="6655" xr:uid="{00000000-0005-0000-0000-0000E1630000}"/>
    <cellStyle name="Normal 13 16 2" xfId="15859" xr:uid="{00000000-0005-0000-0000-0000E2630000}"/>
    <cellStyle name="Normal 13 16 2 2" xfId="29266" xr:uid="{00000000-0005-0000-0000-0000E3630000}"/>
    <cellStyle name="Normal 13 16 3" xfId="30977" xr:uid="{00000000-0005-0000-0000-0000E4630000}"/>
    <cellStyle name="Normal 13 17" xfId="17375" xr:uid="{00000000-0005-0000-0000-0000E5630000}"/>
    <cellStyle name="Normal 13 18" xfId="10088" xr:uid="{00000000-0005-0000-0000-0000E6630000}"/>
    <cellStyle name="Normal 13 18 2" xfId="24317" xr:uid="{00000000-0005-0000-0000-0000E7630000}"/>
    <cellStyle name="Normal 13 2" xfId="6656" xr:uid="{00000000-0005-0000-0000-0000E8630000}"/>
    <cellStyle name="Normal 13 2 10" xfId="6657" xr:uid="{00000000-0005-0000-0000-0000E9630000}"/>
    <cellStyle name="Normal 13 2 10 2" xfId="15916" xr:uid="{00000000-0005-0000-0000-0000EA630000}"/>
    <cellStyle name="Normal 13 2 10 2 2" xfId="29323" xr:uid="{00000000-0005-0000-0000-0000EB630000}"/>
    <cellStyle name="Normal 13 2 10 3" xfId="30979" xr:uid="{00000000-0005-0000-0000-0000EC630000}"/>
    <cellStyle name="Normal 13 2 11" xfId="10089" xr:uid="{00000000-0005-0000-0000-0000ED630000}"/>
    <cellStyle name="Normal 13 2 11 2" xfId="24318" xr:uid="{00000000-0005-0000-0000-0000EE630000}"/>
    <cellStyle name="Normal 13 2 12" xfId="30978" xr:uid="{00000000-0005-0000-0000-0000EF630000}"/>
    <cellStyle name="Normal 13 2 2" xfId="6658" xr:uid="{00000000-0005-0000-0000-0000F0630000}"/>
    <cellStyle name="Normal 13 2 2 10" xfId="30980" xr:uid="{00000000-0005-0000-0000-0000F1630000}"/>
    <cellStyle name="Normal 13 2 2 2" xfId="6659" xr:uid="{00000000-0005-0000-0000-0000F2630000}"/>
    <cellStyle name="Normal 13 2 2 2 2" xfId="6660" xr:uid="{00000000-0005-0000-0000-0000F3630000}"/>
    <cellStyle name="Normal 13 2 2 2 2 2" xfId="6661" xr:uid="{00000000-0005-0000-0000-0000F4630000}"/>
    <cellStyle name="Normal 13 2 2 2 2 2 2" xfId="6662" xr:uid="{00000000-0005-0000-0000-0000F5630000}"/>
    <cellStyle name="Normal 13 2 2 2 2 2 2 2" xfId="16975" xr:uid="{00000000-0005-0000-0000-0000F6630000}"/>
    <cellStyle name="Normal 13 2 2 2 2 2 2 2 2" xfId="30382" xr:uid="{00000000-0005-0000-0000-0000F7630000}"/>
    <cellStyle name="Normal 13 2 2 2 2 2 2 3" xfId="30984" xr:uid="{00000000-0005-0000-0000-0000F8630000}"/>
    <cellStyle name="Normal 13 2 2 2 2 2 3" xfId="11472" xr:uid="{00000000-0005-0000-0000-0000F9630000}"/>
    <cellStyle name="Normal 13 2 2 2 2 2 3 2" xfId="25304" xr:uid="{00000000-0005-0000-0000-0000FA630000}"/>
    <cellStyle name="Normal 13 2 2 2 2 2 4" xfId="30983" xr:uid="{00000000-0005-0000-0000-0000FB630000}"/>
    <cellStyle name="Normal 13 2 2 2 2 3" xfId="6663" xr:uid="{00000000-0005-0000-0000-0000FC630000}"/>
    <cellStyle name="Normal 13 2 2 2 2 3 2" xfId="12363" xr:uid="{00000000-0005-0000-0000-0000FD630000}"/>
    <cellStyle name="Normal 13 2 2 2 2 3 2 2" xfId="26075" xr:uid="{00000000-0005-0000-0000-0000FE630000}"/>
    <cellStyle name="Normal 13 2 2 2 2 3 3" xfId="30985" xr:uid="{00000000-0005-0000-0000-0000FF630000}"/>
    <cellStyle name="Normal 13 2 2 2 2 4" xfId="6664" xr:uid="{00000000-0005-0000-0000-000000640000}"/>
    <cellStyle name="Normal 13 2 2 2 2 4 2" xfId="13927" xr:uid="{00000000-0005-0000-0000-000001640000}"/>
    <cellStyle name="Normal 13 2 2 2 2 4 2 2" xfId="27476" xr:uid="{00000000-0005-0000-0000-000002640000}"/>
    <cellStyle name="Normal 13 2 2 2 2 4 3" xfId="30986" xr:uid="{00000000-0005-0000-0000-000003640000}"/>
    <cellStyle name="Normal 13 2 2 2 2 5" xfId="6665" xr:uid="{00000000-0005-0000-0000-000004640000}"/>
    <cellStyle name="Normal 13 2 2 2 2 5 2" xfId="14508" xr:uid="{00000000-0005-0000-0000-000005640000}"/>
    <cellStyle name="Normal 13 2 2 2 2 5 2 2" xfId="28057" xr:uid="{00000000-0005-0000-0000-000006640000}"/>
    <cellStyle name="Normal 13 2 2 2 2 5 3" xfId="30987" xr:uid="{00000000-0005-0000-0000-000007640000}"/>
    <cellStyle name="Normal 13 2 2 2 2 6" xfId="6666" xr:uid="{00000000-0005-0000-0000-000008640000}"/>
    <cellStyle name="Normal 13 2 2 2 2 6 2" xfId="16394" xr:uid="{00000000-0005-0000-0000-000009640000}"/>
    <cellStyle name="Normal 13 2 2 2 2 6 2 2" xfId="29801" xr:uid="{00000000-0005-0000-0000-00000A640000}"/>
    <cellStyle name="Normal 13 2 2 2 2 6 3" xfId="30988" xr:uid="{00000000-0005-0000-0000-00000B640000}"/>
    <cellStyle name="Normal 13 2 2 2 2 7" xfId="10092" xr:uid="{00000000-0005-0000-0000-00000C640000}"/>
    <cellStyle name="Normal 13 2 2 2 2 7 2" xfId="24321" xr:uid="{00000000-0005-0000-0000-00000D640000}"/>
    <cellStyle name="Normal 13 2 2 2 2 8" xfId="30982" xr:uid="{00000000-0005-0000-0000-00000E640000}"/>
    <cellStyle name="Normal 13 2 2 2 3" xfId="6667" xr:uid="{00000000-0005-0000-0000-00000F640000}"/>
    <cellStyle name="Normal 13 2 2 2 3 2" xfId="6668" xr:uid="{00000000-0005-0000-0000-000010640000}"/>
    <cellStyle name="Normal 13 2 2 2 3 2 2" xfId="16686" xr:uid="{00000000-0005-0000-0000-000011640000}"/>
    <cellStyle name="Normal 13 2 2 2 3 2 2 2" xfId="30093" xr:uid="{00000000-0005-0000-0000-000012640000}"/>
    <cellStyle name="Normal 13 2 2 2 3 2 3" xfId="30990" xr:uid="{00000000-0005-0000-0000-000013640000}"/>
    <cellStyle name="Normal 13 2 2 2 3 3" xfId="11471" xr:uid="{00000000-0005-0000-0000-000014640000}"/>
    <cellStyle name="Normal 13 2 2 2 3 3 2" xfId="25303" xr:uid="{00000000-0005-0000-0000-000015640000}"/>
    <cellStyle name="Normal 13 2 2 2 3 4" xfId="30989" xr:uid="{00000000-0005-0000-0000-000016640000}"/>
    <cellStyle name="Normal 13 2 2 2 4" xfId="6669" xr:uid="{00000000-0005-0000-0000-000017640000}"/>
    <cellStyle name="Normal 13 2 2 2 4 2" xfId="12063" xr:uid="{00000000-0005-0000-0000-000018640000}"/>
    <cellStyle name="Normal 13 2 2 2 4 2 2" xfId="25778" xr:uid="{00000000-0005-0000-0000-000019640000}"/>
    <cellStyle name="Normal 13 2 2 2 4 3" xfId="30991" xr:uid="{00000000-0005-0000-0000-00001A640000}"/>
    <cellStyle name="Normal 13 2 2 2 5" xfId="6670" xr:uid="{00000000-0005-0000-0000-00001B640000}"/>
    <cellStyle name="Normal 13 2 2 2 5 2" xfId="13638" xr:uid="{00000000-0005-0000-0000-00001C640000}"/>
    <cellStyle name="Normal 13 2 2 2 5 2 2" xfId="27187" xr:uid="{00000000-0005-0000-0000-00001D640000}"/>
    <cellStyle name="Normal 13 2 2 2 5 3" xfId="30992" xr:uid="{00000000-0005-0000-0000-00001E640000}"/>
    <cellStyle name="Normal 13 2 2 2 6" xfId="6671" xr:uid="{00000000-0005-0000-0000-00001F640000}"/>
    <cellStyle name="Normal 13 2 2 2 6 2" xfId="14219" xr:uid="{00000000-0005-0000-0000-000020640000}"/>
    <cellStyle name="Normal 13 2 2 2 6 2 2" xfId="27768" xr:uid="{00000000-0005-0000-0000-000021640000}"/>
    <cellStyle name="Normal 13 2 2 2 6 3" xfId="30993" xr:uid="{00000000-0005-0000-0000-000022640000}"/>
    <cellStyle name="Normal 13 2 2 2 7" xfId="6672" xr:uid="{00000000-0005-0000-0000-000023640000}"/>
    <cellStyle name="Normal 13 2 2 2 7 2" xfId="16105" xr:uid="{00000000-0005-0000-0000-000024640000}"/>
    <cellStyle name="Normal 13 2 2 2 7 2 2" xfId="29512" xr:uid="{00000000-0005-0000-0000-000025640000}"/>
    <cellStyle name="Normal 13 2 2 2 7 3" xfId="30994" xr:uid="{00000000-0005-0000-0000-000026640000}"/>
    <cellStyle name="Normal 13 2 2 2 8" xfId="10091" xr:uid="{00000000-0005-0000-0000-000027640000}"/>
    <cellStyle name="Normal 13 2 2 2 8 2" xfId="24320" xr:uid="{00000000-0005-0000-0000-000028640000}"/>
    <cellStyle name="Normal 13 2 2 2 9" xfId="30981" xr:uid="{00000000-0005-0000-0000-000029640000}"/>
    <cellStyle name="Normal 13 2 2 3" xfId="6673" xr:uid="{00000000-0005-0000-0000-00002A640000}"/>
    <cellStyle name="Normal 13 2 2 3 2" xfId="6674" xr:uid="{00000000-0005-0000-0000-00002B640000}"/>
    <cellStyle name="Normal 13 2 2 3 2 2" xfId="6675" xr:uid="{00000000-0005-0000-0000-00002C640000}"/>
    <cellStyle name="Normal 13 2 2 3 2 2 2" xfId="16832" xr:uid="{00000000-0005-0000-0000-00002D640000}"/>
    <cellStyle name="Normal 13 2 2 3 2 2 2 2" xfId="30239" xr:uid="{00000000-0005-0000-0000-00002E640000}"/>
    <cellStyle name="Normal 13 2 2 3 2 2 3" xfId="30997" xr:uid="{00000000-0005-0000-0000-00002F640000}"/>
    <cellStyle name="Normal 13 2 2 3 2 3" xfId="11473" xr:uid="{00000000-0005-0000-0000-000030640000}"/>
    <cellStyle name="Normal 13 2 2 3 2 3 2" xfId="25305" xr:uid="{00000000-0005-0000-0000-000031640000}"/>
    <cellStyle name="Normal 13 2 2 3 2 4" xfId="30996" xr:uid="{00000000-0005-0000-0000-000032640000}"/>
    <cellStyle name="Normal 13 2 2 3 3" xfId="6676" xr:uid="{00000000-0005-0000-0000-000033640000}"/>
    <cellStyle name="Normal 13 2 2 3 3 2" xfId="12220" xr:uid="{00000000-0005-0000-0000-000034640000}"/>
    <cellStyle name="Normal 13 2 2 3 3 2 2" xfId="25932" xr:uid="{00000000-0005-0000-0000-000035640000}"/>
    <cellStyle name="Normal 13 2 2 3 3 3" xfId="30998" xr:uid="{00000000-0005-0000-0000-000036640000}"/>
    <cellStyle name="Normal 13 2 2 3 4" xfId="6677" xr:uid="{00000000-0005-0000-0000-000037640000}"/>
    <cellStyle name="Normal 13 2 2 3 4 2" xfId="13784" xr:uid="{00000000-0005-0000-0000-000038640000}"/>
    <cellStyle name="Normal 13 2 2 3 4 2 2" xfId="27333" xr:uid="{00000000-0005-0000-0000-000039640000}"/>
    <cellStyle name="Normal 13 2 2 3 4 3" xfId="30999" xr:uid="{00000000-0005-0000-0000-00003A640000}"/>
    <cellStyle name="Normal 13 2 2 3 5" xfId="6678" xr:uid="{00000000-0005-0000-0000-00003B640000}"/>
    <cellStyle name="Normal 13 2 2 3 5 2" xfId="14365" xr:uid="{00000000-0005-0000-0000-00003C640000}"/>
    <cellStyle name="Normal 13 2 2 3 5 2 2" xfId="27914" xr:uid="{00000000-0005-0000-0000-00003D640000}"/>
    <cellStyle name="Normal 13 2 2 3 5 3" xfId="31000" xr:uid="{00000000-0005-0000-0000-00003E640000}"/>
    <cellStyle name="Normal 13 2 2 3 6" xfId="6679" xr:uid="{00000000-0005-0000-0000-00003F640000}"/>
    <cellStyle name="Normal 13 2 2 3 6 2" xfId="16251" xr:uid="{00000000-0005-0000-0000-000040640000}"/>
    <cellStyle name="Normal 13 2 2 3 6 2 2" xfId="29658" xr:uid="{00000000-0005-0000-0000-000041640000}"/>
    <cellStyle name="Normal 13 2 2 3 6 3" xfId="31001" xr:uid="{00000000-0005-0000-0000-000042640000}"/>
    <cellStyle name="Normal 13 2 2 3 7" xfId="10093" xr:uid="{00000000-0005-0000-0000-000043640000}"/>
    <cellStyle name="Normal 13 2 2 3 7 2" xfId="24322" xr:uid="{00000000-0005-0000-0000-000044640000}"/>
    <cellStyle name="Normal 13 2 2 3 8" xfId="30995" xr:uid="{00000000-0005-0000-0000-000045640000}"/>
    <cellStyle name="Normal 13 2 2 4" xfId="6680" xr:uid="{00000000-0005-0000-0000-000046640000}"/>
    <cellStyle name="Normal 13 2 2 4 2" xfId="6681" xr:uid="{00000000-0005-0000-0000-000047640000}"/>
    <cellStyle name="Normal 13 2 2 4 2 2" xfId="17179" xr:uid="{00000000-0005-0000-0000-000048640000}"/>
    <cellStyle name="Normal 13 2 2 4 2 2 2" xfId="30538" xr:uid="{00000000-0005-0000-0000-000049640000}"/>
    <cellStyle name="Normal 13 2 2 4 2 3" xfId="31003" xr:uid="{00000000-0005-0000-0000-00004A640000}"/>
    <cellStyle name="Normal 13 2 2 4 3" xfId="11470" xr:uid="{00000000-0005-0000-0000-00004B640000}"/>
    <cellStyle name="Normal 13 2 2 4 3 2" xfId="25302" xr:uid="{00000000-0005-0000-0000-00004C640000}"/>
    <cellStyle name="Normal 13 2 2 4 4" xfId="31002" xr:uid="{00000000-0005-0000-0000-00004D640000}"/>
    <cellStyle name="Normal 13 2 2 5" xfId="6682" xr:uid="{00000000-0005-0000-0000-00004E640000}"/>
    <cellStyle name="Normal 13 2 2 5 2" xfId="6683" xr:uid="{00000000-0005-0000-0000-00004F640000}"/>
    <cellStyle name="Normal 13 2 2 5 2 2" xfId="17268" xr:uid="{00000000-0005-0000-0000-000050640000}"/>
    <cellStyle name="Normal 13 2 2 5 2 2 2" xfId="30627" xr:uid="{00000000-0005-0000-0000-000051640000}"/>
    <cellStyle name="Normal 13 2 2 5 2 3" xfId="31005" xr:uid="{00000000-0005-0000-0000-000052640000}"/>
    <cellStyle name="Normal 13 2 2 5 3" xfId="11918" xr:uid="{00000000-0005-0000-0000-000053640000}"/>
    <cellStyle name="Normal 13 2 2 5 3 2" xfId="25633" xr:uid="{00000000-0005-0000-0000-000054640000}"/>
    <cellStyle name="Normal 13 2 2 5 4" xfId="31004" xr:uid="{00000000-0005-0000-0000-000055640000}"/>
    <cellStyle name="Normal 13 2 2 6" xfId="6684" xr:uid="{00000000-0005-0000-0000-000056640000}"/>
    <cellStyle name="Normal 13 2 2 6 2" xfId="6685" xr:uid="{00000000-0005-0000-0000-000057640000}"/>
    <cellStyle name="Normal 13 2 2 6 2 2" xfId="16543" xr:uid="{00000000-0005-0000-0000-000058640000}"/>
    <cellStyle name="Normal 13 2 2 6 2 2 2" xfId="29950" xr:uid="{00000000-0005-0000-0000-000059640000}"/>
    <cellStyle name="Normal 13 2 2 6 2 3" xfId="31007" xr:uid="{00000000-0005-0000-0000-00005A640000}"/>
    <cellStyle name="Normal 13 2 2 6 3" xfId="13495" xr:uid="{00000000-0005-0000-0000-00005B640000}"/>
    <cellStyle name="Normal 13 2 2 6 3 2" xfId="27044" xr:uid="{00000000-0005-0000-0000-00005C640000}"/>
    <cellStyle name="Normal 13 2 2 6 4" xfId="31006" xr:uid="{00000000-0005-0000-0000-00005D640000}"/>
    <cellStyle name="Normal 13 2 2 7" xfId="6686" xr:uid="{00000000-0005-0000-0000-00005E640000}"/>
    <cellStyle name="Normal 13 2 2 7 2" xfId="14076" xr:uid="{00000000-0005-0000-0000-00005F640000}"/>
    <cellStyle name="Normal 13 2 2 7 2 2" xfId="27625" xr:uid="{00000000-0005-0000-0000-000060640000}"/>
    <cellStyle name="Normal 13 2 2 7 3" xfId="31008" xr:uid="{00000000-0005-0000-0000-000061640000}"/>
    <cellStyle name="Normal 13 2 2 8" xfId="6687" xr:uid="{00000000-0005-0000-0000-000062640000}"/>
    <cellStyle name="Normal 13 2 2 8 2" xfId="15962" xr:uid="{00000000-0005-0000-0000-000063640000}"/>
    <cellStyle name="Normal 13 2 2 8 2 2" xfId="29369" xr:uid="{00000000-0005-0000-0000-000064640000}"/>
    <cellStyle name="Normal 13 2 2 8 3" xfId="31009" xr:uid="{00000000-0005-0000-0000-000065640000}"/>
    <cellStyle name="Normal 13 2 2 9" xfId="10090" xr:uid="{00000000-0005-0000-0000-000066640000}"/>
    <cellStyle name="Normal 13 2 2 9 2" xfId="24319" xr:uid="{00000000-0005-0000-0000-000067640000}"/>
    <cellStyle name="Normal 13 2 3" xfId="6688" xr:uid="{00000000-0005-0000-0000-000068640000}"/>
    <cellStyle name="Normal 13 2 3 2" xfId="6689" xr:uid="{00000000-0005-0000-0000-000069640000}"/>
    <cellStyle name="Normal 13 2 3 2 2" xfId="6690" xr:uid="{00000000-0005-0000-0000-00006A640000}"/>
    <cellStyle name="Normal 13 2 3 2 2 2" xfId="6691" xr:uid="{00000000-0005-0000-0000-00006B640000}"/>
    <cellStyle name="Normal 13 2 3 2 2 2 2" xfId="16929" xr:uid="{00000000-0005-0000-0000-00006C640000}"/>
    <cellStyle name="Normal 13 2 3 2 2 2 2 2" xfId="30336" xr:uid="{00000000-0005-0000-0000-00006D640000}"/>
    <cellStyle name="Normal 13 2 3 2 2 2 3" xfId="31013" xr:uid="{00000000-0005-0000-0000-00006E640000}"/>
    <cellStyle name="Normal 13 2 3 2 2 3" xfId="11475" xr:uid="{00000000-0005-0000-0000-00006F640000}"/>
    <cellStyle name="Normal 13 2 3 2 2 3 2" xfId="25307" xr:uid="{00000000-0005-0000-0000-000070640000}"/>
    <cellStyle name="Normal 13 2 3 2 2 4" xfId="31012" xr:uid="{00000000-0005-0000-0000-000071640000}"/>
    <cellStyle name="Normal 13 2 3 2 3" xfId="6692" xr:uid="{00000000-0005-0000-0000-000072640000}"/>
    <cellStyle name="Normal 13 2 3 2 3 2" xfId="12317" xr:uid="{00000000-0005-0000-0000-000073640000}"/>
    <cellStyle name="Normal 13 2 3 2 3 2 2" xfId="26029" xr:uid="{00000000-0005-0000-0000-000074640000}"/>
    <cellStyle name="Normal 13 2 3 2 3 3" xfId="31014" xr:uid="{00000000-0005-0000-0000-000075640000}"/>
    <cellStyle name="Normal 13 2 3 2 4" xfId="6693" xr:uid="{00000000-0005-0000-0000-000076640000}"/>
    <cellStyle name="Normal 13 2 3 2 4 2" xfId="13881" xr:uid="{00000000-0005-0000-0000-000077640000}"/>
    <cellStyle name="Normal 13 2 3 2 4 2 2" xfId="27430" xr:uid="{00000000-0005-0000-0000-000078640000}"/>
    <cellStyle name="Normal 13 2 3 2 4 3" xfId="31015" xr:uid="{00000000-0005-0000-0000-000079640000}"/>
    <cellStyle name="Normal 13 2 3 2 5" xfId="6694" xr:uid="{00000000-0005-0000-0000-00007A640000}"/>
    <cellStyle name="Normal 13 2 3 2 5 2" xfId="14462" xr:uid="{00000000-0005-0000-0000-00007B640000}"/>
    <cellStyle name="Normal 13 2 3 2 5 2 2" xfId="28011" xr:uid="{00000000-0005-0000-0000-00007C640000}"/>
    <cellStyle name="Normal 13 2 3 2 5 3" xfId="31016" xr:uid="{00000000-0005-0000-0000-00007D640000}"/>
    <cellStyle name="Normal 13 2 3 2 6" xfId="6695" xr:uid="{00000000-0005-0000-0000-00007E640000}"/>
    <cellStyle name="Normal 13 2 3 2 6 2" xfId="16348" xr:uid="{00000000-0005-0000-0000-00007F640000}"/>
    <cellStyle name="Normal 13 2 3 2 6 2 2" xfId="29755" xr:uid="{00000000-0005-0000-0000-000080640000}"/>
    <cellStyle name="Normal 13 2 3 2 6 3" xfId="31017" xr:uid="{00000000-0005-0000-0000-000081640000}"/>
    <cellStyle name="Normal 13 2 3 2 7" xfId="10095" xr:uid="{00000000-0005-0000-0000-000082640000}"/>
    <cellStyle name="Normal 13 2 3 2 7 2" xfId="24324" xr:uid="{00000000-0005-0000-0000-000083640000}"/>
    <cellStyle name="Normal 13 2 3 2 8" xfId="31011" xr:uid="{00000000-0005-0000-0000-000084640000}"/>
    <cellStyle name="Normal 13 2 3 3" xfId="6696" xr:uid="{00000000-0005-0000-0000-000085640000}"/>
    <cellStyle name="Normal 13 2 3 3 2" xfId="6697" xr:uid="{00000000-0005-0000-0000-000086640000}"/>
    <cellStyle name="Normal 13 2 3 3 2 2" xfId="16640" xr:uid="{00000000-0005-0000-0000-000087640000}"/>
    <cellStyle name="Normal 13 2 3 3 2 2 2" xfId="30047" xr:uid="{00000000-0005-0000-0000-000088640000}"/>
    <cellStyle name="Normal 13 2 3 3 2 3" xfId="31019" xr:uid="{00000000-0005-0000-0000-000089640000}"/>
    <cellStyle name="Normal 13 2 3 3 3" xfId="11474" xr:uid="{00000000-0005-0000-0000-00008A640000}"/>
    <cellStyle name="Normal 13 2 3 3 3 2" xfId="25306" xr:uid="{00000000-0005-0000-0000-00008B640000}"/>
    <cellStyle name="Normal 13 2 3 3 4" xfId="31018" xr:uid="{00000000-0005-0000-0000-00008C640000}"/>
    <cellStyle name="Normal 13 2 3 4" xfId="6698" xr:uid="{00000000-0005-0000-0000-00008D640000}"/>
    <cellStyle name="Normal 13 2 3 4 2" xfId="12017" xr:uid="{00000000-0005-0000-0000-00008E640000}"/>
    <cellStyle name="Normal 13 2 3 4 2 2" xfId="25732" xr:uid="{00000000-0005-0000-0000-00008F640000}"/>
    <cellStyle name="Normal 13 2 3 4 3" xfId="31020" xr:uid="{00000000-0005-0000-0000-000090640000}"/>
    <cellStyle name="Normal 13 2 3 5" xfId="6699" xr:uid="{00000000-0005-0000-0000-000091640000}"/>
    <cellStyle name="Normal 13 2 3 5 2" xfId="13592" xr:uid="{00000000-0005-0000-0000-000092640000}"/>
    <cellStyle name="Normal 13 2 3 5 2 2" xfId="27141" xr:uid="{00000000-0005-0000-0000-000093640000}"/>
    <cellStyle name="Normal 13 2 3 5 3" xfId="31021" xr:uid="{00000000-0005-0000-0000-000094640000}"/>
    <cellStyle name="Normal 13 2 3 6" xfId="6700" xr:uid="{00000000-0005-0000-0000-000095640000}"/>
    <cellStyle name="Normal 13 2 3 6 2" xfId="14173" xr:uid="{00000000-0005-0000-0000-000096640000}"/>
    <cellStyle name="Normal 13 2 3 6 2 2" xfId="27722" xr:uid="{00000000-0005-0000-0000-000097640000}"/>
    <cellStyle name="Normal 13 2 3 6 3" xfId="31022" xr:uid="{00000000-0005-0000-0000-000098640000}"/>
    <cellStyle name="Normal 13 2 3 7" xfId="6701" xr:uid="{00000000-0005-0000-0000-000099640000}"/>
    <cellStyle name="Normal 13 2 3 7 2" xfId="16059" xr:uid="{00000000-0005-0000-0000-00009A640000}"/>
    <cellStyle name="Normal 13 2 3 7 2 2" xfId="29466" xr:uid="{00000000-0005-0000-0000-00009B640000}"/>
    <cellStyle name="Normal 13 2 3 7 3" xfId="31023" xr:uid="{00000000-0005-0000-0000-00009C640000}"/>
    <cellStyle name="Normal 13 2 3 8" xfId="10094" xr:uid="{00000000-0005-0000-0000-00009D640000}"/>
    <cellStyle name="Normal 13 2 3 8 2" xfId="24323" xr:uid="{00000000-0005-0000-0000-00009E640000}"/>
    <cellStyle name="Normal 13 2 3 9" xfId="31010" xr:uid="{00000000-0005-0000-0000-00009F640000}"/>
    <cellStyle name="Normal 13 2 4" xfId="6702" xr:uid="{00000000-0005-0000-0000-0000A0640000}"/>
    <cellStyle name="Normal 13 2 4 2" xfId="6703" xr:uid="{00000000-0005-0000-0000-0000A1640000}"/>
    <cellStyle name="Normal 13 2 4 2 2" xfId="6704" xr:uid="{00000000-0005-0000-0000-0000A2640000}"/>
    <cellStyle name="Normal 13 2 4 2 2 2" xfId="16786" xr:uid="{00000000-0005-0000-0000-0000A3640000}"/>
    <cellStyle name="Normal 13 2 4 2 2 2 2" xfId="30193" xr:uid="{00000000-0005-0000-0000-0000A4640000}"/>
    <cellStyle name="Normal 13 2 4 2 2 3" xfId="31026" xr:uid="{00000000-0005-0000-0000-0000A5640000}"/>
    <cellStyle name="Normal 13 2 4 2 3" xfId="11476" xr:uid="{00000000-0005-0000-0000-0000A6640000}"/>
    <cellStyle name="Normal 13 2 4 2 3 2" xfId="25308" xr:uid="{00000000-0005-0000-0000-0000A7640000}"/>
    <cellStyle name="Normal 13 2 4 2 4" xfId="31025" xr:uid="{00000000-0005-0000-0000-0000A8640000}"/>
    <cellStyle name="Normal 13 2 4 3" xfId="6705" xr:uid="{00000000-0005-0000-0000-0000A9640000}"/>
    <cellStyle name="Normal 13 2 4 3 2" xfId="12174" xr:uid="{00000000-0005-0000-0000-0000AA640000}"/>
    <cellStyle name="Normal 13 2 4 3 2 2" xfId="25886" xr:uid="{00000000-0005-0000-0000-0000AB640000}"/>
    <cellStyle name="Normal 13 2 4 3 3" xfId="31027" xr:uid="{00000000-0005-0000-0000-0000AC640000}"/>
    <cellStyle name="Normal 13 2 4 4" xfId="6706" xr:uid="{00000000-0005-0000-0000-0000AD640000}"/>
    <cellStyle name="Normal 13 2 4 4 2" xfId="13738" xr:uid="{00000000-0005-0000-0000-0000AE640000}"/>
    <cellStyle name="Normal 13 2 4 4 2 2" xfId="27287" xr:uid="{00000000-0005-0000-0000-0000AF640000}"/>
    <cellStyle name="Normal 13 2 4 4 3" xfId="31028" xr:uid="{00000000-0005-0000-0000-0000B0640000}"/>
    <cellStyle name="Normal 13 2 4 5" xfId="6707" xr:uid="{00000000-0005-0000-0000-0000B1640000}"/>
    <cellStyle name="Normal 13 2 4 5 2" xfId="14319" xr:uid="{00000000-0005-0000-0000-0000B2640000}"/>
    <cellStyle name="Normal 13 2 4 5 2 2" xfId="27868" xr:uid="{00000000-0005-0000-0000-0000B3640000}"/>
    <cellStyle name="Normal 13 2 4 5 3" xfId="31029" xr:uid="{00000000-0005-0000-0000-0000B4640000}"/>
    <cellStyle name="Normal 13 2 4 6" xfId="6708" xr:uid="{00000000-0005-0000-0000-0000B5640000}"/>
    <cellStyle name="Normal 13 2 4 6 2" xfId="16205" xr:uid="{00000000-0005-0000-0000-0000B6640000}"/>
    <cellStyle name="Normal 13 2 4 6 2 2" xfId="29612" xr:uid="{00000000-0005-0000-0000-0000B7640000}"/>
    <cellStyle name="Normal 13 2 4 6 3" xfId="31030" xr:uid="{00000000-0005-0000-0000-0000B8640000}"/>
    <cellStyle name="Normal 13 2 4 7" xfId="10096" xr:uid="{00000000-0005-0000-0000-0000B9640000}"/>
    <cellStyle name="Normal 13 2 4 7 2" xfId="24325" xr:uid="{00000000-0005-0000-0000-0000BA640000}"/>
    <cellStyle name="Normal 13 2 4 8" xfId="31024" xr:uid="{00000000-0005-0000-0000-0000BB640000}"/>
    <cellStyle name="Normal 13 2 5" xfId="6709" xr:uid="{00000000-0005-0000-0000-0000BC640000}"/>
    <cellStyle name="Normal 13 2 5 2" xfId="6710" xr:uid="{00000000-0005-0000-0000-0000BD640000}"/>
    <cellStyle name="Normal 13 2 5 2 2" xfId="13240" xr:uid="{00000000-0005-0000-0000-0000BE640000}"/>
    <cellStyle name="Normal 13 2 5 2 2 2" xfId="26885" xr:uid="{00000000-0005-0000-0000-0000BF640000}"/>
    <cellStyle name="Normal 13 2 5 2 3" xfId="31032" xr:uid="{00000000-0005-0000-0000-0000C0640000}"/>
    <cellStyle name="Normal 13 2 5 3" xfId="6711" xr:uid="{00000000-0005-0000-0000-0000C1640000}"/>
    <cellStyle name="Normal 13 2 5 3 2" xfId="15691" xr:uid="{00000000-0005-0000-0000-0000C2640000}"/>
    <cellStyle name="Normal 13 2 5 3 2 2" xfId="29177" xr:uid="{00000000-0005-0000-0000-0000C3640000}"/>
    <cellStyle name="Normal 13 2 5 3 3" xfId="31033" xr:uid="{00000000-0005-0000-0000-0000C4640000}"/>
    <cellStyle name="Normal 13 2 5 4" xfId="6712" xr:uid="{00000000-0005-0000-0000-0000C5640000}"/>
    <cellStyle name="Normal 13 2 5 4 2" xfId="17037" xr:uid="{00000000-0005-0000-0000-0000C6640000}"/>
    <cellStyle name="Normal 13 2 5 4 2 2" xfId="30440" xr:uid="{00000000-0005-0000-0000-0000C7640000}"/>
    <cellStyle name="Normal 13 2 5 4 3" xfId="31034" xr:uid="{00000000-0005-0000-0000-0000C8640000}"/>
    <cellStyle name="Normal 13 2 5 5" xfId="10542" xr:uid="{00000000-0005-0000-0000-0000C9640000}"/>
    <cellStyle name="Normal 13 2 5 5 2" xfId="24484" xr:uid="{00000000-0005-0000-0000-0000CA640000}"/>
    <cellStyle name="Normal 13 2 5 6" xfId="31031" xr:uid="{00000000-0005-0000-0000-0000CB640000}"/>
    <cellStyle name="Normal 13 2 6" xfId="6713" xr:uid="{00000000-0005-0000-0000-0000CC640000}"/>
    <cellStyle name="Normal 13 2 6 2" xfId="6714" xr:uid="{00000000-0005-0000-0000-0000CD640000}"/>
    <cellStyle name="Normal 13 2 6 2 2" xfId="13241" xr:uid="{00000000-0005-0000-0000-0000CE640000}"/>
    <cellStyle name="Normal 13 2 6 2 2 2" xfId="26886" xr:uid="{00000000-0005-0000-0000-0000CF640000}"/>
    <cellStyle name="Normal 13 2 6 2 3" xfId="31036" xr:uid="{00000000-0005-0000-0000-0000D0640000}"/>
    <cellStyle name="Normal 13 2 6 3" xfId="6715" xr:uid="{00000000-0005-0000-0000-0000D1640000}"/>
    <cellStyle name="Normal 13 2 6 3 2" xfId="15692" xr:uid="{00000000-0005-0000-0000-0000D2640000}"/>
    <cellStyle name="Normal 13 2 6 3 2 2" xfId="29178" xr:uid="{00000000-0005-0000-0000-0000D3640000}"/>
    <cellStyle name="Normal 13 2 6 3 3" xfId="31037" xr:uid="{00000000-0005-0000-0000-0000D4640000}"/>
    <cellStyle name="Normal 13 2 6 4" xfId="6716" xr:uid="{00000000-0005-0000-0000-0000D5640000}"/>
    <cellStyle name="Normal 13 2 6 4 2" xfId="17133" xr:uid="{00000000-0005-0000-0000-0000D6640000}"/>
    <cellStyle name="Normal 13 2 6 4 2 2" xfId="30492" xr:uid="{00000000-0005-0000-0000-0000D7640000}"/>
    <cellStyle name="Normal 13 2 6 4 3" xfId="31038" xr:uid="{00000000-0005-0000-0000-0000D8640000}"/>
    <cellStyle name="Normal 13 2 6 5" xfId="11469" xr:uid="{00000000-0005-0000-0000-0000D9640000}"/>
    <cellStyle name="Normal 13 2 6 5 2" xfId="25301" xr:uid="{00000000-0005-0000-0000-0000DA640000}"/>
    <cellStyle name="Normal 13 2 6 6" xfId="31035" xr:uid="{00000000-0005-0000-0000-0000DB640000}"/>
    <cellStyle name="Normal 13 2 7" xfId="6717" xr:uid="{00000000-0005-0000-0000-0000DC640000}"/>
    <cellStyle name="Normal 13 2 7 2" xfId="6718" xr:uid="{00000000-0005-0000-0000-0000DD640000}"/>
    <cellStyle name="Normal 13 2 7 2 2" xfId="17222" xr:uid="{00000000-0005-0000-0000-0000DE640000}"/>
    <cellStyle name="Normal 13 2 7 2 2 2" xfId="30581" xr:uid="{00000000-0005-0000-0000-0000DF640000}"/>
    <cellStyle name="Normal 13 2 7 2 3" xfId="31040" xr:uid="{00000000-0005-0000-0000-0000E0640000}"/>
    <cellStyle name="Normal 13 2 7 3" xfId="11859" xr:uid="{00000000-0005-0000-0000-0000E1640000}"/>
    <cellStyle name="Normal 13 2 7 3 2" xfId="25574" xr:uid="{00000000-0005-0000-0000-0000E2640000}"/>
    <cellStyle name="Normal 13 2 7 4" xfId="31039" xr:uid="{00000000-0005-0000-0000-0000E3640000}"/>
    <cellStyle name="Normal 13 2 8" xfId="6719" xr:uid="{00000000-0005-0000-0000-0000E4640000}"/>
    <cellStyle name="Normal 13 2 8 2" xfId="6720" xr:uid="{00000000-0005-0000-0000-0000E5640000}"/>
    <cellStyle name="Normal 13 2 8 2 2" xfId="16497" xr:uid="{00000000-0005-0000-0000-0000E6640000}"/>
    <cellStyle name="Normal 13 2 8 2 2 2" xfId="29904" xr:uid="{00000000-0005-0000-0000-0000E7640000}"/>
    <cellStyle name="Normal 13 2 8 2 3" xfId="31042" xr:uid="{00000000-0005-0000-0000-0000E8640000}"/>
    <cellStyle name="Normal 13 2 8 3" xfId="13449" xr:uid="{00000000-0005-0000-0000-0000E9640000}"/>
    <cellStyle name="Normal 13 2 8 3 2" xfId="26998" xr:uid="{00000000-0005-0000-0000-0000EA640000}"/>
    <cellStyle name="Normal 13 2 8 4" xfId="31041" xr:uid="{00000000-0005-0000-0000-0000EB640000}"/>
    <cellStyle name="Normal 13 2 9" xfId="6721" xr:uid="{00000000-0005-0000-0000-0000EC640000}"/>
    <cellStyle name="Normal 13 2 9 2" xfId="14030" xr:uid="{00000000-0005-0000-0000-0000ED640000}"/>
    <cellStyle name="Normal 13 2 9 2 2" xfId="27579" xr:uid="{00000000-0005-0000-0000-0000EE640000}"/>
    <cellStyle name="Normal 13 2 9 3" xfId="31043" xr:uid="{00000000-0005-0000-0000-0000EF640000}"/>
    <cellStyle name="Normal 13 3" xfId="6722" xr:uid="{00000000-0005-0000-0000-0000F0640000}"/>
    <cellStyle name="Normal 13 3 10" xfId="31044" xr:uid="{00000000-0005-0000-0000-0000F1640000}"/>
    <cellStyle name="Normal 13 3 2" xfId="6723" xr:uid="{00000000-0005-0000-0000-0000F2640000}"/>
    <cellStyle name="Normal 13 3 2 2" xfId="6724" xr:uid="{00000000-0005-0000-0000-0000F3640000}"/>
    <cellStyle name="Normal 13 3 2 2 2" xfId="6725" xr:uid="{00000000-0005-0000-0000-0000F4640000}"/>
    <cellStyle name="Normal 13 3 2 2 2 2" xfId="6726" xr:uid="{00000000-0005-0000-0000-0000F5640000}"/>
    <cellStyle name="Normal 13 3 2 2 2 2 2" xfId="16952" xr:uid="{00000000-0005-0000-0000-0000F6640000}"/>
    <cellStyle name="Normal 13 3 2 2 2 2 2 2" xfId="30359" xr:uid="{00000000-0005-0000-0000-0000F7640000}"/>
    <cellStyle name="Normal 13 3 2 2 2 2 3" xfId="31048" xr:uid="{00000000-0005-0000-0000-0000F8640000}"/>
    <cellStyle name="Normal 13 3 2 2 2 3" xfId="11479" xr:uid="{00000000-0005-0000-0000-0000F9640000}"/>
    <cellStyle name="Normal 13 3 2 2 2 3 2" xfId="25311" xr:uid="{00000000-0005-0000-0000-0000FA640000}"/>
    <cellStyle name="Normal 13 3 2 2 2 4" xfId="31047" xr:uid="{00000000-0005-0000-0000-0000FB640000}"/>
    <cellStyle name="Normal 13 3 2 2 3" xfId="6727" xr:uid="{00000000-0005-0000-0000-0000FC640000}"/>
    <cellStyle name="Normal 13 3 2 2 3 2" xfId="12340" xr:uid="{00000000-0005-0000-0000-0000FD640000}"/>
    <cellStyle name="Normal 13 3 2 2 3 2 2" xfId="26052" xr:uid="{00000000-0005-0000-0000-0000FE640000}"/>
    <cellStyle name="Normal 13 3 2 2 3 3" xfId="31049" xr:uid="{00000000-0005-0000-0000-0000FF640000}"/>
    <cellStyle name="Normal 13 3 2 2 4" xfId="6728" xr:uid="{00000000-0005-0000-0000-000000650000}"/>
    <cellStyle name="Normal 13 3 2 2 4 2" xfId="13904" xr:uid="{00000000-0005-0000-0000-000001650000}"/>
    <cellStyle name="Normal 13 3 2 2 4 2 2" xfId="27453" xr:uid="{00000000-0005-0000-0000-000002650000}"/>
    <cellStyle name="Normal 13 3 2 2 4 3" xfId="31050" xr:uid="{00000000-0005-0000-0000-000003650000}"/>
    <cellStyle name="Normal 13 3 2 2 5" xfId="6729" xr:uid="{00000000-0005-0000-0000-000004650000}"/>
    <cellStyle name="Normal 13 3 2 2 5 2" xfId="14485" xr:uid="{00000000-0005-0000-0000-000005650000}"/>
    <cellStyle name="Normal 13 3 2 2 5 2 2" xfId="28034" xr:uid="{00000000-0005-0000-0000-000006650000}"/>
    <cellStyle name="Normal 13 3 2 2 5 3" xfId="31051" xr:uid="{00000000-0005-0000-0000-000007650000}"/>
    <cellStyle name="Normal 13 3 2 2 6" xfId="6730" xr:uid="{00000000-0005-0000-0000-000008650000}"/>
    <cellStyle name="Normal 13 3 2 2 6 2" xfId="16371" xr:uid="{00000000-0005-0000-0000-000009650000}"/>
    <cellStyle name="Normal 13 3 2 2 6 2 2" xfId="29778" xr:uid="{00000000-0005-0000-0000-00000A650000}"/>
    <cellStyle name="Normal 13 3 2 2 6 3" xfId="31052" xr:uid="{00000000-0005-0000-0000-00000B650000}"/>
    <cellStyle name="Normal 13 3 2 2 7" xfId="10099" xr:uid="{00000000-0005-0000-0000-00000C650000}"/>
    <cellStyle name="Normal 13 3 2 2 7 2" xfId="24328" xr:uid="{00000000-0005-0000-0000-00000D650000}"/>
    <cellStyle name="Normal 13 3 2 2 8" xfId="31046" xr:uid="{00000000-0005-0000-0000-00000E650000}"/>
    <cellStyle name="Normal 13 3 2 3" xfId="6731" xr:uid="{00000000-0005-0000-0000-00000F650000}"/>
    <cellStyle name="Normal 13 3 2 3 2" xfId="6732" xr:uid="{00000000-0005-0000-0000-000010650000}"/>
    <cellStyle name="Normal 13 3 2 3 2 2" xfId="16663" xr:uid="{00000000-0005-0000-0000-000011650000}"/>
    <cellStyle name="Normal 13 3 2 3 2 2 2" xfId="30070" xr:uid="{00000000-0005-0000-0000-000012650000}"/>
    <cellStyle name="Normal 13 3 2 3 2 3" xfId="31054" xr:uid="{00000000-0005-0000-0000-000013650000}"/>
    <cellStyle name="Normal 13 3 2 3 3" xfId="11478" xr:uid="{00000000-0005-0000-0000-000014650000}"/>
    <cellStyle name="Normal 13 3 2 3 3 2" xfId="25310" xr:uid="{00000000-0005-0000-0000-000015650000}"/>
    <cellStyle name="Normal 13 3 2 3 4" xfId="31053" xr:uid="{00000000-0005-0000-0000-000016650000}"/>
    <cellStyle name="Normal 13 3 2 4" xfId="6733" xr:uid="{00000000-0005-0000-0000-000017650000}"/>
    <cellStyle name="Normal 13 3 2 4 2" xfId="12040" xr:uid="{00000000-0005-0000-0000-000018650000}"/>
    <cellStyle name="Normal 13 3 2 4 2 2" xfId="25755" xr:uid="{00000000-0005-0000-0000-000019650000}"/>
    <cellStyle name="Normal 13 3 2 4 3" xfId="31055" xr:uid="{00000000-0005-0000-0000-00001A650000}"/>
    <cellStyle name="Normal 13 3 2 5" xfId="6734" xr:uid="{00000000-0005-0000-0000-00001B650000}"/>
    <cellStyle name="Normal 13 3 2 5 2" xfId="13615" xr:uid="{00000000-0005-0000-0000-00001C650000}"/>
    <cellStyle name="Normal 13 3 2 5 2 2" xfId="27164" xr:uid="{00000000-0005-0000-0000-00001D650000}"/>
    <cellStyle name="Normal 13 3 2 5 3" xfId="31056" xr:uid="{00000000-0005-0000-0000-00001E650000}"/>
    <cellStyle name="Normal 13 3 2 6" xfId="6735" xr:uid="{00000000-0005-0000-0000-00001F650000}"/>
    <cellStyle name="Normal 13 3 2 6 2" xfId="14196" xr:uid="{00000000-0005-0000-0000-000020650000}"/>
    <cellStyle name="Normal 13 3 2 6 2 2" xfId="27745" xr:uid="{00000000-0005-0000-0000-000021650000}"/>
    <cellStyle name="Normal 13 3 2 6 3" xfId="31057" xr:uid="{00000000-0005-0000-0000-000022650000}"/>
    <cellStyle name="Normal 13 3 2 7" xfId="6736" xr:uid="{00000000-0005-0000-0000-000023650000}"/>
    <cellStyle name="Normal 13 3 2 7 2" xfId="16082" xr:uid="{00000000-0005-0000-0000-000024650000}"/>
    <cellStyle name="Normal 13 3 2 7 2 2" xfId="29489" xr:uid="{00000000-0005-0000-0000-000025650000}"/>
    <cellStyle name="Normal 13 3 2 7 3" xfId="31058" xr:uid="{00000000-0005-0000-0000-000026650000}"/>
    <cellStyle name="Normal 13 3 2 8" xfId="10098" xr:uid="{00000000-0005-0000-0000-000027650000}"/>
    <cellStyle name="Normal 13 3 2 8 2" xfId="24327" xr:uid="{00000000-0005-0000-0000-000028650000}"/>
    <cellStyle name="Normal 13 3 2 9" xfId="31045" xr:uid="{00000000-0005-0000-0000-000029650000}"/>
    <cellStyle name="Normal 13 3 3" xfId="6737" xr:uid="{00000000-0005-0000-0000-00002A650000}"/>
    <cellStyle name="Normal 13 3 3 2" xfId="6738" xr:uid="{00000000-0005-0000-0000-00002B650000}"/>
    <cellStyle name="Normal 13 3 3 2 2" xfId="6739" xr:uid="{00000000-0005-0000-0000-00002C650000}"/>
    <cellStyle name="Normal 13 3 3 2 2 2" xfId="16809" xr:uid="{00000000-0005-0000-0000-00002D650000}"/>
    <cellStyle name="Normal 13 3 3 2 2 2 2" xfId="30216" xr:uid="{00000000-0005-0000-0000-00002E650000}"/>
    <cellStyle name="Normal 13 3 3 2 2 3" xfId="31061" xr:uid="{00000000-0005-0000-0000-00002F650000}"/>
    <cellStyle name="Normal 13 3 3 2 3" xfId="11480" xr:uid="{00000000-0005-0000-0000-000030650000}"/>
    <cellStyle name="Normal 13 3 3 2 3 2" xfId="25312" xr:uid="{00000000-0005-0000-0000-000031650000}"/>
    <cellStyle name="Normal 13 3 3 2 4" xfId="31060" xr:uid="{00000000-0005-0000-0000-000032650000}"/>
    <cellStyle name="Normal 13 3 3 3" xfId="6740" xr:uid="{00000000-0005-0000-0000-000033650000}"/>
    <cellStyle name="Normal 13 3 3 3 2" xfId="12197" xr:uid="{00000000-0005-0000-0000-000034650000}"/>
    <cellStyle name="Normal 13 3 3 3 2 2" xfId="25909" xr:uid="{00000000-0005-0000-0000-000035650000}"/>
    <cellStyle name="Normal 13 3 3 3 3" xfId="31062" xr:uid="{00000000-0005-0000-0000-000036650000}"/>
    <cellStyle name="Normal 13 3 3 4" xfId="6741" xr:uid="{00000000-0005-0000-0000-000037650000}"/>
    <cellStyle name="Normal 13 3 3 4 2" xfId="13761" xr:uid="{00000000-0005-0000-0000-000038650000}"/>
    <cellStyle name="Normal 13 3 3 4 2 2" xfId="27310" xr:uid="{00000000-0005-0000-0000-000039650000}"/>
    <cellStyle name="Normal 13 3 3 4 3" xfId="31063" xr:uid="{00000000-0005-0000-0000-00003A650000}"/>
    <cellStyle name="Normal 13 3 3 5" xfId="6742" xr:uid="{00000000-0005-0000-0000-00003B650000}"/>
    <cellStyle name="Normal 13 3 3 5 2" xfId="14342" xr:uid="{00000000-0005-0000-0000-00003C650000}"/>
    <cellStyle name="Normal 13 3 3 5 2 2" xfId="27891" xr:uid="{00000000-0005-0000-0000-00003D650000}"/>
    <cellStyle name="Normal 13 3 3 5 3" xfId="31064" xr:uid="{00000000-0005-0000-0000-00003E650000}"/>
    <cellStyle name="Normal 13 3 3 6" xfId="6743" xr:uid="{00000000-0005-0000-0000-00003F650000}"/>
    <cellStyle name="Normal 13 3 3 6 2" xfId="16228" xr:uid="{00000000-0005-0000-0000-000040650000}"/>
    <cellStyle name="Normal 13 3 3 6 2 2" xfId="29635" xr:uid="{00000000-0005-0000-0000-000041650000}"/>
    <cellStyle name="Normal 13 3 3 6 3" xfId="31065" xr:uid="{00000000-0005-0000-0000-000042650000}"/>
    <cellStyle name="Normal 13 3 3 7" xfId="10100" xr:uid="{00000000-0005-0000-0000-000043650000}"/>
    <cellStyle name="Normal 13 3 3 7 2" xfId="24329" xr:uid="{00000000-0005-0000-0000-000044650000}"/>
    <cellStyle name="Normal 13 3 3 8" xfId="31059" xr:uid="{00000000-0005-0000-0000-000045650000}"/>
    <cellStyle name="Normal 13 3 4" xfId="6744" xr:uid="{00000000-0005-0000-0000-000046650000}"/>
    <cellStyle name="Normal 13 3 4 2" xfId="6745" xr:uid="{00000000-0005-0000-0000-000047650000}"/>
    <cellStyle name="Normal 13 3 4 2 2" xfId="17156" xr:uid="{00000000-0005-0000-0000-000048650000}"/>
    <cellStyle name="Normal 13 3 4 2 2 2" xfId="30515" xr:uid="{00000000-0005-0000-0000-000049650000}"/>
    <cellStyle name="Normal 13 3 4 2 3" xfId="31067" xr:uid="{00000000-0005-0000-0000-00004A650000}"/>
    <cellStyle name="Normal 13 3 4 3" xfId="11477" xr:uid="{00000000-0005-0000-0000-00004B650000}"/>
    <cellStyle name="Normal 13 3 4 3 2" xfId="25309" xr:uid="{00000000-0005-0000-0000-00004C650000}"/>
    <cellStyle name="Normal 13 3 4 4" xfId="31066" xr:uid="{00000000-0005-0000-0000-00004D650000}"/>
    <cellStyle name="Normal 13 3 5" xfId="6746" xr:uid="{00000000-0005-0000-0000-00004E650000}"/>
    <cellStyle name="Normal 13 3 5 2" xfId="6747" xr:uid="{00000000-0005-0000-0000-00004F650000}"/>
    <cellStyle name="Normal 13 3 5 2 2" xfId="17245" xr:uid="{00000000-0005-0000-0000-000050650000}"/>
    <cellStyle name="Normal 13 3 5 2 2 2" xfId="30604" xr:uid="{00000000-0005-0000-0000-000051650000}"/>
    <cellStyle name="Normal 13 3 5 2 3" xfId="31069" xr:uid="{00000000-0005-0000-0000-000052650000}"/>
    <cellStyle name="Normal 13 3 5 3" xfId="11895" xr:uid="{00000000-0005-0000-0000-000053650000}"/>
    <cellStyle name="Normal 13 3 5 3 2" xfId="25610" xr:uid="{00000000-0005-0000-0000-000054650000}"/>
    <cellStyle name="Normal 13 3 5 4" xfId="31068" xr:uid="{00000000-0005-0000-0000-000055650000}"/>
    <cellStyle name="Normal 13 3 6" xfId="6748" xr:uid="{00000000-0005-0000-0000-000056650000}"/>
    <cellStyle name="Normal 13 3 6 2" xfId="6749" xr:uid="{00000000-0005-0000-0000-000057650000}"/>
    <cellStyle name="Normal 13 3 6 2 2" xfId="16520" xr:uid="{00000000-0005-0000-0000-000058650000}"/>
    <cellStyle name="Normal 13 3 6 2 2 2" xfId="29927" xr:uid="{00000000-0005-0000-0000-000059650000}"/>
    <cellStyle name="Normal 13 3 6 2 3" xfId="31071" xr:uid="{00000000-0005-0000-0000-00005A650000}"/>
    <cellStyle name="Normal 13 3 6 3" xfId="13472" xr:uid="{00000000-0005-0000-0000-00005B650000}"/>
    <cellStyle name="Normal 13 3 6 3 2" xfId="27021" xr:uid="{00000000-0005-0000-0000-00005C650000}"/>
    <cellStyle name="Normal 13 3 6 4" xfId="31070" xr:uid="{00000000-0005-0000-0000-00005D650000}"/>
    <cellStyle name="Normal 13 3 7" xfId="6750" xr:uid="{00000000-0005-0000-0000-00005E650000}"/>
    <cellStyle name="Normal 13 3 7 2" xfId="14053" xr:uid="{00000000-0005-0000-0000-00005F650000}"/>
    <cellStyle name="Normal 13 3 7 2 2" xfId="27602" xr:uid="{00000000-0005-0000-0000-000060650000}"/>
    <cellStyle name="Normal 13 3 7 3" xfId="31072" xr:uid="{00000000-0005-0000-0000-000061650000}"/>
    <cellStyle name="Normal 13 3 8" xfId="6751" xr:uid="{00000000-0005-0000-0000-000062650000}"/>
    <cellStyle name="Normal 13 3 8 2" xfId="15939" xr:uid="{00000000-0005-0000-0000-000063650000}"/>
    <cellStyle name="Normal 13 3 8 2 2" xfId="29346" xr:uid="{00000000-0005-0000-0000-000064650000}"/>
    <cellStyle name="Normal 13 3 8 3" xfId="31073" xr:uid="{00000000-0005-0000-0000-000065650000}"/>
    <cellStyle name="Normal 13 3 9" xfId="10097" xr:uid="{00000000-0005-0000-0000-000066650000}"/>
    <cellStyle name="Normal 13 3 9 2" xfId="24326" xr:uid="{00000000-0005-0000-0000-000067650000}"/>
    <cellStyle name="Normal 13 4" xfId="6752" xr:uid="{00000000-0005-0000-0000-000068650000}"/>
    <cellStyle name="Normal 13 4 10" xfId="31074" xr:uid="{00000000-0005-0000-0000-000069650000}"/>
    <cellStyle name="Normal 13 4 2" xfId="6753" xr:uid="{00000000-0005-0000-0000-00006A650000}"/>
    <cellStyle name="Normal 13 4 2 2" xfId="6754" xr:uid="{00000000-0005-0000-0000-00006B650000}"/>
    <cellStyle name="Normal 13 4 2 2 2" xfId="6755" xr:uid="{00000000-0005-0000-0000-00006C650000}"/>
    <cellStyle name="Normal 13 4 2 2 2 2" xfId="6756" xr:uid="{00000000-0005-0000-0000-00006D650000}"/>
    <cellStyle name="Normal 13 4 2 2 2 2 2" xfId="16906" xr:uid="{00000000-0005-0000-0000-00006E650000}"/>
    <cellStyle name="Normal 13 4 2 2 2 2 2 2" xfId="30313" xr:uid="{00000000-0005-0000-0000-00006F650000}"/>
    <cellStyle name="Normal 13 4 2 2 2 2 3" xfId="31078" xr:uid="{00000000-0005-0000-0000-000070650000}"/>
    <cellStyle name="Normal 13 4 2 2 2 3" xfId="11483" xr:uid="{00000000-0005-0000-0000-000071650000}"/>
    <cellStyle name="Normal 13 4 2 2 2 3 2" xfId="25315" xr:uid="{00000000-0005-0000-0000-000072650000}"/>
    <cellStyle name="Normal 13 4 2 2 2 4" xfId="31077" xr:uid="{00000000-0005-0000-0000-000073650000}"/>
    <cellStyle name="Normal 13 4 2 2 3" xfId="6757" xr:uid="{00000000-0005-0000-0000-000074650000}"/>
    <cellStyle name="Normal 13 4 2 2 3 2" xfId="12294" xr:uid="{00000000-0005-0000-0000-000075650000}"/>
    <cellStyle name="Normal 13 4 2 2 3 2 2" xfId="26006" xr:uid="{00000000-0005-0000-0000-000076650000}"/>
    <cellStyle name="Normal 13 4 2 2 3 3" xfId="31079" xr:uid="{00000000-0005-0000-0000-000077650000}"/>
    <cellStyle name="Normal 13 4 2 2 4" xfId="6758" xr:uid="{00000000-0005-0000-0000-000078650000}"/>
    <cellStyle name="Normal 13 4 2 2 4 2" xfId="13858" xr:uid="{00000000-0005-0000-0000-000079650000}"/>
    <cellStyle name="Normal 13 4 2 2 4 2 2" xfId="27407" xr:uid="{00000000-0005-0000-0000-00007A650000}"/>
    <cellStyle name="Normal 13 4 2 2 4 3" xfId="31080" xr:uid="{00000000-0005-0000-0000-00007B650000}"/>
    <cellStyle name="Normal 13 4 2 2 5" xfId="6759" xr:uid="{00000000-0005-0000-0000-00007C650000}"/>
    <cellStyle name="Normal 13 4 2 2 5 2" xfId="14439" xr:uid="{00000000-0005-0000-0000-00007D650000}"/>
    <cellStyle name="Normal 13 4 2 2 5 2 2" xfId="27988" xr:uid="{00000000-0005-0000-0000-00007E650000}"/>
    <cellStyle name="Normal 13 4 2 2 5 3" xfId="31081" xr:uid="{00000000-0005-0000-0000-00007F650000}"/>
    <cellStyle name="Normal 13 4 2 2 6" xfId="6760" xr:uid="{00000000-0005-0000-0000-000080650000}"/>
    <cellStyle name="Normal 13 4 2 2 6 2" xfId="16325" xr:uid="{00000000-0005-0000-0000-000081650000}"/>
    <cellStyle name="Normal 13 4 2 2 6 2 2" xfId="29732" xr:uid="{00000000-0005-0000-0000-000082650000}"/>
    <cellStyle name="Normal 13 4 2 2 6 3" xfId="31082" xr:uid="{00000000-0005-0000-0000-000083650000}"/>
    <cellStyle name="Normal 13 4 2 2 7" xfId="10103" xr:uid="{00000000-0005-0000-0000-000084650000}"/>
    <cellStyle name="Normal 13 4 2 2 7 2" xfId="24332" xr:uid="{00000000-0005-0000-0000-000085650000}"/>
    <cellStyle name="Normal 13 4 2 2 8" xfId="31076" xr:uid="{00000000-0005-0000-0000-000086650000}"/>
    <cellStyle name="Normal 13 4 2 3" xfId="6761" xr:uid="{00000000-0005-0000-0000-000087650000}"/>
    <cellStyle name="Normal 13 4 2 3 2" xfId="6762" xr:uid="{00000000-0005-0000-0000-000088650000}"/>
    <cellStyle name="Normal 13 4 2 3 2 2" xfId="16617" xr:uid="{00000000-0005-0000-0000-000089650000}"/>
    <cellStyle name="Normal 13 4 2 3 2 2 2" xfId="30024" xr:uid="{00000000-0005-0000-0000-00008A650000}"/>
    <cellStyle name="Normal 13 4 2 3 2 3" xfId="31084" xr:uid="{00000000-0005-0000-0000-00008B650000}"/>
    <cellStyle name="Normal 13 4 2 3 3" xfId="11482" xr:uid="{00000000-0005-0000-0000-00008C650000}"/>
    <cellStyle name="Normal 13 4 2 3 3 2" xfId="25314" xr:uid="{00000000-0005-0000-0000-00008D650000}"/>
    <cellStyle name="Normal 13 4 2 3 4" xfId="31083" xr:uid="{00000000-0005-0000-0000-00008E650000}"/>
    <cellStyle name="Normal 13 4 2 4" xfId="6763" xr:uid="{00000000-0005-0000-0000-00008F650000}"/>
    <cellStyle name="Normal 13 4 2 4 2" xfId="11994" xr:uid="{00000000-0005-0000-0000-000090650000}"/>
    <cellStyle name="Normal 13 4 2 4 2 2" xfId="25709" xr:uid="{00000000-0005-0000-0000-000091650000}"/>
    <cellStyle name="Normal 13 4 2 4 3" xfId="31085" xr:uid="{00000000-0005-0000-0000-000092650000}"/>
    <cellStyle name="Normal 13 4 2 5" xfId="6764" xr:uid="{00000000-0005-0000-0000-000093650000}"/>
    <cellStyle name="Normal 13 4 2 5 2" xfId="13569" xr:uid="{00000000-0005-0000-0000-000094650000}"/>
    <cellStyle name="Normal 13 4 2 5 2 2" xfId="27118" xr:uid="{00000000-0005-0000-0000-000095650000}"/>
    <cellStyle name="Normal 13 4 2 5 3" xfId="31086" xr:uid="{00000000-0005-0000-0000-000096650000}"/>
    <cellStyle name="Normal 13 4 2 6" xfId="6765" xr:uid="{00000000-0005-0000-0000-000097650000}"/>
    <cellStyle name="Normal 13 4 2 6 2" xfId="14150" xr:uid="{00000000-0005-0000-0000-000098650000}"/>
    <cellStyle name="Normal 13 4 2 6 2 2" xfId="27699" xr:uid="{00000000-0005-0000-0000-000099650000}"/>
    <cellStyle name="Normal 13 4 2 6 3" xfId="31087" xr:uid="{00000000-0005-0000-0000-00009A650000}"/>
    <cellStyle name="Normal 13 4 2 7" xfId="6766" xr:uid="{00000000-0005-0000-0000-00009B650000}"/>
    <cellStyle name="Normal 13 4 2 7 2" xfId="16036" xr:uid="{00000000-0005-0000-0000-00009C650000}"/>
    <cellStyle name="Normal 13 4 2 7 2 2" xfId="29443" xr:uid="{00000000-0005-0000-0000-00009D650000}"/>
    <cellStyle name="Normal 13 4 2 7 3" xfId="31088" xr:uid="{00000000-0005-0000-0000-00009E650000}"/>
    <cellStyle name="Normal 13 4 2 8" xfId="10102" xr:uid="{00000000-0005-0000-0000-00009F650000}"/>
    <cellStyle name="Normal 13 4 2 8 2" xfId="24331" xr:uid="{00000000-0005-0000-0000-0000A0650000}"/>
    <cellStyle name="Normal 13 4 2 9" xfId="31075" xr:uid="{00000000-0005-0000-0000-0000A1650000}"/>
    <cellStyle name="Normal 13 4 3" xfId="6767" xr:uid="{00000000-0005-0000-0000-0000A2650000}"/>
    <cellStyle name="Normal 13 4 3 2" xfId="6768" xr:uid="{00000000-0005-0000-0000-0000A3650000}"/>
    <cellStyle name="Normal 13 4 3 2 2" xfId="6769" xr:uid="{00000000-0005-0000-0000-0000A4650000}"/>
    <cellStyle name="Normal 13 4 3 2 2 2" xfId="16766" xr:uid="{00000000-0005-0000-0000-0000A5650000}"/>
    <cellStyle name="Normal 13 4 3 2 2 2 2" xfId="30173" xr:uid="{00000000-0005-0000-0000-0000A6650000}"/>
    <cellStyle name="Normal 13 4 3 2 2 3" xfId="31091" xr:uid="{00000000-0005-0000-0000-0000A7650000}"/>
    <cellStyle name="Normal 13 4 3 2 3" xfId="11484" xr:uid="{00000000-0005-0000-0000-0000A8650000}"/>
    <cellStyle name="Normal 13 4 3 2 3 2" xfId="25316" xr:uid="{00000000-0005-0000-0000-0000A9650000}"/>
    <cellStyle name="Normal 13 4 3 2 4" xfId="31090" xr:uid="{00000000-0005-0000-0000-0000AA650000}"/>
    <cellStyle name="Normal 13 4 3 3" xfId="6770" xr:uid="{00000000-0005-0000-0000-0000AB650000}"/>
    <cellStyle name="Normal 13 4 3 3 2" xfId="12154" xr:uid="{00000000-0005-0000-0000-0000AC650000}"/>
    <cellStyle name="Normal 13 4 3 3 2 2" xfId="25866" xr:uid="{00000000-0005-0000-0000-0000AD650000}"/>
    <cellStyle name="Normal 13 4 3 3 3" xfId="31092" xr:uid="{00000000-0005-0000-0000-0000AE650000}"/>
    <cellStyle name="Normal 13 4 3 4" xfId="6771" xr:uid="{00000000-0005-0000-0000-0000AF650000}"/>
    <cellStyle name="Normal 13 4 3 4 2" xfId="13718" xr:uid="{00000000-0005-0000-0000-0000B0650000}"/>
    <cellStyle name="Normal 13 4 3 4 2 2" xfId="27267" xr:uid="{00000000-0005-0000-0000-0000B1650000}"/>
    <cellStyle name="Normal 13 4 3 4 3" xfId="31093" xr:uid="{00000000-0005-0000-0000-0000B2650000}"/>
    <cellStyle name="Normal 13 4 3 5" xfId="6772" xr:uid="{00000000-0005-0000-0000-0000B3650000}"/>
    <cellStyle name="Normal 13 4 3 5 2" xfId="14299" xr:uid="{00000000-0005-0000-0000-0000B4650000}"/>
    <cellStyle name="Normal 13 4 3 5 2 2" xfId="27848" xr:uid="{00000000-0005-0000-0000-0000B5650000}"/>
    <cellStyle name="Normal 13 4 3 5 3" xfId="31094" xr:uid="{00000000-0005-0000-0000-0000B6650000}"/>
    <cellStyle name="Normal 13 4 3 6" xfId="6773" xr:uid="{00000000-0005-0000-0000-0000B7650000}"/>
    <cellStyle name="Normal 13 4 3 6 2" xfId="16185" xr:uid="{00000000-0005-0000-0000-0000B8650000}"/>
    <cellStyle name="Normal 13 4 3 6 2 2" xfId="29592" xr:uid="{00000000-0005-0000-0000-0000B9650000}"/>
    <cellStyle name="Normal 13 4 3 6 3" xfId="31095" xr:uid="{00000000-0005-0000-0000-0000BA650000}"/>
    <cellStyle name="Normal 13 4 3 7" xfId="10104" xr:uid="{00000000-0005-0000-0000-0000BB650000}"/>
    <cellStyle name="Normal 13 4 3 7 2" xfId="24333" xr:uid="{00000000-0005-0000-0000-0000BC650000}"/>
    <cellStyle name="Normal 13 4 3 8" xfId="31089" xr:uid="{00000000-0005-0000-0000-0000BD650000}"/>
    <cellStyle name="Normal 13 4 4" xfId="6774" xr:uid="{00000000-0005-0000-0000-0000BE650000}"/>
    <cellStyle name="Normal 13 4 4 2" xfId="6775" xr:uid="{00000000-0005-0000-0000-0000BF650000}"/>
    <cellStyle name="Normal 13 4 4 2 2" xfId="16474" xr:uid="{00000000-0005-0000-0000-0000C0650000}"/>
    <cellStyle name="Normal 13 4 4 2 2 2" xfId="29881" xr:uid="{00000000-0005-0000-0000-0000C1650000}"/>
    <cellStyle name="Normal 13 4 4 2 3" xfId="31097" xr:uid="{00000000-0005-0000-0000-0000C2650000}"/>
    <cellStyle name="Normal 13 4 4 3" xfId="11481" xr:uid="{00000000-0005-0000-0000-0000C3650000}"/>
    <cellStyle name="Normal 13 4 4 3 2" xfId="25313" xr:uid="{00000000-0005-0000-0000-0000C4650000}"/>
    <cellStyle name="Normal 13 4 4 4" xfId="31096" xr:uid="{00000000-0005-0000-0000-0000C5650000}"/>
    <cellStyle name="Normal 13 4 5" xfId="6776" xr:uid="{00000000-0005-0000-0000-0000C6650000}"/>
    <cellStyle name="Normal 13 4 5 2" xfId="11825" xr:uid="{00000000-0005-0000-0000-0000C7650000}"/>
    <cellStyle name="Normal 13 4 5 2 2" xfId="25540" xr:uid="{00000000-0005-0000-0000-0000C8650000}"/>
    <cellStyle name="Normal 13 4 5 3" xfId="31098" xr:uid="{00000000-0005-0000-0000-0000C9650000}"/>
    <cellStyle name="Normal 13 4 6" xfId="6777" xr:uid="{00000000-0005-0000-0000-0000CA650000}"/>
    <cellStyle name="Normal 13 4 6 2" xfId="13426" xr:uid="{00000000-0005-0000-0000-0000CB650000}"/>
    <cellStyle name="Normal 13 4 6 2 2" xfId="26975" xr:uid="{00000000-0005-0000-0000-0000CC650000}"/>
    <cellStyle name="Normal 13 4 6 3" xfId="31099" xr:uid="{00000000-0005-0000-0000-0000CD650000}"/>
    <cellStyle name="Normal 13 4 7" xfId="6778" xr:uid="{00000000-0005-0000-0000-0000CE650000}"/>
    <cellStyle name="Normal 13 4 7 2" xfId="14007" xr:uid="{00000000-0005-0000-0000-0000CF650000}"/>
    <cellStyle name="Normal 13 4 7 2 2" xfId="27556" xr:uid="{00000000-0005-0000-0000-0000D0650000}"/>
    <cellStyle name="Normal 13 4 7 3" xfId="31100" xr:uid="{00000000-0005-0000-0000-0000D1650000}"/>
    <cellStyle name="Normal 13 4 8" xfId="6779" xr:uid="{00000000-0005-0000-0000-0000D2650000}"/>
    <cellStyle name="Normal 13 4 8 2" xfId="15893" xr:uid="{00000000-0005-0000-0000-0000D3650000}"/>
    <cellStyle name="Normal 13 4 8 2 2" xfId="29300" xr:uid="{00000000-0005-0000-0000-0000D4650000}"/>
    <cellStyle name="Normal 13 4 8 3" xfId="31101" xr:uid="{00000000-0005-0000-0000-0000D5650000}"/>
    <cellStyle name="Normal 13 4 9" xfId="10101" xr:uid="{00000000-0005-0000-0000-0000D6650000}"/>
    <cellStyle name="Normal 13 4 9 2" xfId="24330" xr:uid="{00000000-0005-0000-0000-0000D7650000}"/>
    <cellStyle name="Normal 13 5" xfId="6780" xr:uid="{00000000-0005-0000-0000-0000D8650000}"/>
    <cellStyle name="Normal 13 5 10" xfId="31102" xr:uid="{00000000-0005-0000-0000-0000D9650000}"/>
    <cellStyle name="Normal 13 5 2" xfId="6781" xr:uid="{00000000-0005-0000-0000-0000DA650000}"/>
    <cellStyle name="Normal 13 5 2 2" xfId="6782" xr:uid="{00000000-0005-0000-0000-0000DB650000}"/>
    <cellStyle name="Normal 13 5 2 2 2" xfId="6783" xr:uid="{00000000-0005-0000-0000-0000DC650000}"/>
    <cellStyle name="Normal 13 5 2 2 2 2" xfId="6784" xr:uid="{00000000-0005-0000-0000-0000DD650000}"/>
    <cellStyle name="Normal 13 5 2 2 2 2 2" xfId="16889" xr:uid="{00000000-0005-0000-0000-0000DE650000}"/>
    <cellStyle name="Normal 13 5 2 2 2 2 2 2" xfId="30296" xr:uid="{00000000-0005-0000-0000-0000DF650000}"/>
    <cellStyle name="Normal 13 5 2 2 2 2 3" xfId="31106" xr:uid="{00000000-0005-0000-0000-0000E0650000}"/>
    <cellStyle name="Normal 13 5 2 2 2 3" xfId="11487" xr:uid="{00000000-0005-0000-0000-0000E1650000}"/>
    <cellStyle name="Normal 13 5 2 2 2 3 2" xfId="25319" xr:uid="{00000000-0005-0000-0000-0000E2650000}"/>
    <cellStyle name="Normal 13 5 2 2 2 4" xfId="31105" xr:uid="{00000000-0005-0000-0000-0000E3650000}"/>
    <cellStyle name="Normal 13 5 2 2 3" xfId="6785" xr:uid="{00000000-0005-0000-0000-0000E4650000}"/>
    <cellStyle name="Normal 13 5 2 2 3 2" xfId="12277" xr:uid="{00000000-0005-0000-0000-0000E5650000}"/>
    <cellStyle name="Normal 13 5 2 2 3 2 2" xfId="25989" xr:uid="{00000000-0005-0000-0000-0000E6650000}"/>
    <cellStyle name="Normal 13 5 2 2 3 3" xfId="31107" xr:uid="{00000000-0005-0000-0000-0000E7650000}"/>
    <cellStyle name="Normal 13 5 2 2 4" xfId="6786" xr:uid="{00000000-0005-0000-0000-0000E8650000}"/>
    <cellStyle name="Normal 13 5 2 2 4 2" xfId="13841" xr:uid="{00000000-0005-0000-0000-0000E9650000}"/>
    <cellStyle name="Normal 13 5 2 2 4 2 2" xfId="27390" xr:uid="{00000000-0005-0000-0000-0000EA650000}"/>
    <cellStyle name="Normal 13 5 2 2 4 3" xfId="31108" xr:uid="{00000000-0005-0000-0000-0000EB650000}"/>
    <cellStyle name="Normal 13 5 2 2 5" xfId="6787" xr:uid="{00000000-0005-0000-0000-0000EC650000}"/>
    <cellStyle name="Normal 13 5 2 2 5 2" xfId="14422" xr:uid="{00000000-0005-0000-0000-0000ED650000}"/>
    <cellStyle name="Normal 13 5 2 2 5 2 2" xfId="27971" xr:uid="{00000000-0005-0000-0000-0000EE650000}"/>
    <cellStyle name="Normal 13 5 2 2 5 3" xfId="31109" xr:uid="{00000000-0005-0000-0000-0000EF650000}"/>
    <cellStyle name="Normal 13 5 2 2 6" xfId="6788" xr:uid="{00000000-0005-0000-0000-0000F0650000}"/>
    <cellStyle name="Normal 13 5 2 2 6 2" xfId="16308" xr:uid="{00000000-0005-0000-0000-0000F1650000}"/>
    <cellStyle name="Normal 13 5 2 2 6 2 2" xfId="29715" xr:uid="{00000000-0005-0000-0000-0000F2650000}"/>
    <cellStyle name="Normal 13 5 2 2 6 3" xfId="31110" xr:uid="{00000000-0005-0000-0000-0000F3650000}"/>
    <cellStyle name="Normal 13 5 2 2 7" xfId="10107" xr:uid="{00000000-0005-0000-0000-0000F4650000}"/>
    <cellStyle name="Normal 13 5 2 2 7 2" xfId="24336" xr:uid="{00000000-0005-0000-0000-0000F5650000}"/>
    <cellStyle name="Normal 13 5 2 2 8" xfId="31104" xr:uid="{00000000-0005-0000-0000-0000F6650000}"/>
    <cellStyle name="Normal 13 5 2 3" xfId="6789" xr:uid="{00000000-0005-0000-0000-0000F7650000}"/>
    <cellStyle name="Normal 13 5 2 3 2" xfId="6790" xr:uid="{00000000-0005-0000-0000-0000F8650000}"/>
    <cellStyle name="Normal 13 5 2 3 2 2" xfId="16600" xr:uid="{00000000-0005-0000-0000-0000F9650000}"/>
    <cellStyle name="Normal 13 5 2 3 2 2 2" xfId="30007" xr:uid="{00000000-0005-0000-0000-0000FA650000}"/>
    <cellStyle name="Normal 13 5 2 3 2 3" xfId="31112" xr:uid="{00000000-0005-0000-0000-0000FB650000}"/>
    <cellStyle name="Normal 13 5 2 3 3" xfId="11486" xr:uid="{00000000-0005-0000-0000-0000FC650000}"/>
    <cellStyle name="Normal 13 5 2 3 3 2" xfId="25318" xr:uid="{00000000-0005-0000-0000-0000FD650000}"/>
    <cellStyle name="Normal 13 5 2 3 4" xfId="31111" xr:uid="{00000000-0005-0000-0000-0000FE650000}"/>
    <cellStyle name="Normal 13 5 2 4" xfId="6791" xr:uid="{00000000-0005-0000-0000-0000FF650000}"/>
    <cellStyle name="Normal 13 5 2 4 2" xfId="11977" xr:uid="{00000000-0005-0000-0000-000000660000}"/>
    <cellStyle name="Normal 13 5 2 4 2 2" xfId="25692" xr:uid="{00000000-0005-0000-0000-000001660000}"/>
    <cellStyle name="Normal 13 5 2 4 3" xfId="31113" xr:uid="{00000000-0005-0000-0000-000002660000}"/>
    <cellStyle name="Normal 13 5 2 5" xfId="6792" xr:uid="{00000000-0005-0000-0000-000003660000}"/>
    <cellStyle name="Normal 13 5 2 5 2" xfId="13552" xr:uid="{00000000-0005-0000-0000-000004660000}"/>
    <cellStyle name="Normal 13 5 2 5 2 2" xfId="27101" xr:uid="{00000000-0005-0000-0000-000005660000}"/>
    <cellStyle name="Normal 13 5 2 5 3" xfId="31114" xr:uid="{00000000-0005-0000-0000-000006660000}"/>
    <cellStyle name="Normal 13 5 2 6" xfId="6793" xr:uid="{00000000-0005-0000-0000-000007660000}"/>
    <cellStyle name="Normal 13 5 2 6 2" xfId="14133" xr:uid="{00000000-0005-0000-0000-000008660000}"/>
    <cellStyle name="Normal 13 5 2 6 2 2" xfId="27682" xr:uid="{00000000-0005-0000-0000-000009660000}"/>
    <cellStyle name="Normal 13 5 2 6 3" xfId="31115" xr:uid="{00000000-0005-0000-0000-00000A660000}"/>
    <cellStyle name="Normal 13 5 2 7" xfId="6794" xr:uid="{00000000-0005-0000-0000-00000B660000}"/>
    <cellStyle name="Normal 13 5 2 7 2" xfId="16019" xr:uid="{00000000-0005-0000-0000-00000C660000}"/>
    <cellStyle name="Normal 13 5 2 7 2 2" xfId="29426" xr:uid="{00000000-0005-0000-0000-00000D660000}"/>
    <cellStyle name="Normal 13 5 2 7 3" xfId="31116" xr:uid="{00000000-0005-0000-0000-00000E660000}"/>
    <cellStyle name="Normal 13 5 2 8" xfId="10106" xr:uid="{00000000-0005-0000-0000-00000F660000}"/>
    <cellStyle name="Normal 13 5 2 8 2" xfId="24335" xr:uid="{00000000-0005-0000-0000-000010660000}"/>
    <cellStyle name="Normal 13 5 2 9" xfId="31103" xr:uid="{00000000-0005-0000-0000-000011660000}"/>
    <cellStyle name="Normal 13 5 3" xfId="6795" xr:uid="{00000000-0005-0000-0000-000012660000}"/>
    <cellStyle name="Normal 13 5 3 2" xfId="6796" xr:uid="{00000000-0005-0000-0000-000013660000}"/>
    <cellStyle name="Normal 13 5 3 2 2" xfId="6797" xr:uid="{00000000-0005-0000-0000-000014660000}"/>
    <cellStyle name="Normal 13 5 3 2 2 2" xfId="16749" xr:uid="{00000000-0005-0000-0000-000015660000}"/>
    <cellStyle name="Normal 13 5 3 2 2 2 2" xfId="30156" xr:uid="{00000000-0005-0000-0000-000016660000}"/>
    <cellStyle name="Normal 13 5 3 2 2 3" xfId="31119" xr:uid="{00000000-0005-0000-0000-000017660000}"/>
    <cellStyle name="Normal 13 5 3 2 3" xfId="11488" xr:uid="{00000000-0005-0000-0000-000018660000}"/>
    <cellStyle name="Normal 13 5 3 2 3 2" xfId="25320" xr:uid="{00000000-0005-0000-0000-000019660000}"/>
    <cellStyle name="Normal 13 5 3 2 4" xfId="31118" xr:uid="{00000000-0005-0000-0000-00001A660000}"/>
    <cellStyle name="Normal 13 5 3 3" xfId="6798" xr:uid="{00000000-0005-0000-0000-00001B660000}"/>
    <cellStyle name="Normal 13 5 3 3 2" xfId="12137" xr:uid="{00000000-0005-0000-0000-00001C660000}"/>
    <cellStyle name="Normal 13 5 3 3 2 2" xfId="25849" xr:uid="{00000000-0005-0000-0000-00001D660000}"/>
    <cellStyle name="Normal 13 5 3 3 3" xfId="31120" xr:uid="{00000000-0005-0000-0000-00001E660000}"/>
    <cellStyle name="Normal 13 5 3 4" xfId="6799" xr:uid="{00000000-0005-0000-0000-00001F660000}"/>
    <cellStyle name="Normal 13 5 3 4 2" xfId="13701" xr:uid="{00000000-0005-0000-0000-000020660000}"/>
    <cellStyle name="Normal 13 5 3 4 2 2" xfId="27250" xr:uid="{00000000-0005-0000-0000-000021660000}"/>
    <cellStyle name="Normal 13 5 3 4 3" xfId="31121" xr:uid="{00000000-0005-0000-0000-000022660000}"/>
    <cellStyle name="Normal 13 5 3 5" xfId="6800" xr:uid="{00000000-0005-0000-0000-000023660000}"/>
    <cellStyle name="Normal 13 5 3 5 2" xfId="14282" xr:uid="{00000000-0005-0000-0000-000024660000}"/>
    <cellStyle name="Normal 13 5 3 5 2 2" xfId="27831" xr:uid="{00000000-0005-0000-0000-000025660000}"/>
    <cellStyle name="Normal 13 5 3 5 3" xfId="31122" xr:uid="{00000000-0005-0000-0000-000026660000}"/>
    <cellStyle name="Normal 13 5 3 6" xfId="6801" xr:uid="{00000000-0005-0000-0000-000027660000}"/>
    <cellStyle name="Normal 13 5 3 6 2" xfId="16168" xr:uid="{00000000-0005-0000-0000-000028660000}"/>
    <cellStyle name="Normal 13 5 3 6 2 2" xfId="29575" xr:uid="{00000000-0005-0000-0000-000029660000}"/>
    <cellStyle name="Normal 13 5 3 6 3" xfId="31123" xr:uid="{00000000-0005-0000-0000-00002A660000}"/>
    <cellStyle name="Normal 13 5 3 7" xfId="10108" xr:uid="{00000000-0005-0000-0000-00002B660000}"/>
    <cellStyle name="Normal 13 5 3 7 2" xfId="24337" xr:uid="{00000000-0005-0000-0000-00002C660000}"/>
    <cellStyle name="Normal 13 5 3 8" xfId="31117" xr:uid="{00000000-0005-0000-0000-00002D660000}"/>
    <cellStyle name="Normal 13 5 4" xfId="6802" xr:uid="{00000000-0005-0000-0000-00002E660000}"/>
    <cellStyle name="Normal 13 5 4 2" xfId="6803" xr:uid="{00000000-0005-0000-0000-00002F660000}"/>
    <cellStyle name="Normal 13 5 4 2 2" xfId="16457" xr:uid="{00000000-0005-0000-0000-000030660000}"/>
    <cellStyle name="Normal 13 5 4 2 2 2" xfId="29864" xr:uid="{00000000-0005-0000-0000-000031660000}"/>
    <cellStyle name="Normal 13 5 4 2 3" xfId="31125" xr:uid="{00000000-0005-0000-0000-000032660000}"/>
    <cellStyle name="Normal 13 5 4 3" xfId="11485" xr:uid="{00000000-0005-0000-0000-000033660000}"/>
    <cellStyle name="Normal 13 5 4 3 2" xfId="25317" xr:uid="{00000000-0005-0000-0000-000034660000}"/>
    <cellStyle name="Normal 13 5 4 4" xfId="31124" xr:uid="{00000000-0005-0000-0000-000035660000}"/>
    <cellStyle name="Normal 13 5 5" xfId="6804" xr:uid="{00000000-0005-0000-0000-000036660000}"/>
    <cellStyle name="Normal 13 5 5 2" xfId="11808" xr:uid="{00000000-0005-0000-0000-000037660000}"/>
    <cellStyle name="Normal 13 5 5 2 2" xfId="25523" xr:uid="{00000000-0005-0000-0000-000038660000}"/>
    <cellStyle name="Normal 13 5 5 3" xfId="31126" xr:uid="{00000000-0005-0000-0000-000039660000}"/>
    <cellStyle name="Normal 13 5 6" xfId="6805" xr:uid="{00000000-0005-0000-0000-00003A660000}"/>
    <cellStyle name="Normal 13 5 6 2" xfId="13409" xr:uid="{00000000-0005-0000-0000-00003B660000}"/>
    <cellStyle name="Normal 13 5 6 2 2" xfId="26958" xr:uid="{00000000-0005-0000-0000-00003C660000}"/>
    <cellStyle name="Normal 13 5 6 3" xfId="31127" xr:uid="{00000000-0005-0000-0000-00003D660000}"/>
    <cellStyle name="Normal 13 5 7" xfId="6806" xr:uid="{00000000-0005-0000-0000-00003E660000}"/>
    <cellStyle name="Normal 13 5 7 2" xfId="13990" xr:uid="{00000000-0005-0000-0000-00003F660000}"/>
    <cellStyle name="Normal 13 5 7 2 2" xfId="27539" xr:uid="{00000000-0005-0000-0000-000040660000}"/>
    <cellStyle name="Normal 13 5 7 3" xfId="31128" xr:uid="{00000000-0005-0000-0000-000041660000}"/>
    <cellStyle name="Normal 13 5 8" xfId="6807" xr:uid="{00000000-0005-0000-0000-000042660000}"/>
    <cellStyle name="Normal 13 5 8 2" xfId="15876" xr:uid="{00000000-0005-0000-0000-000043660000}"/>
    <cellStyle name="Normal 13 5 8 2 2" xfId="29283" xr:uid="{00000000-0005-0000-0000-000044660000}"/>
    <cellStyle name="Normal 13 5 8 3" xfId="31129" xr:uid="{00000000-0005-0000-0000-000045660000}"/>
    <cellStyle name="Normal 13 5 9" xfId="10105" xr:uid="{00000000-0005-0000-0000-000046660000}"/>
    <cellStyle name="Normal 13 5 9 2" xfId="24334" xr:uid="{00000000-0005-0000-0000-000047660000}"/>
    <cellStyle name="Normal 13 6" xfId="6808" xr:uid="{00000000-0005-0000-0000-000048660000}"/>
    <cellStyle name="Normal 13 6 10" xfId="31130" xr:uid="{00000000-0005-0000-0000-000049660000}"/>
    <cellStyle name="Normal 13 6 2" xfId="6809" xr:uid="{00000000-0005-0000-0000-00004A660000}"/>
    <cellStyle name="Normal 13 6 2 2" xfId="6810" xr:uid="{00000000-0005-0000-0000-00004B660000}"/>
    <cellStyle name="Normal 13 6 2 2 2" xfId="6811" xr:uid="{00000000-0005-0000-0000-00004C660000}"/>
    <cellStyle name="Normal 13 6 2 2 2 2" xfId="6812" xr:uid="{00000000-0005-0000-0000-00004D660000}"/>
    <cellStyle name="Normal 13 6 2 2 2 2 2" xfId="16995" xr:uid="{00000000-0005-0000-0000-00004E660000}"/>
    <cellStyle name="Normal 13 6 2 2 2 2 2 2" xfId="30402" xr:uid="{00000000-0005-0000-0000-00004F660000}"/>
    <cellStyle name="Normal 13 6 2 2 2 2 3" xfId="31134" xr:uid="{00000000-0005-0000-0000-000050660000}"/>
    <cellStyle name="Normal 13 6 2 2 2 3" xfId="11491" xr:uid="{00000000-0005-0000-0000-000051660000}"/>
    <cellStyle name="Normal 13 6 2 2 2 3 2" xfId="25323" xr:uid="{00000000-0005-0000-0000-000052660000}"/>
    <cellStyle name="Normal 13 6 2 2 2 4" xfId="31133" xr:uid="{00000000-0005-0000-0000-000053660000}"/>
    <cellStyle name="Normal 13 6 2 2 3" xfId="6813" xr:uid="{00000000-0005-0000-0000-000054660000}"/>
    <cellStyle name="Normal 13 6 2 2 3 2" xfId="12383" xr:uid="{00000000-0005-0000-0000-000055660000}"/>
    <cellStyle name="Normal 13 6 2 2 3 2 2" xfId="26095" xr:uid="{00000000-0005-0000-0000-000056660000}"/>
    <cellStyle name="Normal 13 6 2 2 3 3" xfId="31135" xr:uid="{00000000-0005-0000-0000-000057660000}"/>
    <cellStyle name="Normal 13 6 2 2 4" xfId="6814" xr:uid="{00000000-0005-0000-0000-000058660000}"/>
    <cellStyle name="Normal 13 6 2 2 4 2" xfId="13947" xr:uid="{00000000-0005-0000-0000-000059660000}"/>
    <cellStyle name="Normal 13 6 2 2 4 2 2" xfId="27496" xr:uid="{00000000-0005-0000-0000-00005A660000}"/>
    <cellStyle name="Normal 13 6 2 2 4 3" xfId="31136" xr:uid="{00000000-0005-0000-0000-00005B660000}"/>
    <cellStyle name="Normal 13 6 2 2 5" xfId="6815" xr:uid="{00000000-0005-0000-0000-00005C660000}"/>
    <cellStyle name="Normal 13 6 2 2 5 2" xfId="14528" xr:uid="{00000000-0005-0000-0000-00005D660000}"/>
    <cellStyle name="Normal 13 6 2 2 5 2 2" xfId="28077" xr:uid="{00000000-0005-0000-0000-00005E660000}"/>
    <cellStyle name="Normal 13 6 2 2 5 3" xfId="31137" xr:uid="{00000000-0005-0000-0000-00005F660000}"/>
    <cellStyle name="Normal 13 6 2 2 6" xfId="6816" xr:uid="{00000000-0005-0000-0000-000060660000}"/>
    <cellStyle name="Normal 13 6 2 2 6 2" xfId="16414" xr:uid="{00000000-0005-0000-0000-000061660000}"/>
    <cellStyle name="Normal 13 6 2 2 6 2 2" xfId="29821" xr:uid="{00000000-0005-0000-0000-000062660000}"/>
    <cellStyle name="Normal 13 6 2 2 6 3" xfId="31138" xr:uid="{00000000-0005-0000-0000-000063660000}"/>
    <cellStyle name="Normal 13 6 2 2 7" xfId="10111" xr:uid="{00000000-0005-0000-0000-000064660000}"/>
    <cellStyle name="Normal 13 6 2 2 7 2" xfId="24340" xr:uid="{00000000-0005-0000-0000-000065660000}"/>
    <cellStyle name="Normal 13 6 2 2 8" xfId="31132" xr:uid="{00000000-0005-0000-0000-000066660000}"/>
    <cellStyle name="Normal 13 6 2 3" xfId="6817" xr:uid="{00000000-0005-0000-0000-000067660000}"/>
    <cellStyle name="Normal 13 6 2 3 2" xfId="6818" xr:uid="{00000000-0005-0000-0000-000068660000}"/>
    <cellStyle name="Normal 13 6 2 3 2 2" xfId="16706" xr:uid="{00000000-0005-0000-0000-000069660000}"/>
    <cellStyle name="Normal 13 6 2 3 2 2 2" xfId="30113" xr:uid="{00000000-0005-0000-0000-00006A660000}"/>
    <cellStyle name="Normal 13 6 2 3 2 3" xfId="31140" xr:uid="{00000000-0005-0000-0000-00006B660000}"/>
    <cellStyle name="Normal 13 6 2 3 3" xfId="11490" xr:uid="{00000000-0005-0000-0000-00006C660000}"/>
    <cellStyle name="Normal 13 6 2 3 3 2" xfId="25322" xr:uid="{00000000-0005-0000-0000-00006D660000}"/>
    <cellStyle name="Normal 13 6 2 3 4" xfId="31139" xr:uid="{00000000-0005-0000-0000-00006E660000}"/>
    <cellStyle name="Normal 13 6 2 4" xfId="6819" xr:uid="{00000000-0005-0000-0000-00006F660000}"/>
    <cellStyle name="Normal 13 6 2 4 2" xfId="12083" xr:uid="{00000000-0005-0000-0000-000070660000}"/>
    <cellStyle name="Normal 13 6 2 4 2 2" xfId="25798" xr:uid="{00000000-0005-0000-0000-000071660000}"/>
    <cellStyle name="Normal 13 6 2 4 3" xfId="31141" xr:uid="{00000000-0005-0000-0000-000072660000}"/>
    <cellStyle name="Normal 13 6 2 5" xfId="6820" xr:uid="{00000000-0005-0000-0000-000073660000}"/>
    <cellStyle name="Normal 13 6 2 5 2" xfId="13658" xr:uid="{00000000-0005-0000-0000-000074660000}"/>
    <cellStyle name="Normal 13 6 2 5 2 2" xfId="27207" xr:uid="{00000000-0005-0000-0000-000075660000}"/>
    <cellStyle name="Normal 13 6 2 5 3" xfId="31142" xr:uid="{00000000-0005-0000-0000-000076660000}"/>
    <cellStyle name="Normal 13 6 2 6" xfId="6821" xr:uid="{00000000-0005-0000-0000-000077660000}"/>
    <cellStyle name="Normal 13 6 2 6 2" xfId="14239" xr:uid="{00000000-0005-0000-0000-000078660000}"/>
    <cellStyle name="Normal 13 6 2 6 2 2" xfId="27788" xr:uid="{00000000-0005-0000-0000-000079660000}"/>
    <cellStyle name="Normal 13 6 2 6 3" xfId="31143" xr:uid="{00000000-0005-0000-0000-00007A660000}"/>
    <cellStyle name="Normal 13 6 2 7" xfId="6822" xr:uid="{00000000-0005-0000-0000-00007B660000}"/>
    <cellStyle name="Normal 13 6 2 7 2" xfId="16125" xr:uid="{00000000-0005-0000-0000-00007C660000}"/>
    <cellStyle name="Normal 13 6 2 7 2 2" xfId="29532" xr:uid="{00000000-0005-0000-0000-00007D660000}"/>
    <cellStyle name="Normal 13 6 2 7 3" xfId="31144" xr:uid="{00000000-0005-0000-0000-00007E660000}"/>
    <cellStyle name="Normal 13 6 2 8" xfId="10110" xr:uid="{00000000-0005-0000-0000-00007F660000}"/>
    <cellStyle name="Normal 13 6 2 8 2" xfId="24339" xr:uid="{00000000-0005-0000-0000-000080660000}"/>
    <cellStyle name="Normal 13 6 2 9" xfId="31131" xr:uid="{00000000-0005-0000-0000-000081660000}"/>
    <cellStyle name="Normal 13 6 3" xfId="6823" xr:uid="{00000000-0005-0000-0000-000082660000}"/>
    <cellStyle name="Normal 13 6 3 2" xfId="6824" xr:uid="{00000000-0005-0000-0000-000083660000}"/>
    <cellStyle name="Normal 13 6 3 2 2" xfId="6825" xr:uid="{00000000-0005-0000-0000-000084660000}"/>
    <cellStyle name="Normal 13 6 3 2 2 2" xfId="16852" xr:uid="{00000000-0005-0000-0000-000085660000}"/>
    <cellStyle name="Normal 13 6 3 2 2 2 2" xfId="30259" xr:uid="{00000000-0005-0000-0000-000086660000}"/>
    <cellStyle name="Normal 13 6 3 2 2 3" xfId="31147" xr:uid="{00000000-0005-0000-0000-000087660000}"/>
    <cellStyle name="Normal 13 6 3 2 3" xfId="11492" xr:uid="{00000000-0005-0000-0000-000088660000}"/>
    <cellStyle name="Normal 13 6 3 2 3 2" xfId="25324" xr:uid="{00000000-0005-0000-0000-000089660000}"/>
    <cellStyle name="Normal 13 6 3 2 4" xfId="31146" xr:uid="{00000000-0005-0000-0000-00008A660000}"/>
    <cellStyle name="Normal 13 6 3 3" xfId="6826" xr:uid="{00000000-0005-0000-0000-00008B660000}"/>
    <cellStyle name="Normal 13 6 3 3 2" xfId="12240" xr:uid="{00000000-0005-0000-0000-00008C660000}"/>
    <cellStyle name="Normal 13 6 3 3 2 2" xfId="25952" xr:uid="{00000000-0005-0000-0000-00008D660000}"/>
    <cellStyle name="Normal 13 6 3 3 3" xfId="31148" xr:uid="{00000000-0005-0000-0000-00008E660000}"/>
    <cellStyle name="Normal 13 6 3 4" xfId="6827" xr:uid="{00000000-0005-0000-0000-00008F660000}"/>
    <cellStyle name="Normal 13 6 3 4 2" xfId="13804" xr:uid="{00000000-0005-0000-0000-000090660000}"/>
    <cellStyle name="Normal 13 6 3 4 2 2" xfId="27353" xr:uid="{00000000-0005-0000-0000-000091660000}"/>
    <cellStyle name="Normal 13 6 3 4 3" xfId="31149" xr:uid="{00000000-0005-0000-0000-000092660000}"/>
    <cellStyle name="Normal 13 6 3 5" xfId="6828" xr:uid="{00000000-0005-0000-0000-000093660000}"/>
    <cellStyle name="Normal 13 6 3 5 2" xfId="14385" xr:uid="{00000000-0005-0000-0000-000094660000}"/>
    <cellStyle name="Normal 13 6 3 5 2 2" xfId="27934" xr:uid="{00000000-0005-0000-0000-000095660000}"/>
    <cellStyle name="Normal 13 6 3 5 3" xfId="31150" xr:uid="{00000000-0005-0000-0000-000096660000}"/>
    <cellStyle name="Normal 13 6 3 6" xfId="6829" xr:uid="{00000000-0005-0000-0000-000097660000}"/>
    <cellStyle name="Normal 13 6 3 6 2" xfId="16271" xr:uid="{00000000-0005-0000-0000-000098660000}"/>
    <cellStyle name="Normal 13 6 3 6 2 2" xfId="29678" xr:uid="{00000000-0005-0000-0000-000099660000}"/>
    <cellStyle name="Normal 13 6 3 6 3" xfId="31151" xr:uid="{00000000-0005-0000-0000-00009A660000}"/>
    <cellStyle name="Normal 13 6 3 7" xfId="10112" xr:uid="{00000000-0005-0000-0000-00009B660000}"/>
    <cellStyle name="Normal 13 6 3 7 2" xfId="24341" xr:uid="{00000000-0005-0000-0000-00009C660000}"/>
    <cellStyle name="Normal 13 6 3 8" xfId="31145" xr:uid="{00000000-0005-0000-0000-00009D660000}"/>
    <cellStyle name="Normal 13 6 4" xfId="6830" xr:uid="{00000000-0005-0000-0000-00009E660000}"/>
    <cellStyle name="Normal 13 6 4 2" xfId="6831" xr:uid="{00000000-0005-0000-0000-00009F660000}"/>
    <cellStyle name="Normal 13 6 4 2 2" xfId="16563" xr:uid="{00000000-0005-0000-0000-0000A0660000}"/>
    <cellStyle name="Normal 13 6 4 2 2 2" xfId="29970" xr:uid="{00000000-0005-0000-0000-0000A1660000}"/>
    <cellStyle name="Normal 13 6 4 2 3" xfId="31153" xr:uid="{00000000-0005-0000-0000-0000A2660000}"/>
    <cellStyle name="Normal 13 6 4 3" xfId="11489" xr:uid="{00000000-0005-0000-0000-0000A3660000}"/>
    <cellStyle name="Normal 13 6 4 3 2" xfId="25321" xr:uid="{00000000-0005-0000-0000-0000A4660000}"/>
    <cellStyle name="Normal 13 6 4 4" xfId="31152" xr:uid="{00000000-0005-0000-0000-0000A5660000}"/>
    <cellStyle name="Normal 13 6 5" xfId="6832" xr:uid="{00000000-0005-0000-0000-0000A6660000}"/>
    <cellStyle name="Normal 13 6 5 2" xfId="11938" xr:uid="{00000000-0005-0000-0000-0000A7660000}"/>
    <cellStyle name="Normal 13 6 5 2 2" xfId="25653" xr:uid="{00000000-0005-0000-0000-0000A8660000}"/>
    <cellStyle name="Normal 13 6 5 3" xfId="31154" xr:uid="{00000000-0005-0000-0000-0000A9660000}"/>
    <cellStyle name="Normal 13 6 6" xfId="6833" xr:uid="{00000000-0005-0000-0000-0000AA660000}"/>
    <cellStyle name="Normal 13 6 6 2" xfId="13515" xr:uid="{00000000-0005-0000-0000-0000AB660000}"/>
    <cellStyle name="Normal 13 6 6 2 2" xfId="27064" xr:uid="{00000000-0005-0000-0000-0000AC660000}"/>
    <cellStyle name="Normal 13 6 6 3" xfId="31155" xr:uid="{00000000-0005-0000-0000-0000AD660000}"/>
    <cellStyle name="Normal 13 6 7" xfId="6834" xr:uid="{00000000-0005-0000-0000-0000AE660000}"/>
    <cellStyle name="Normal 13 6 7 2" xfId="14096" xr:uid="{00000000-0005-0000-0000-0000AF660000}"/>
    <cellStyle name="Normal 13 6 7 2 2" xfId="27645" xr:uid="{00000000-0005-0000-0000-0000B0660000}"/>
    <cellStyle name="Normal 13 6 7 3" xfId="31156" xr:uid="{00000000-0005-0000-0000-0000B1660000}"/>
    <cellStyle name="Normal 13 6 8" xfId="6835" xr:uid="{00000000-0005-0000-0000-0000B2660000}"/>
    <cellStyle name="Normal 13 6 8 2" xfId="15982" xr:uid="{00000000-0005-0000-0000-0000B3660000}"/>
    <cellStyle name="Normal 13 6 8 2 2" xfId="29389" xr:uid="{00000000-0005-0000-0000-0000B4660000}"/>
    <cellStyle name="Normal 13 6 8 3" xfId="31157" xr:uid="{00000000-0005-0000-0000-0000B5660000}"/>
    <cellStyle name="Normal 13 6 9" xfId="10109" xr:uid="{00000000-0005-0000-0000-0000B6660000}"/>
    <cellStyle name="Normal 13 6 9 2" xfId="24338" xr:uid="{00000000-0005-0000-0000-0000B7660000}"/>
    <cellStyle name="Normal 13 7" xfId="6836" xr:uid="{00000000-0005-0000-0000-0000B8660000}"/>
    <cellStyle name="Normal 13 7 2" xfId="6837" xr:uid="{00000000-0005-0000-0000-0000B9660000}"/>
    <cellStyle name="Normal 13 7 2 2" xfId="6838" xr:uid="{00000000-0005-0000-0000-0000BA660000}"/>
    <cellStyle name="Normal 13 7 2 2 2" xfId="6839" xr:uid="{00000000-0005-0000-0000-0000BB660000}"/>
    <cellStyle name="Normal 13 7 2 2 2 2" xfId="16872" xr:uid="{00000000-0005-0000-0000-0000BC660000}"/>
    <cellStyle name="Normal 13 7 2 2 2 2 2" xfId="30279" xr:uid="{00000000-0005-0000-0000-0000BD660000}"/>
    <cellStyle name="Normal 13 7 2 2 2 3" xfId="31161" xr:uid="{00000000-0005-0000-0000-0000BE660000}"/>
    <cellStyle name="Normal 13 7 2 2 3" xfId="11494" xr:uid="{00000000-0005-0000-0000-0000BF660000}"/>
    <cellStyle name="Normal 13 7 2 2 3 2" xfId="25326" xr:uid="{00000000-0005-0000-0000-0000C0660000}"/>
    <cellStyle name="Normal 13 7 2 2 4" xfId="31160" xr:uid="{00000000-0005-0000-0000-0000C1660000}"/>
    <cellStyle name="Normal 13 7 2 3" xfId="6840" xr:uid="{00000000-0005-0000-0000-0000C2660000}"/>
    <cellStyle name="Normal 13 7 2 3 2" xfId="12260" xr:uid="{00000000-0005-0000-0000-0000C3660000}"/>
    <cellStyle name="Normal 13 7 2 3 2 2" xfId="25972" xr:uid="{00000000-0005-0000-0000-0000C4660000}"/>
    <cellStyle name="Normal 13 7 2 3 3" xfId="31162" xr:uid="{00000000-0005-0000-0000-0000C5660000}"/>
    <cellStyle name="Normal 13 7 2 4" xfId="6841" xr:uid="{00000000-0005-0000-0000-0000C6660000}"/>
    <cellStyle name="Normal 13 7 2 4 2" xfId="13824" xr:uid="{00000000-0005-0000-0000-0000C7660000}"/>
    <cellStyle name="Normal 13 7 2 4 2 2" xfId="27373" xr:uid="{00000000-0005-0000-0000-0000C8660000}"/>
    <cellStyle name="Normal 13 7 2 4 3" xfId="31163" xr:uid="{00000000-0005-0000-0000-0000C9660000}"/>
    <cellStyle name="Normal 13 7 2 5" xfId="6842" xr:uid="{00000000-0005-0000-0000-0000CA660000}"/>
    <cellStyle name="Normal 13 7 2 5 2" xfId="14405" xr:uid="{00000000-0005-0000-0000-0000CB660000}"/>
    <cellStyle name="Normal 13 7 2 5 2 2" xfId="27954" xr:uid="{00000000-0005-0000-0000-0000CC660000}"/>
    <cellStyle name="Normal 13 7 2 5 3" xfId="31164" xr:uid="{00000000-0005-0000-0000-0000CD660000}"/>
    <cellStyle name="Normal 13 7 2 6" xfId="6843" xr:uid="{00000000-0005-0000-0000-0000CE660000}"/>
    <cellStyle name="Normal 13 7 2 6 2" xfId="16291" xr:uid="{00000000-0005-0000-0000-0000CF660000}"/>
    <cellStyle name="Normal 13 7 2 6 2 2" xfId="29698" xr:uid="{00000000-0005-0000-0000-0000D0660000}"/>
    <cellStyle name="Normal 13 7 2 6 3" xfId="31165" xr:uid="{00000000-0005-0000-0000-0000D1660000}"/>
    <cellStyle name="Normal 13 7 2 7" xfId="10114" xr:uid="{00000000-0005-0000-0000-0000D2660000}"/>
    <cellStyle name="Normal 13 7 2 7 2" xfId="24343" xr:uid="{00000000-0005-0000-0000-0000D3660000}"/>
    <cellStyle name="Normal 13 7 2 8" xfId="31159" xr:uid="{00000000-0005-0000-0000-0000D4660000}"/>
    <cellStyle name="Normal 13 7 3" xfId="6844" xr:uid="{00000000-0005-0000-0000-0000D5660000}"/>
    <cellStyle name="Normal 13 7 3 2" xfId="6845" xr:uid="{00000000-0005-0000-0000-0000D6660000}"/>
    <cellStyle name="Normal 13 7 3 2 2" xfId="16583" xr:uid="{00000000-0005-0000-0000-0000D7660000}"/>
    <cellStyle name="Normal 13 7 3 2 2 2" xfId="29990" xr:uid="{00000000-0005-0000-0000-0000D8660000}"/>
    <cellStyle name="Normal 13 7 3 2 3" xfId="31167" xr:uid="{00000000-0005-0000-0000-0000D9660000}"/>
    <cellStyle name="Normal 13 7 3 3" xfId="11493" xr:uid="{00000000-0005-0000-0000-0000DA660000}"/>
    <cellStyle name="Normal 13 7 3 3 2" xfId="25325" xr:uid="{00000000-0005-0000-0000-0000DB660000}"/>
    <cellStyle name="Normal 13 7 3 4" xfId="31166" xr:uid="{00000000-0005-0000-0000-0000DC660000}"/>
    <cellStyle name="Normal 13 7 4" xfId="6846" xr:uid="{00000000-0005-0000-0000-0000DD660000}"/>
    <cellStyle name="Normal 13 7 4 2" xfId="11960" xr:uid="{00000000-0005-0000-0000-0000DE660000}"/>
    <cellStyle name="Normal 13 7 4 2 2" xfId="25675" xr:uid="{00000000-0005-0000-0000-0000DF660000}"/>
    <cellStyle name="Normal 13 7 4 3" xfId="31168" xr:uid="{00000000-0005-0000-0000-0000E0660000}"/>
    <cellStyle name="Normal 13 7 5" xfId="6847" xr:uid="{00000000-0005-0000-0000-0000E1660000}"/>
    <cellStyle name="Normal 13 7 5 2" xfId="13535" xr:uid="{00000000-0005-0000-0000-0000E2660000}"/>
    <cellStyle name="Normal 13 7 5 2 2" xfId="27084" xr:uid="{00000000-0005-0000-0000-0000E3660000}"/>
    <cellStyle name="Normal 13 7 5 3" xfId="31169" xr:uid="{00000000-0005-0000-0000-0000E4660000}"/>
    <cellStyle name="Normal 13 7 6" xfId="6848" xr:uid="{00000000-0005-0000-0000-0000E5660000}"/>
    <cellStyle name="Normal 13 7 6 2" xfId="14116" xr:uid="{00000000-0005-0000-0000-0000E6660000}"/>
    <cellStyle name="Normal 13 7 6 2 2" xfId="27665" xr:uid="{00000000-0005-0000-0000-0000E7660000}"/>
    <cellStyle name="Normal 13 7 6 3" xfId="31170" xr:uid="{00000000-0005-0000-0000-0000E8660000}"/>
    <cellStyle name="Normal 13 7 7" xfId="6849" xr:uid="{00000000-0005-0000-0000-0000E9660000}"/>
    <cellStyle name="Normal 13 7 7 2" xfId="16002" xr:uid="{00000000-0005-0000-0000-0000EA660000}"/>
    <cellStyle name="Normal 13 7 7 2 2" xfId="29409" xr:uid="{00000000-0005-0000-0000-0000EB660000}"/>
    <cellStyle name="Normal 13 7 7 3" xfId="31171" xr:uid="{00000000-0005-0000-0000-0000EC660000}"/>
    <cellStyle name="Normal 13 7 8" xfId="10113" xr:uid="{00000000-0005-0000-0000-0000ED660000}"/>
    <cellStyle name="Normal 13 7 8 2" xfId="24342" xr:uid="{00000000-0005-0000-0000-0000EE660000}"/>
    <cellStyle name="Normal 13 7 9" xfId="31158" xr:uid="{00000000-0005-0000-0000-0000EF660000}"/>
    <cellStyle name="Normal 13 8" xfId="6850" xr:uid="{00000000-0005-0000-0000-0000F0660000}"/>
    <cellStyle name="Normal 13 8 2" xfId="6851" xr:uid="{00000000-0005-0000-0000-0000F1660000}"/>
    <cellStyle name="Normal 13 8 2 2" xfId="6852" xr:uid="{00000000-0005-0000-0000-0000F2660000}"/>
    <cellStyle name="Normal 13 8 2 2 2" xfId="16728" xr:uid="{00000000-0005-0000-0000-0000F3660000}"/>
    <cellStyle name="Normal 13 8 2 2 2 2" xfId="30135" xr:uid="{00000000-0005-0000-0000-0000F4660000}"/>
    <cellStyle name="Normal 13 8 2 2 3" xfId="31174" xr:uid="{00000000-0005-0000-0000-0000F5660000}"/>
    <cellStyle name="Normal 13 8 2 3" xfId="11495" xr:uid="{00000000-0005-0000-0000-0000F6660000}"/>
    <cellStyle name="Normal 13 8 2 3 2" xfId="25327" xr:uid="{00000000-0005-0000-0000-0000F7660000}"/>
    <cellStyle name="Normal 13 8 2 4" xfId="31173" xr:uid="{00000000-0005-0000-0000-0000F8660000}"/>
    <cellStyle name="Normal 13 8 3" xfId="6853" xr:uid="{00000000-0005-0000-0000-0000F9660000}"/>
    <cellStyle name="Normal 13 8 3 2" xfId="12113" xr:uid="{00000000-0005-0000-0000-0000FA660000}"/>
    <cellStyle name="Normal 13 8 3 2 2" xfId="25825" xr:uid="{00000000-0005-0000-0000-0000FB660000}"/>
    <cellStyle name="Normal 13 8 3 3" xfId="31175" xr:uid="{00000000-0005-0000-0000-0000FC660000}"/>
    <cellStyle name="Normal 13 8 4" xfId="6854" xr:uid="{00000000-0005-0000-0000-0000FD660000}"/>
    <cellStyle name="Normal 13 8 4 2" xfId="13680" xr:uid="{00000000-0005-0000-0000-0000FE660000}"/>
    <cellStyle name="Normal 13 8 4 2 2" xfId="27229" xr:uid="{00000000-0005-0000-0000-0000FF660000}"/>
    <cellStyle name="Normal 13 8 4 3" xfId="31176" xr:uid="{00000000-0005-0000-0000-000000670000}"/>
    <cellStyle name="Normal 13 8 5" xfId="6855" xr:uid="{00000000-0005-0000-0000-000001670000}"/>
    <cellStyle name="Normal 13 8 5 2" xfId="14261" xr:uid="{00000000-0005-0000-0000-000002670000}"/>
    <cellStyle name="Normal 13 8 5 2 2" xfId="27810" xr:uid="{00000000-0005-0000-0000-000003670000}"/>
    <cellStyle name="Normal 13 8 5 3" xfId="31177" xr:uid="{00000000-0005-0000-0000-000004670000}"/>
    <cellStyle name="Normal 13 8 6" xfId="6856" xr:uid="{00000000-0005-0000-0000-000005670000}"/>
    <cellStyle name="Normal 13 8 6 2" xfId="16147" xr:uid="{00000000-0005-0000-0000-000006670000}"/>
    <cellStyle name="Normal 13 8 6 2 2" xfId="29554" xr:uid="{00000000-0005-0000-0000-000007670000}"/>
    <cellStyle name="Normal 13 8 6 3" xfId="31178" xr:uid="{00000000-0005-0000-0000-000008670000}"/>
    <cellStyle name="Normal 13 8 7" xfId="10115" xr:uid="{00000000-0005-0000-0000-000009670000}"/>
    <cellStyle name="Normal 13 8 7 2" xfId="24344" xr:uid="{00000000-0005-0000-0000-00000A670000}"/>
    <cellStyle name="Normal 13 8 8" xfId="31172" xr:uid="{00000000-0005-0000-0000-00000B670000}"/>
    <cellStyle name="Normal 13 9" xfId="6857" xr:uid="{00000000-0005-0000-0000-00000C670000}"/>
    <cellStyle name="Normal 13 9 2" xfId="6858" xr:uid="{00000000-0005-0000-0000-00000D670000}"/>
    <cellStyle name="Normal 13 9 2 2" xfId="11724" xr:uid="{00000000-0005-0000-0000-00000E670000}"/>
    <cellStyle name="Normal 13 9 2 2 2" xfId="25444" xr:uid="{00000000-0005-0000-0000-00000F670000}"/>
    <cellStyle name="Normal 13 9 2 3" xfId="31180" xr:uid="{00000000-0005-0000-0000-000010670000}"/>
    <cellStyle name="Normal 13 9 3" xfId="6859" xr:uid="{00000000-0005-0000-0000-000011670000}"/>
    <cellStyle name="Normal 13 9 3 2" xfId="13242" xr:uid="{00000000-0005-0000-0000-000012670000}"/>
    <cellStyle name="Normal 13 9 3 2 2" xfId="26887" xr:uid="{00000000-0005-0000-0000-000013670000}"/>
    <cellStyle name="Normal 13 9 3 3" xfId="31181" xr:uid="{00000000-0005-0000-0000-000014670000}"/>
    <cellStyle name="Normal 13 9 4" xfId="6860" xr:uid="{00000000-0005-0000-0000-000015670000}"/>
    <cellStyle name="Normal 13 9 4 2" xfId="15693" xr:uid="{00000000-0005-0000-0000-000016670000}"/>
    <cellStyle name="Normal 13 9 4 2 2" xfId="29179" xr:uid="{00000000-0005-0000-0000-000017670000}"/>
    <cellStyle name="Normal 13 9 4 3" xfId="31182" xr:uid="{00000000-0005-0000-0000-000018670000}"/>
    <cellStyle name="Normal 13 9 5" xfId="6861" xr:uid="{00000000-0005-0000-0000-000019670000}"/>
    <cellStyle name="Normal 13 9 5 2" xfId="17036" xr:uid="{00000000-0005-0000-0000-00001A670000}"/>
    <cellStyle name="Normal 13 9 5 2 2" xfId="30439" xr:uid="{00000000-0005-0000-0000-00001B670000}"/>
    <cellStyle name="Normal 13 9 5 3" xfId="31183" xr:uid="{00000000-0005-0000-0000-00001C670000}"/>
    <cellStyle name="Normal 13 9 6" xfId="10497" xr:uid="{00000000-0005-0000-0000-00001D670000}"/>
    <cellStyle name="Normal 13 9 6 2" xfId="24448" xr:uid="{00000000-0005-0000-0000-00001E670000}"/>
    <cellStyle name="Normal 13 9 7" xfId="31179" xr:uid="{00000000-0005-0000-0000-00001F670000}"/>
    <cellStyle name="Normal 14" xfId="6862" xr:uid="{00000000-0005-0000-0000-000020670000}"/>
    <cellStyle name="Normal 14 10" xfId="6863" xr:uid="{00000000-0005-0000-0000-000021670000}"/>
    <cellStyle name="Normal 14 10 2" xfId="6864" xr:uid="{00000000-0005-0000-0000-000022670000}"/>
    <cellStyle name="Normal 14 10 2 2" xfId="17291" xr:uid="{00000000-0005-0000-0000-000023670000}"/>
    <cellStyle name="Normal 14 10 2 2 2" xfId="30650" xr:uid="{00000000-0005-0000-0000-000024670000}"/>
    <cellStyle name="Normal 14 10 2 3" xfId="31186" xr:uid="{00000000-0005-0000-0000-000025670000}"/>
    <cellStyle name="Normal 14 10 3" xfId="14010" xr:uid="{00000000-0005-0000-0000-000026670000}"/>
    <cellStyle name="Normal 14 10 3 2" xfId="27559" xr:uid="{00000000-0005-0000-0000-000027670000}"/>
    <cellStyle name="Normal 14 10 4" xfId="31185" xr:uid="{00000000-0005-0000-0000-000028670000}"/>
    <cellStyle name="Normal 14 11" xfId="6865" xr:uid="{00000000-0005-0000-0000-000029670000}"/>
    <cellStyle name="Normal 14 11 2" xfId="16477" xr:uid="{00000000-0005-0000-0000-00002A670000}"/>
    <cellStyle name="Normal 14 11 2 2" xfId="29884" xr:uid="{00000000-0005-0000-0000-00002B670000}"/>
    <cellStyle name="Normal 14 11 3" xfId="31187" xr:uid="{00000000-0005-0000-0000-00002C670000}"/>
    <cellStyle name="Normal 14 12" xfId="6866" xr:uid="{00000000-0005-0000-0000-00002D670000}"/>
    <cellStyle name="Normal 14 12 2" xfId="15896" xr:uid="{00000000-0005-0000-0000-00002E670000}"/>
    <cellStyle name="Normal 14 12 2 2" xfId="29303" xr:uid="{00000000-0005-0000-0000-00002F670000}"/>
    <cellStyle name="Normal 14 12 3" xfId="31188" xr:uid="{00000000-0005-0000-0000-000030670000}"/>
    <cellStyle name="Normal 14 13" xfId="10116" xr:uid="{00000000-0005-0000-0000-000031670000}"/>
    <cellStyle name="Normal 14 14" xfId="31184" xr:uid="{00000000-0005-0000-0000-000032670000}"/>
    <cellStyle name="Normal 14 15" xfId="33038" xr:uid="{00000000-0005-0000-0000-000033670000}"/>
    <cellStyle name="Normal 14 2" xfId="6867" xr:uid="{00000000-0005-0000-0000-000034670000}"/>
    <cellStyle name="Normal 14 2 10" xfId="10117" xr:uid="{00000000-0005-0000-0000-000035670000}"/>
    <cellStyle name="Normal 14 2 10 2" xfId="24345" xr:uid="{00000000-0005-0000-0000-000036670000}"/>
    <cellStyle name="Normal 14 2 11" xfId="31189" xr:uid="{00000000-0005-0000-0000-000037670000}"/>
    <cellStyle name="Normal 14 2 2" xfId="6868" xr:uid="{00000000-0005-0000-0000-000038670000}"/>
    <cellStyle name="Normal 14 2 2 10" xfId="31190" xr:uid="{00000000-0005-0000-0000-000039670000}"/>
    <cellStyle name="Normal 14 2 2 2" xfId="6869" xr:uid="{00000000-0005-0000-0000-00003A670000}"/>
    <cellStyle name="Normal 14 2 2 2 2" xfId="6870" xr:uid="{00000000-0005-0000-0000-00003B670000}"/>
    <cellStyle name="Normal 14 2 2 2 2 2" xfId="6871" xr:uid="{00000000-0005-0000-0000-00003C670000}"/>
    <cellStyle name="Normal 14 2 2 2 2 2 2" xfId="6872" xr:uid="{00000000-0005-0000-0000-00003D670000}"/>
    <cellStyle name="Normal 14 2 2 2 2 2 2 2" xfId="16978" xr:uid="{00000000-0005-0000-0000-00003E670000}"/>
    <cellStyle name="Normal 14 2 2 2 2 2 2 2 2" xfId="30385" xr:uid="{00000000-0005-0000-0000-00003F670000}"/>
    <cellStyle name="Normal 14 2 2 2 2 2 2 3" xfId="31194" xr:uid="{00000000-0005-0000-0000-000040670000}"/>
    <cellStyle name="Normal 14 2 2 2 2 2 3" xfId="11499" xr:uid="{00000000-0005-0000-0000-000041670000}"/>
    <cellStyle name="Normal 14 2 2 2 2 2 3 2" xfId="25331" xr:uid="{00000000-0005-0000-0000-000042670000}"/>
    <cellStyle name="Normal 14 2 2 2 2 2 4" xfId="31193" xr:uid="{00000000-0005-0000-0000-000043670000}"/>
    <cellStyle name="Normal 14 2 2 2 2 3" xfId="6873" xr:uid="{00000000-0005-0000-0000-000044670000}"/>
    <cellStyle name="Normal 14 2 2 2 2 3 2" xfId="12366" xr:uid="{00000000-0005-0000-0000-000045670000}"/>
    <cellStyle name="Normal 14 2 2 2 2 3 2 2" xfId="26078" xr:uid="{00000000-0005-0000-0000-000046670000}"/>
    <cellStyle name="Normal 14 2 2 2 2 3 3" xfId="31195" xr:uid="{00000000-0005-0000-0000-000047670000}"/>
    <cellStyle name="Normal 14 2 2 2 2 4" xfId="6874" xr:uid="{00000000-0005-0000-0000-000048670000}"/>
    <cellStyle name="Normal 14 2 2 2 2 4 2" xfId="13930" xr:uid="{00000000-0005-0000-0000-000049670000}"/>
    <cellStyle name="Normal 14 2 2 2 2 4 2 2" xfId="27479" xr:uid="{00000000-0005-0000-0000-00004A670000}"/>
    <cellStyle name="Normal 14 2 2 2 2 4 3" xfId="31196" xr:uid="{00000000-0005-0000-0000-00004B670000}"/>
    <cellStyle name="Normal 14 2 2 2 2 5" xfId="6875" xr:uid="{00000000-0005-0000-0000-00004C670000}"/>
    <cellStyle name="Normal 14 2 2 2 2 5 2" xfId="14511" xr:uid="{00000000-0005-0000-0000-00004D670000}"/>
    <cellStyle name="Normal 14 2 2 2 2 5 2 2" xfId="28060" xr:uid="{00000000-0005-0000-0000-00004E670000}"/>
    <cellStyle name="Normal 14 2 2 2 2 5 3" xfId="31197" xr:uid="{00000000-0005-0000-0000-00004F670000}"/>
    <cellStyle name="Normal 14 2 2 2 2 6" xfId="6876" xr:uid="{00000000-0005-0000-0000-000050670000}"/>
    <cellStyle name="Normal 14 2 2 2 2 6 2" xfId="16397" xr:uid="{00000000-0005-0000-0000-000051670000}"/>
    <cellStyle name="Normal 14 2 2 2 2 6 2 2" xfId="29804" xr:uid="{00000000-0005-0000-0000-000052670000}"/>
    <cellStyle name="Normal 14 2 2 2 2 6 3" xfId="31198" xr:uid="{00000000-0005-0000-0000-000053670000}"/>
    <cellStyle name="Normal 14 2 2 2 2 7" xfId="10120" xr:uid="{00000000-0005-0000-0000-000054670000}"/>
    <cellStyle name="Normal 14 2 2 2 2 7 2" xfId="24348" xr:uid="{00000000-0005-0000-0000-000055670000}"/>
    <cellStyle name="Normal 14 2 2 2 2 8" xfId="31192" xr:uid="{00000000-0005-0000-0000-000056670000}"/>
    <cellStyle name="Normal 14 2 2 2 3" xfId="6877" xr:uid="{00000000-0005-0000-0000-000057670000}"/>
    <cellStyle name="Normal 14 2 2 2 3 2" xfId="6878" xr:uid="{00000000-0005-0000-0000-000058670000}"/>
    <cellStyle name="Normal 14 2 2 2 3 2 2" xfId="16689" xr:uid="{00000000-0005-0000-0000-000059670000}"/>
    <cellStyle name="Normal 14 2 2 2 3 2 2 2" xfId="30096" xr:uid="{00000000-0005-0000-0000-00005A670000}"/>
    <cellStyle name="Normal 14 2 2 2 3 2 3" xfId="31200" xr:uid="{00000000-0005-0000-0000-00005B670000}"/>
    <cellStyle name="Normal 14 2 2 2 3 3" xfId="11498" xr:uid="{00000000-0005-0000-0000-00005C670000}"/>
    <cellStyle name="Normal 14 2 2 2 3 3 2" xfId="25330" xr:uid="{00000000-0005-0000-0000-00005D670000}"/>
    <cellStyle name="Normal 14 2 2 2 3 4" xfId="31199" xr:uid="{00000000-0005-0000-0000-00005E670000}"/>
    <cellStyle name="Normal 14 2 2 2 4" xfId="6879" xr:uid="{00000000-0005-0000-0000-00005F670000}"/>
    <cellStyle name="Normal 14 2 2 2 4 2" xfId="12066" xr:uid="{00000000-0005-0000-0000-000060670000}"/>
    <cellStyle name="Normal 14 2 2 2 4 2 2" xfId="25781" xr:uid="{00000000-0005-0000-0000-000061670000}"/>
    <cellStyle name="Normal 14 2 2 2 4 3" xfId="31201" xr:uid="{00000000-0005-0000-0000-000062670000}"/>
    <cellStyle name="Normal 14 2 2 2 5" xfId="6880" xr:uid="{00000000-0005-0000-0000-000063670000}"/>
    <cellStyle name="Normal 14 2 2 2 5 2" xfId="13641" xr:uid="{00000000-0005-0000-0000-000064670000}"/>
    <cellStyle name="Normal 14 2 2 2 5 2 2" xfId="27190" xr:uid="{00000000-0005-0000-0000-000065670000}"/>
    <cellStyle name="Normal 14 2 2 2 5 3" xfId="31202" xr:uid="{00000000-0005-0000-0000-000066670000}"/>
    <cellStyle name="Normal 14 2 2 2 6" xfId="6881" xr:uid="{00000000-0005-0000-0000-000067670000}"/>
    <cellStyle name="Normal 14 2 2 2 6 2" xfId="14222" xr:uid="{00000000-0005-0000-0000-000068670000}"/>
    <cellStyle name="Normal 14 2 2 2 6 2 2" xfId="27771" xr:uid="{00000000-0005-0000-0000-000069670000}"/>
    <cellStyle name="Normal 14 2 2 2 6 3" xfId="31203" xr:uid="{00000000-0005-0000-0000-00006A670000}"/>
    <cellStyle name="Normal 14 2 2 2 7" xfId="6882" xr:uid="{00000000-0005-0000-0000-00006B670000}"/>
    <cellStyle name="Normal 14 2 2 2 7 2" xfId="16108" xr:uid="{00000000-0005-0000-0000-00006C670000}"/>
    <cellStyle name="Normal 14 2 2 2 7 2 2" xfId="29515" xr:uid="{00000000-0005-0000-0000-00006D670000}"/>
    <cellStyle name="Normal 14 2 2 2 7 3" xfId="31204" xr:uid="{00000000-0005-0000-0000-00006E670000}"/>
    <cellStyle name="Normal 14 2 2 2 8" xfId="10119" xr:uid="{00000000-0005-0000-0000-00006F670000}"/>
    <cellStyle name="Normal 14 2 2 2 8 2" xfId="24347" xr:uid="{00000000-0005-0000-0000-000070670000}"/>
    <cellStyle name="Normal 14 2 2 2 9" xfId="31191" xr:uid="{00000000-0005-0000-0000-000071670000}"/>
    <cellStyle name="Normal 14 2 2 3" xfId="6883" xr:uid="{00000000-0005-0000-0000-000072670000}"/>
    <cellStyle name="Normal 14 2 2 3 2" xfId="6884" xr:uid="{00000000-0005-0000-0000-000073670000}"/>
    <cellStyle name="Normal 14 2 2 3 2 2" xfId="6885" xr:uid="{00000000-0005-0000-0000-000074670000}"/>
    <cellStyle name="Normal 14 2 2 3 2 2 2" xfId="16835" xr:uid="{00000000-0005-0000-0000-000075670000}"/>
    <cellStyle name="Normal 14 2 2 3 2 2 2 2" xfId="30242" xr:uid="{00000000-0005-0000-0000-000076670000}"/>
    <cellStyle name="Normal 14 2 2 3 2 2 3" xfId="31207" xr:uid="{00000000-0005-0000-0000-000077670000}"/>
    <cellStyle name="Normal 14 2 2 3 2 3" xfId="11500" xr:uid="{00000000-0005-0000-0000-000078670000}"/>
    <cellStyle name="Normal 14 2 2 3 2 3 2" xfId="25332" xr:uid="{00000000-0005-0000-0000-000079670000}"/>
    <cellStyle name="Normal 14 2 2 3 2 4" xfId="31206" xr:uid="{00000000-0005-0000-0000-00007A670000}"/>
    <cellStyle name="Normal 14 2 2 3 3" xfId="6886" xr:uid="{00000000-0005-0000-0000-00007B670000}"/>
    <cellStyle name="Normal 14 2 2 3 3 2" xfId="12223" xr:uid="{00000000-0005-0000-0000-00007C670000}"/>
    <cellStyle name="Normal 14 2 2 3 3 2 2" xfId="25935" xr:uid="{00000000-0005-0000-0000-00007D670000}"/>
    <cellStyle name="Normal 14 2 2 3 3 3" xfId="31208" xr:uid="{00000000-0005-0000-0000-00007E670000}"/>
    <cellStyle name="Normal 14 2 2 3 4" xfId="6887" xr:uid="{00000000-0005-0000-0000-00007F670000}"/>
    <cellStyle name="Normal 14 2 2 3 4 2" xfId="13787" xr:uid="{00000000-0005-0000-0000-000080670000}"/>
    <cellStyle name="Normal 14 2 2 3 4 2 2" xfId="27336" xr:uid="{00000000-0005-0000-0000-000081670000}"/>
    <cellStyle name="Normal 14 2 2 3 4 3" xfId="31209" xr:uid="{00000000-0005-0000-0000-000082670000}"/>
    <cellStyle name="Normal 14 2 2 3 5" xfId="6888" xr:uid="{00000000-0005-0000-0000-000083670000}"/>
    <cellStyle name="Normal 14 2 2 3 5 2" xfId="14368" xr:uid="{00000000-0005-0000-0000-000084670000}"/>
    <cellStyle name="Normal 14 2 2 3 5 2 2" xfId="27917" xr:uid="{00000000-0005-0000-0000-000085670000}"/>
    <cellStyle name="Normal 14 2 2 3 5 3" xfId="31210" xr:uid="{00000000-0005-0000-0000-000086670000}"/>
    <cellStyle name="Normal 14 2 2 3 6" xfId="6889" xr:uid="{00000000-0005-0000-0000-000087670000}"/>
    <cellStyle name="Normal 14 2 2 3 6 2" xfId="16254" xr:uid="{00000000-0005-0000-0000-000088670000}"/>
    <cellStyle name="Normal 14 2 2 3 6 2 2" xfId="29661" xr:uid="{00000000-0005-0000-0000-000089670000}"/>
    <cellStyle name="Normal 14 2 2 3 6 3" xfId="31211" xr:uid="{00000000-0005-0000-0000-00008A670000}"/>
    <cellStyle name="Normal 14 2 2 3 7" xfId="10121" xr:uid="{00000000-0005-0000-0000-00008B670000}"/>
    <cellStyle name="Normal 14 2 2 3 7 2" xfId="24349" xr:uid="{00000000-0005-0000-0000-00008C670000}"/>
    <cellStyle name="Normal 14 2 2 3 8" xfId="31205" xr:uid="{00000000-0005-0000-0000-00008D670000}"/>
    <cellStyle name="Normal 14 2 2 4" xfId="6890" xr:uid="{00000000-0005-0000-0000-00008E670000}"/>
    <cellStyle name="Normal 14 2 2 4 2" xfId="6891" xr:uid="{00000000-0005-0000-0000-00008F670000}"/>
    <cellStyle name="Normal 14 2 2 4 2 2" xfId="17182" xr:uid="{00000000-0005-0000-0000-000090670000}"/>
    <cellStyle name="Normal 14 2 2 4 2 2 2" xfId="30541" xr:uid="{00000000-0005-0000-0000-000091670000}"/>
    <cellStyle name="Normal 14 2 2 4 2 3" xfId="31213" xr:uid="{00000000-0005-0000-0000-000092670000}"/>
    <cellStyle name="Normal 14 2 2 4 3" xfId="11497" xr:uid="{00000000-0005-0000-0000-000093670000}"/>
    <cellStyle name="Normal 14 2 2 4 3 2" xfId="25329" xr:uid="{00000000-0005-0000-0000-000094670000}"/>
    <cellStyle name="Normal 14 2 2 4 4" xfId="31212" xr:uid="{00000000-0005-0000-0000-000095670000}"/>
    <cellStyle name="Normal 14 2 2 5" xfId="6892" xr:uid="{00000000-0005-0000-0000-000096670000}"/>
    <cellStyle name="Normal 14 2 2 5 2" xfId="6893" xr:uid="{00000000-0005-0000-0000-000097670000}"/>
    <cellStyle name="Normal 14 2 2 5 2 2" xfId="17271" xr:uid="{00000000-0005-0000-0000-000098670000}"/>
    <cellStyle name="Normal 14 2 2 5 2 2 2" xfId="30630" xr:uid="{00000000-0005-0000-0000-000099670000}"/>
    <cellStyle name="Normal 14 2 2 5 2 3" xfId="31215" xr:uid="{00000000-0005-0000-0000-00009A670000}"/>
    <cellStyle name="Normal 14 2 2 5 3" xfId="11921" xr:uid="{00000000-0005-0000-0000-00009B670000}"/>
    <cellStyle name="Normal 14 2 2 5 3 2" xfId="25636" xr:uid="{00000000-0005-0000-0000-00009C670000}"/>
    <cellStyle name="Normal 14 2 2 5 4" xfId="31214" xr:uid="{00000000-0005-0000-0000-00009D670000}"/>
    <cellStyle name="Normal 14 2 2 6" xfId="6894" xr:uid="{00000000-0005-0000-0000-00009E670000}"/>
    <cellStyle name="Normal 14 2 2 6 2" xfId="6895" xr:uid="{00000000-0005-0000-0000-00009F670000}"/>
    <cellStyle name="Normal 14 2 2 6 2 2" xfId="16546" xr:uid="{00000000-0005-0000-0000-0000A0670000}"/>
    <cellStyle name="Normal 14 2 2 6 2 2 2" xfId="29953" xr:uid="{00000000-0005-0000-0000-0000A1670000}"/>
    <cellStyle name="Normal 14 2 2 6 2 3" xfId="31217" xr:uid="{00000000-0005-0000-0000-0000A2670000}"/>
    <cellStyle name="Normal 14 2 2 6 3" xfId="13498" xr:uid="{00000000-0005-0000-0000-0000A3670000}"/>
    <cellStyle name="Normal 14 2 2 6 3 2" xfId="27047" xr:uid="{00000000-0005-0000-0000-0000A4670000}"/>
    <cellStyle name="Normal 14 2 2 6 4" xfId="31216" xr:uid="{00000000-0005-0000-0000-0000A5670000}"/>
    <cellStyle name="Normal 14 2 2 7" xfId="6896" xr:uid="{00000000-0005-0000-0000-0000A6670000}"/>
    <cellStyle name="Normal 14 2 2 7 2" xfId="14079" xr:uid="{00000000-0005-0000-0000-0000A7670000}"/>
    <cellStyle name="Normal 14 2 2 7 2 2" xfId="27628" xr:uid="{00000000-0005-0000-0000-0000A8670000}"/>
    <cellStyle name="Normal 14 2 2 7 3" xfId="31218" xr:uid="{00000000-0005-0000-0000-0000A9670000}"/>
    <cellStyle name="Normal 14 2 2 8" xfId="6897" xr:uid="{00000000-0005-0000-0000-0000AA670000}"/>
    <cellStyle name="Normal 14 2 2 8 2" xfId="15965" xr:uid="{00000000-0005-0000-0000-0000AB670000}"/>
    <cellStyle name="Normal 14 2 2 8 2 2" xfId="29372" xr:uid="{00000000-0005-0000-0000-0000AC670000}"/>
    <cellStyle name="Normal 14 2 2 8 3" xfId="31219" xr:uid="{00000000-0005-0000-0000-0000AD670000}"/>
    <cellStyle name="Normal 14 2 2 9" xfId="10118" xr:uid="{00000000-0005-0000-0000-0000AE670000}"/>
    <cellStyle name="Normal 14 2 2 9 2" xfId="24346" xr:uid="{00000000-0005-0000-0000-0000AF670000}"/>
    <cellStyle name="Normal 14 2 3" xfId="6898" xr:uid="{00000000-0005-0000-0000-0000B0670000}"/>
    <cellStyle name="Normal 14 2 3 2" xfId="6899" xr:uid="{00000000-0005-0000-0000-0000B1670000}"/>
    <cellStyle name="Normal 14 2 3 2 2" xfId="6900" xr:uid="{00000000-0005-0000-0000-0000B2670000}"/>
    <cellStyle name="Normal 14 2 3 2 2 2" xfId="6901" xr:uid="{00000000-0005-0000-0000-0000B3670000}"/>
    <cellStyle name="Normal 14 2 3 2 2 2 2" xfId="16932" xr:uid="{00000000-0005-0000-0000-0000B4670000}"/>
    <cellStyle name="Normal 14 2 3 2 2 2 2 2" xfId="30339" xr:uid="{00000000-0005-0000-0000-0000B5670000}"/>
    <cellStyle name="Normal 14 2 3 2 2 2 3" xfId="31223" xr:uid="{00000000-0005-0000-0000-0000B6670000}"/>
    <cellStyle name="Normal 14 2 3 2 2 3" xfId="11502" xr:uid="{00000000-0005-0000-0000-0000B7670000}"/>
    <cellStyle name="Normal 14 2 3 2 2 3 2" xfId="25334" xr:uid="{00000000-0005-0000-0000-0000B8670000}"/>
    <cellStyle name="Normal 14 2 3 2 2 4" xfId="31222" xr:uid="{00000000-0005-0000-0000-0000B9670000}"/>
    <cellStyle name="Normal 14 2 3 2 3" xfId="6902" xr:uid="{00000000-0005-0000-0000-0000BA670000}"/>
    <cellStyle name="Normal 14 2 3 2 3 2" xfId="12320" xr:uid="{00000000-0005-0000-0000-0000BB670000}"/>
    <cellStyle name="Normal 14 2 3 2 3 2 2" xfId="26032" xr:uid="{00000000-0005-0000-0000-0000BC670000}"/>
    <cellStyle name="Normal 14 2 3 2 3 3" xfId="31224" xr:uid="{00000000-0005-0000-0000-0000BD670000}"/>
    <cellStyle name="Normal 14 2 3 2 4" xfId="6903" xr:uid="{00000000-0005-0000-0000-0000BE670000}"/>
    <cellStyle name="Normal 14 2 3 2 4 2" xfId="13884" xr:uid="{00000000-0005-0000-0000-0000BF670000}"/>
    <cellStyle name="Normal 14 2 3 2 4 2 2" xfId="27433" xr:uid="{00000000-0005-0000-0000-0000C0670000}"/>
    <cellStyle name="Normal 14 2 3 2 4 3" xfId="31225" xr:uid="{00000000-0005-0000-0000-0000C1670000}"/>
    <cellStyle name="Normal 14 2 3 2 5" xfId="6904" xr:uid="{00000000-0005-0000-0000-0000C2670000}"/>
    <cellStyle name="Normal 14 2 3 2 5 2" xfId="14465" xr:uid="{00000000-0005-0000-0000-0000C3670000}"/>
    <cellStyle name="Normal 14 2 3 2 5 2 2" xfId="28014" xr:uid="{00000000-0005-0000-0000-0000C4670000}"/>
    <cellStyle name="Normal 14 2 3 2 5 3" xfId="31226" xr:uid="{00000000-0005-0000-0000-0000C5670000}"/>
    <cellStyle name="Normal 14 2 3 2 6" xfId="6905" xr:uid="{00000000-0005-0000-0000-0000C6670000}"/>
    <cellStyle name="Normal 14 2 3 2 6 2" xfId="16351" xr:uid="{00000000-0005-0000-0000-0000C7670000}"/>
    <cellStyle name="Normal 14 2 3 2 6 2 2" xfId="29758" xr:uid="{00000000-0005-0000-0000-0000C8670000}"/>
    <cellStyle name="Normal 14 2 3 2 6 3" xfId="31227" xr:uid="{00000000-0005-0000-0000-0000C9670000}"/>
    <cellStyle name="Normal 14 2 3 2 7" xfId="10123" xr:uid="{00000000-0005-0000-0000-0000CA670000}"/>
    <cellStyle name="Normal 14 2 3 2 7 2" xfId="24351" xr:uid="{00000000-0005-0000-0000-0000CB670000}"/>
    <cellStyle name="Normal 14 2 3 2 8" xfId="31221" xr:uid="{00000000-0005-0000-0000-0000CC670000}"/>
    <cellStyle name="Normal 14 2 3 3" xfId="6906" xr:uid="{00000000-0005-0000-0000-0000CD670000}"/>
    <cellStyle name="Normal 14 2 3 3 2" xfId="6907" xr:uid="{00000000-0005-0000-0000-0000CE670000}"/>
    <cellStyle name="Normal 14 2 3 3 2 2" xfId="16643" xr:uid="{00000000-0005-0000-0000-0000CF670000}"/>
    <cellStyle name="Normal 14 2 3 3 2 2 2" xfId="30050" xr:uid="{00000000-0005-0000-0000-0000D0670000}"/>
    <cellStyle name="Normal 14 2 3 3 2 3" xfId="31229" xr:uid="{00000000-0005-0000-0000-0000D1670000}"/>
    <cellStyle name="Normal 14 2 3 3 3" xfId="11501" xr:uid="{00000000-0005-0000-0000-0000D2670000}"/>
    <cellStyle name="Normal 14 2 3 3 3 2" xfId="25333" xr:uid="{00000000-0005-0000-0000-0000D3670000}"/>
    <cellStyle name="Normal 14 2 3 3 4" xfId="31228" xr:uid="{00000000-0005-0000-0000-0000D4670000}"/>
    <cellStyle name="Normal 14 2 3 4" xfId="6908" xr:uid="{00000000-0005-0000-0000-0000D5670000}"/>
    <cellStyle name="Normal 14 2 3 4 2" xfId="12020" xr:uid="{00000000-0005-0000-0000-0000D6670000}"/>
    <cellStyle name="Normal 14 2 3 4 2 2" xfId="25735" xr:uid="{00000000-0005-0000-0000-0000D7670000}"/>
    <cellStyle name="Normal 14 2 3 4 3" xfId="31230" xr:uid="{00000000-0005-0000-0000-0000D8670000}"/>
    <cellStyle name="Normal 14 2 3 5" xfId="6909" xr:uid="{00000000-0005-0000-0000-0000D9670000}"/>
    <cellStyle name="Normal 14 2 3 5 2" xfId="13595" xr:uid="{00000000-0005-0000-0000-0000DA670000}"/>
    <cellStyle name="Normal 14 2 3 5 2 2" xfId="27144" xr:uid="{00000000-0005-0000-0000-0000DB670000}"/>
    <cellStyle name="Normal 14 2 3 5 3" xfId="31231" xr:uid="{00000000-0005-0000-0000-0000DC670000}"/>
    <cellStyle name="Normal 14 2 3 6" xfId="6910" xr:uid="{00000000-0005-0000-0000-0000DD670000}"/>
    <cellStyle name="Normal 14 2 3 6 2" xfId="14176" xr:uid="{00000000-0005-0000-0000-0000DE670000}"/>
    <cellStyle name="Normal 14 2 3 6 2 2" xfId="27725" xr:uid="{00000000-0005-0000-0000-0000DF670000}"/>
    <cellStyle name="Normal 14 2 3 6 3" xfId="31232" xr:uid="{00000000-0005-0000-0000-0000E0670000}"/>
    <cellStyle name="Normal 14 2 3 7" xfId="6911" xr:uid="{00000000-0005-0000-0000-0000E1670000}"/>
    <cellStyle name="Normal 14 2 3 7 2" xfId="16062" xr:uid="{00000000-0005-0000-0000-0000E2670000}"/>
    <cellStyle name="Normal 14 2 3 7 2 2" xfId="29469" xr:uid="{00000000-0005-0000-0000-0000E3670000}"/>
    <cellStyle name="Normal 14 2 3 7 3" xfId="31233" xr:uid="{00000000-0005-0000-0000-0000E4670000}"/>
    <cellStyle name="Normal 14 2 3 8" xfId="10122" xr:uid="{00000000-0005-0000-0000-0000E5670000}"/>
    <cellStyle name="Normal 14 2 3 8 2" xfId="24350" xr:uid="{00000000-0005-0000-0000-0000E6670000}"/>
    <cellStyle name="Normal 14 2 3 9" xfId="31220" xr:uid="{00000000-0005-0000-0000-0000E7670000}"/>
    <cellStyle name="Normal 14 2 4" xfId="6912" xr:uid="{00000000-0005-0000-0000-0000E8670000}"/>
    <cellStyle name="Normal 14 2 4 2" xfId="6913" xr:uid="{00000000-0005-0000-0000-0000E9670000}"/>
    <cellStyle name="Normal 14 2 4 2 2" xfId="6914" xr:uid="{00000000-0005-0000-0000-0000EA670000}"/>
    <cellStyle name="Normal 14 2 4 2 2 2" xfId="16789" xr:uid="{00000000-0005-0000-0000-0000EB670000}"/>
    <cellStyle name="Normal 14 2 4 2 2 2 2" xfId="30196" xr:uid="{00000000-0005-0000-0000-0000EC670000}"/>
    <cellStyle name="Normal 14 2 4 2 2 3" xfId="31236" xr:uid="{00000000-0005-0000-0000-0000ED670000}"/>
    <cellStyle name="Normal 14 2 4 2 3" xfId="11503" xr:uid="{00000000-0005-0000-0000-0000EE670000}"/>
    <cellStyle name="Normal 14 2 4 2 3 2" xfId="25335" xr:uid="{00000000-0005-0000-0000-0000EF670000}"/>
    <cellStyle name="Normal 14 2 4 2 4" xfId="31235" xr:uid="{00000000-0005-0000-0000-0000F0670000}"/>
    <cellStyle name="Normal 14 2 4 3" xfId="6915" xr:uid="{00000000-0005-0000-0000-0000F1670000}"/>
    <cellStyle name="Normal 14 2 4 3 2" xfId="12177" xr:uid="{00000000-0005-0000-0000-0000F2670000}"/>
    <cellStyle name="Normal 14 2 4 3 2 2" xfId="25889" xr:uid="{00000000-0005-0000-0000-0000F3670000}"/>
    <cellStyle name="Normal 14 2 4 3 3" xfId="31237" xr:uid="{00000000-0005-0000-0000-0000F4670000}"/>
    <cellStyle name="Normal 14 2 4 4" xfId="6916" xr:uid="{00000000-0005-0000-0000-0000F5670000}"/>
    <cellStyle name="Normal 14 2 4 4 2" xfId="13741" xr:uid="{00000000-0005-0000-0000-0000F6670000}"/>
    <cellStyle name="Normal 14 2 4 4 2 2" xfId="27290" xr:uid="{00000000-0005-0000-0000-0000F7670000}"/>
    <cellStyle name="Normal 14 2 4 4 3" xfId="31238" xr:uid="{00000000-0005-0000-0000-0000F8670000}"/>
    <cellStyle name="Normal 14 2 4 5" xfId="6917" xr:uid="{00000000-0005-0000-0000-0000F9670000}"/>
    <cellStyle name="Normal 14 2 4 5 2" xfId="14322" xr:uid="{00000000-0005-0000-0000-0000FA670000}"/>
    <cellStyle name="Normal 14 2 4 5 2 2" xfId="27871" xr:uid="{00000000-0005-0000-0000-0000FB670000}"/>
    <cellStyle name="Normal 14 2 4 5 3" xfId="31239" xr:uid="{00000000-0005-0000-0000-0000FC670000}"/>
    <cellStyle name="Normal 14 2 4 6" xfId="6918" xr:uid="{00000000-0005-0000-0000-0000FD670000}"/>
    <cellStyle name="Normal 14 2 4 6 2" xfId="16208" xr:uid="{00000000-0005-0000-0000-0000FE670000}"/>
    <cellStyle name="Normal 14 2 4 6 2 2" xfId="29615" xr:uid="{00000000-0005-0000-0000-0000FF670000}"/>
    <cellStyle name="Normal 14 2 4 6 3" xfId="31240" xr:uid="{00000000-0005-0000-0000-000000680000}"/>
    <cellStyle name="Normal 14 2 4 7" xfId="10124" xr:uid="{00000000-0005-0000-0000-000001680000}"/>
    <cellStyle name="Normal 14 2 4 7 2" xfId="24352" xr:uid="{00000000-0005-0000-0000-000002680000}"/>
    <cellStyle name="Normal 14 2 4 8" xfId="31234" xr:uid="{00000000-0005-0000-0000-000003680000}"/>
    <cellStyle name="Normal 14 2 5" xfId="6919" xr:uid="{00000000-0005-0000-0000-000004680000}"/>
    <cellStyle name="Normal 14 2 5 2" xfId="6920" xr:uid="{00000000-0005-0000-0000-000005680000}"/>
    <cellStyle name="Normal 14 2 5 2 2" xfId="17136" xr:uid="{00000000-0005-0000-0000-000006680000}"/>
    <cellStyle name="Normal 14 2 5 2 2 2" xfId="30495" xr:uid="{00000000-0005-0000-0000-000007680000}"/>
    <cellStyle name="Normal 14 2 5 2 3" xfId="31242" xr:uid="{00000000-0005-0000-0000-000008680000}"/>
    <cellStyle name="Normal 14 2 5 3" xfId="11496" xr:uid="{00000000-0005-0000-0000-000009680000}"/>
    <cellStyle name="Normal 14 2 5 3 2" xfId="25328" xr:uid="{00000000-0005-0000-0000-00000A680000}"/>
    <cellStyle name="Normal 14 2 5 4" xfId="31241" xr:uid="{00000000-0005-0000-0000-00000B680000}"/>
    <cellStyle name="Normal 14 2 6" xfId="6921" xr:uid="{00000000-0005-0000-0000-00000C680000}"/>
    <cellStyle name="Normal 14 2 6 2" xfId="6922" xr:uid="{00000000-0005-0000-0000-00000D680000}"/>
    <cellStyle name="Normal 14 2 6 2 2" xfId="17225" xr:uid="{00000000-0005-0000-0000-00000E680000}"/>
    <cellStyle name="Normal 14 2 6 2 2 2" xfId="30584" xr:uid="{00000000-0005-0000-0000-00000F680000}"/>
    <cellStyle name="Normal 14 2 6 2 3" xfId="31244" xr:uid="{00000000-0005-0000-0000-000010680000}"/>
    <cellStyle name="Normal 14 2 6 3" xfId="11864" xr:uid="{00000000-0005-0000-0000-000011680000}"/>
    <cellStyle name="Normal 14 2 6 3 2" xfId="25579" xr:uid="{00000000-0005-0000-0000-000012680000}"/>
    <cellStyle name="Normal 14 2 6 4" xfId="31243" xr:uid="{00000000-0005-0000-0000-000013680000}"/>
    <cellStyle name="Normal 14 2 7" xfId="6923" xr:uid="{00000000-0005-0000-0000-000014680000}"/>
    <cellStyle name="Normal 14 2 7 2" xfId="6924" xr:uid="{00000000-0005-0000-0000-000015680000}"/>
    <cellStyle name="Normal 14 2 7 2 2" xfId="16500" xr:uid="{00000000-0005-0000-0000-000016680000}"/>
    <cellStyle name="Normal 14 2 7 2 2 2" xfId="29907" xr:uid="{00000000-0005-0000-0000-000017680000}"/>
    <cellStyle name="Normal 14 2 7 2 3" xfId="31246" xr:uid="{00000000-0005-0000-0000-000018680000}"/>
    <cellStyle name="Normal 14 2 7 3" xfId="13452" xr:uid="{00000000-0005-0000-0000-000019680000}"/>
    <cellStyle name="Normal 14 2 7 3 2" xfId="27001" xr:uid="{00000000-0005-0000-0000-00001A680000}"/>
    <cellStyle name="Normal 14 2 7 4" xfId="31245" xr:uid="{00000000-0005-0000-0000-00001B680000}"/>
    <cellStyle name="Normal 14 2 8" xfId="6925" xr:uid="{00000000-0005-0000-0000-00001C680000}"/>
    <cellStyle name="Normal 14 2 8 2" xfId="14033" xr:uid="{00000000-0005-0000-0000-00001D680000}"/>
    <cellStyle name="Normal 14 2 8 2 2" xfId="27582" xr:uid="{00000000-0005-0000-0000-00001E680000}"/>
    <cellStyle name="Normal 14 2 8 3" xfId="31247" xr:uid="{00000000-0005-0000-0000-00001F680000}"/>
    <cellStyle name="Normal 14 2 9" xfId="6926" xr:uid="{00000000-0005-0000-0000-000020680000}"/>
    <cellStyle name="Normal 14 2 9 2" xfId="15919" xr:uid="{00000000-0005-0000-0000-000021680000}"/>
    <cellStyle name="Normal 14 2 9 2 2" xfId="29326" xr:uid="{00000000-0005-0000-0000-000022680000}"/>
    <cellStyle name="Normal 14 2 9 3" xfId="31248" xr:uid="{00000000-0005-0000-0000-000023680000}"/>
    <cellStyle name="Normal 14 3" xfId="6927" xr:uid="{00000000-0005-0000-0000-000024680000}"/>
    <cellStyle name="Normal 14 3 10" xfId="31249" xr:uid="{00000000-0005-0000-0000-000025680000}"/>
    <cellStyle name="Normal 14 3 2" xfId="6928" xr:uid="{00000000-0005-0000-0000-000026680000}"/>
    <cellStyle name="Normal 14 3 2 2" xfId="6929" xr:uid="{00000000-0005-0000-0000-000027680000}"/>
    <cellStyle name="Normal 14 3 2 2 2" xfId="6930" xr:uid="{00000000-0005-0000-0000-000028680000}"/>
    <cellStyle name="Normal 14 3 2 2 2 2" xfId="6931" xr:uid="{00000000-0005-0000-0000-000029680000}"/>
    <cellStyle name="Normal 14 3 2 2 2 2 2" xfId="16955" xr:uid="{00000000-0005-0000-0000-00002A680000}"/>
    <cellStyle name="Normal 14 3 2 2 2 2 2 2" xfId="30362" xr:uid="{00000000-0005-0000-0000-00002B680000}"/>
    <cellStyle name="Normal 14 3 2 2 2 2 3" xfId="31253" xr:uid="{00000000-0005-0000-0000-00002C680000}"/>
    <cellStyle name="Normal 14 3 2 2 2 3" xfId="11506" xr:uid="{00000000-0005-0000-0000-00002D680000}"/>
    <cellStyle name="Normal 14 3 2 2 2 3 2" xfId="25338" xr:uid="{00000000-0005-0000-0000-00002E680000}"/>
    <cellStyle name="Normal 14 3 2 2 2 4" xfId="31252" xr:uid="{00000000-0005-0000-0000-00002F680000}"/>
    <cellStyle name="Normal 14 3 2 2 3" xfId="6932" xr:uid="{00000000-0005-0000-0000-000030680000}"/>
    <cellStyle name="Normal 14 3 2 2 3 2" xfId="12343" xr:uid="{00000000-0005-0000-0000-000031680000}"/>
    <cellStyle name="Normal 14 3 2 2 3 2 2" xfId="26055" xr:uid="{00000000-0005-0000-0000-000032680000}"/>
    <cellStyle name="Normal 14 3 2 2 3 3" xfId="31254" xr:uid="{00000000-0005-0000-0000-000033680000}"/>
    <cellStyle name="Normal 14 3 2 2 4" xfId="6933" xr:uid="{00000000-0005-0000-0000-000034680000}"/>
    <cellStyle name="Normal 14 3 2 2 4 2" xfId="13907" xr:uid="{00000000-0005-0000-0000-000035680000}"/>
    <cellStyle name="Normal 14 3 2 2 4 2 2" xfId="27456" xr:uid="{00000000-0005-0000-0000-000036680000}"/>
    <cellStyle name="Normal 14 3 2 2 4 3" xfId="31255" xr:uid="{00000000-0005-0000-0000-000037680000}"/>
    <cellStyle name="Normal 14 3 2 2 5" xfId="6934" xr:uid="{00000000-0005-0000-0000-000038680000}"/>
    <cellStyle name="Normal 14 3 2 2 5 2" xfId="14488" xr:uid="{00000000-0005-0000-0000-000039680000}"/>
    <cellStyle name="Normal 14 3 2 2 5 2 2" xfId="28037" xr:uid="{00000000-0005-0000-0000-00003A680000}"/>
    <cellStyle name="Normal 14 3 2 2 5 3" xfId="31256" xr:uid="{00000000-0005-0000-0000-00003B680000}"/>
    <cellStyle name="Normal 14 3 2 2 6" xfId="6935" xr:uid="{00000000-0005-0000-0000-00003C680000}"/>
    <cellStyle name="Normal 14 3 2 2 6 2" xfId="16374" xr:uid="{00000000-0005-0000-0000-00003D680000}"/>
    <cellStyle name="Normal 14 3 2 2 6 2 2" xfId="29781" xr:uid="{00000000-0005-0000-0000-00003E680000}"/>
    <cellStyle name="Normal 14 3 2 2 6 3" xfId="31257" xr:uid="{00000000-0005-0000-0000-00003F680000}"/>
    <cellStyle name="Normal 14 3 2 2 7" xfId="10127" xr:uid="{00000000-0005-0000-0000-000040680000}"/>
    <cellStyle name="Normal 14 3 2 2 7 2" xfId="24355" xr:uid="{00000000-0005-0000-0000-000041680000}"/>
    <cellStyle name="Normal 14 3 2 2 8" xfId="31251" xr:uid="{00000000-0005-0000-0000-000042680000}"/>
    <cellStyle name="Normal 14 3 2 3" xfId="6936" xr:uid="{00000000-0005-0000-0000-000043680000}"/>
    <cellStyle name="Normal 14 3 2 3 2" xfId="6937" xr:uid="{00000000-0005-0000-0000-000044680000}"/>
    <cellStyle name="Normal 14 3 2 3 2 2" xfId="16666" xr:uid="{00000000-0005-0000-0000-000045680000}"/>
    <cellStyle name="Normal 14 3 2 3 2 2 2" xfId="30073" xr:uid="{00000000-0005-0000-0000-000046680000}"/>
    <cellStyle name="Normal 14 3 2 3 2 3" xfId="31259" xr:uid="{00000000-0005-0000-0000-000047680000}"/>
    <cellStyle name="Normal 14 3 2 3 3" xfId="11505" xr:uid="{00000000-0005-0000-0000-000048680000}"/>
    <cellStyle name="Normal 14 3 2 3 3 2" xfId="25337" xr:uid="{00000000-0005-0000-0000-000049680000}"/>
    <cellStyle name="Normal 14 3 2 3 4" xfId="31258" xr:uid="{00000000-0005-0000-0000-00004A680000}"/>
    <cellStyle name="Normal 14 3 2 4" xfId="6938" xr:uid="{00000000-0005-0000-0000-00004B680000}"/>
    <cellStyle name="Normal 14 3 2 4 2" xfId="12043" xr:uid="{00000000-0005-0000-0000-00004C680000}"/>
    <cellStyle name="Normal 14 3 2 4 2 2" xfId="25758" xr:uid="{00000000-0005-0000-0000-00004D680000}"/>
    <cellStyle name="Normal 14 3 2 4 3" xfId="31260" xr:uid="{00000000-0005-0000-0000-00004E680000}"/>
    <cellStyle name="Normal 14 3 2 5" xfId="6939" xr:uid="{00000000-0005-0000-0000-00004F680000}"/>
    <cellStyle name="Normal 14 3 2 5 2" xfId="13618" xr:uid="{00000000-0005-0000-0000-000050680000}"/>
    <cellStyle name="Normal 14 3 2 5 2 2" xfId="27167" xr:uid="{00000000-0005-0000-0000-000051680000}"/>
    <cellStyle name="Normal 14 3 2 5 3" xfId="31261" xr:uid="{00000000-0005-0000-0000-000052680000}"/>
    <cellStyle name="Normal 14 3 2 6" xfId="6940" xr:uid="{00000000-0005-0000-0000-000053680000}"/>
    <cellStyle name="Normal 14 3 2 6 2" xfId="14199" xr:uid="{00000000-0005-0000-0000-000054680000}"/>
    <cellStyle name="Normal 14 3 2 6 2 2" xfId="27748" xr:uid="{00000000-0005-0000-0000-000055680000}"/>
    <cellStyle name="Normal 14 3 2 6 3" xfId="31262" xr:uid="{00000000-0005-0000-0000-000056680000}"/>
    <cellStyle name="Normal 14 3 2 7" xfId="6941" xr:uid="{00000000-0005-0000-0000-000057680000}"/>
    <cellStyle name="Normal 14 3 2 7 2" xfId="16085" xr:uid="{00000000-0005-0000-0000-000058680000}"/>
    <cellStyle name="Normal 14 3 2 7 2 2" xfId="29492" xr:uid="{00000000-0005-0000-0000-000059680000}"/>
    <cellStyle name="Normal 14 3 2 7 3" xfId="31263" xr:uid="{00000000-0005-0000-0000-00005A680000}"/>
    <cellStyle name="Normal 14 3 2 8" xfId="10126" xr:uid="{00000000-0005-0000-0000-00005B680000}"/>
    <cellStyle name="Normal 14 3 2 8 2" xfId="24354" xr:uid="{00000000-0005-0000-0000-00005C680000}"/>
    <cellStyle name="Normal 14 3 2 9" xfId="31250" xr:uid="{00000000-0005-0000-0000-00005D680000}"/>
    <cellStyle name="Normal 14 3 3" xfId="6942" xr:uid="{00000000-0005-0000-0000-00005E680000}"/>
    <cellStyle name="Normal 14 3 3 2" xfId="6943" xr:uid="{00000000-0005-0000-0000-00005F680000}"/>
    <cellStyle name="Normal 14 3 3 2 2" xfId="6944" xr:uid="{00000000-0005-0000-0000-000060680000}"/>
    <cellStyle name="Normal 14 3 3 2 2 2" xfId="16812" xr:uid="{00000000-0005-0000-0000-000061680000}"/>
    <cellStyle name="Normal 14 3 3 2 2 2 2" xfId="30219" xr:uid="{00000000-0005-0000-0000-000062680000}"/>
    <cellStyle name="Normal 14 3 3 2 2 3" xfId="31266" xr:uid="{00000000-0005-0000-0000-000063680000}"/>
    <cellStyle name="Normal 14 3 3 2 3" xfId="11507" xr:uid="{00000000-0005-0000-0000-000064680000}"/>
    <cellStyle name="Normal 14 3 3 2 3 2" xfId="25339" xr:uid="{00000000-0005-0000-0000-000065680000}"/>
    <cellStyle name="Normal 14 3 3 2 4" xfId="31265" xr:uid="{00000000-0005-0000-0000-000066680000}"/>
    <cellStyle name="Normal 14 3 3 3" xfId="6945" xr:uid="{00000000-0005-0000-0000-000067680000}"/>
    <cellStyle name="Normal 14 3 3 3 2" xfId="12200" xr:uid="{00000000-0005-0000-0000-000068680000}"/>
    <cellStyle name="Normal 14 3 3 3 2 2" xfId="25912" xr:uid="{00000000-0005-0000-0000-000069680000}"/>
    <cellStyle name="Normal 14 3 3 3 3" xfId="31267" xr:uid="{00000000-0005-0000-0000-00006A680000}"/>
    <cellStyle name="Normal 14 3 3 4" xfId="6946" xr:uid="{00000000-0005-0000-0000-00006B680000}"/>
    <cellStyle name="Normal 14 3 3 4 2" xfId="13764" xr:uid="{00000000-0005-0000-0000-00006C680000}"/>
    <cellStyle name="Normal 14 3 3 4 2 2" xfId="27313" xr:uid="{00000000-0005-0000-0000-00006D680000}"/>
    <cellStyle name="Normal 14 3 3 4 3" xfId="31268" xr:uid="{00000000-0005-0000-0000-00006E680000}"/>
    <cellStyle name="Normal 14 3 3 5" xfId="6947" xr:uid="{00000000-0005-0000-0000-00006F680000}"/>
    <cellStyle name="Normal 14 3 3 5 2" xfId="14345" xr:uid="{00000000-0005-0000-0000-000070680000}"/>
    <cellStyle name="Normal 14 3 3 5 2 2" xfId="27894" xr:uid="{00000000-0005-0000-0000-000071680000}"/>
    <cellStyle name="Normal 14 3 3 5 3" xfId="31269" xr:uid="{00000000-0005-0000-0000-000072680000}"/>
    <cellStyle name="Normal 14 3 3 6" xfId="6948" xr:uid="{00000000-0005-0000-0000-000073680000}"/>
    <cellStyle name="Normal 14 3 3 6 2" xfId="16231" xr:uid="{00000000-0005-0000-0000-000074680000}"/>
    <cellStyle name="Normal 14 3 3 6 2 2" xfId="29638" xr:uid="{00000000-0005-0000-0000-000075680000}"/>
    <cellStyle name="Normal 14 3 3 6 3" xfId="31270" xr:uid="{00000000-0005-0000-0000-000076680000}"/>
    <cellStyle name="Normal 14 3 3 7" xfId="10128" xr:uid="{00000000-0005-0000-0000-000077680000}"/>
    <cellStyle name="Normal 14 3 3 7 2" xfId="24356" xr:uid="{00000000-0005-0000-0000-000078680000}"/>
    <cellStyle name="Normal 14 3 3 8" xfId="31264" xr:uid="{00000000-0005-0000-0000-000079680000}"/>
    <cellStyle name="Normal 14 3 4" xfId="6949" xr:uid="{00000000-0005-0000-0000-00007A680000}"/>
    <cellStyle name="Normal 14 3 4 2" xfId="6950" xr:uid="{00000000-0005-0000-0000-00007B680000}"/>
    <cellStyle name="Normal 14 3 4 2 2" xfId="17159" xr:uid="{00000000-0005-0000-0000-00007C680000}"/>
    <cellStyle name="Normal 14 3 4 2 2 2" xfId="30518" xr:uid="{00000000-0005-0000-0000-00007D680000}"/>
    <cellStyle name="Normal 14 3 4 2 3" xfId="31272" xr:uid="{00000000-0005-0000-0000-00007E680000}"/>
    <cellStyle name="Normal 14 3 4 3" xfId="11504" xr:uid="{00000000-0005-0000-0000-00007F680000}"/>
    <cellStyle name="Normal 14 3 4 3 2" xfId="25336" xr:uid="{00000000-0005-0000-0000-000080680000}"/>
    <cellStyle name="Normal 14 3 4 4" xfId="31271" xr:uid="{00000000-0005-0000-0000-000081680000}"/>
    <cellStyle name="Normal 14 3 5" xfId="6951" xr:uid="{00000000-0005-0000-0000-000082680000}"/>
    <cellStyle name="Normal 14 3 5 2" xfId="6952" xr:uid="{00000000-0005-0000-0000-000083680000}"/>
    <cellStyle name="Normal 14 3 5 2 2" xfId="17248" xr:uid="{00000000-0005-0000-0000-000084680000}"/>
    <cellStyle name="Normal 14 3 5 2 2 2" xfId="30607" xr:uid="{00000000-0005-0000-0000-000085680000}"/>
    <cellStyle name="Normal 14 3 5 2 3" xfId="31274" xr:uid="{00000000-0005-0000-0000-000086680000}"/>
    <cellStyle name="Normal 14 3 5 3" xfId="11898" xr:uid="{00000000-0005-0000-0000-000087680000}"/>
    <cellStyle name="Normal 14 3 5 3 2" xfId="25613" xr:uid="{00000000-0005-0000-0000-000088680000}"/>
    <cellStyle name="Normal 14 3 5 4" xfId="31273" xr:uid="{00000000-0005-0000-0000-000089680000}"/>
    <cellStyle name="Normal 14 3 6" xfId="6953" xr:uid="{00000000-0005-0000-0000-00008A680000}"/>
    <cellStyle name="Normal 14 3 6 2" xfId="6954" xr:uid="{00000000-0005-0000-0000-00008B680000}"/>
    <cellStyle name="Normal 14 3 6 2 2" xfId="16523" xr:uid="{00000000-0005-0000-0000-00008C680000}"/>
    <cellStyle name="Normal 14 3 6 2 2 2" xfId="29930" xr:uid="{00000000-0005-0000-0000-00008D680000}"/>
    <cellStyle name="Normal 14 3 6 2 3" xfId="31276" xr:uid="{00000000-0005-0000-0000-00008E680000}"/>
    <cellStyle name="Normal 14 3 6 3" xfId="13475" xr:uid="{00000000-0005-0000-0000-00008F680000}"/>
    <cellStyle name="Normal 14 3 6 3 2" xfId="27024" xr:uid="{00000000-0005-0000-0000-000090680000}"/>
    <cellStyle name="Normal 14 3 6 4" xfId="31275" xr:uid="{00000000-0005-0000-0000-000091680000}"/>
    <cellStyle name="Normal 14 3 7" xfId="6955" xr:uid="{00000000-0005-0000-0000-000092680000}"/>
    <cellStyle name="Normal 14 3 7 2" xfId="14056" xr:uid="{00000000-0005-0000-0000-000093680000}"/>
    <cellStyle name="Normal 14 3 7 2 2" xfId="27605" xr:uid="{00000000-0005-0000-0000-000094680000}"/>
    <cellStyle name="Normal 14 3 7 3" xfId="31277" xr:uid="{00000000-0005-0000-0000-000095680000}"/>
    <cellStyle name="Normal 14 3 8" xfId="6956" xr:uid="{00000000-0005-0000-0000-000096680000}"/>
    <cellStyle name="Normal 14 3 8 2" xfId="15942" xr:uid="{00000000-0005-0000-0000-000097680000}"/>
    <cellStyle name="Normal 14 3 8 2 2" xfId="29349" xr:uid="{00000000-0005-0000-0000-000098680000}"/>
    <cellStyle name="Normal 14 3 8 3" xfId="31278" xr:uid="{00000000-0005-0000-0000-000099680000}"/>
    <cellStyle name="Normal 14 3 9" xfId="10125" xr:uid="{00000000-0005-0000-0000-00009A680000}"/>
    <cellStyle name="Normal 14 3 9 2" xfId="24353" xr:uid="{00000000-0005-0000-0000-00009B680000}"/>
    <cellStyle name="Normal 14 4" xfId="6957" xr:uid="{00000000-0005-0000-0000-00009C680000}"/>
    <cellStyle name="Normal 14 4 10" xfId="31279" xr:uid="{00000000-0005-0000-0000-00009D680000}"/>
    <cellStyle name="Normal 14 4 2" xfId="6958" xr:uid="{00000000-0005-0000-0000-00009E680000}"/>
    <cellStyle name="Normal 14 4 2 2" xfId="6959" xr:uid="{00000000-0005-0000-0000-00009F680000}"/>
    <cellStyle name="Normal 14 4 2 2 2" xfId="6960" xr:uid="{00000000-0005-0000-0000-0000A0680000}"/>
    <cellStyle name="Normal 14 4 2 2 2 2" xfId="6961" xr:uid="{00000000-0005-0000-0000-0000A1680000}"/>
    <cellStyle name="Normal 14 4 2 2 2 2 2" xfId="16998" xr:uid="{00000000-0005-0000-0000-0000A2680000}"/>
    <cellStyle name="Normal 14 4 2 2 2 2 2 2" xfId="30405" xr:uid="{00000000-0005-0000-0000-0000A3680000}"/>
    <cellStyle name="Normal 14 4 2 2 2 2 3" xfId="31283" xr:uid="{00000000-0005-0000-0000-0000A4680000}"/>
    <cellStyle name="Normal 14 4 2 2 2 3" xfId="11510" xr:uid="{00000000-0005-0000-0000-0000A5680000}"/>
    <cellStyle name="Normal 14 4 2 2 2 3 2" xfId="25342" xr:uid="{00000000-0005-0000-0000-0000A6680000}"/>
    <cellStyle name="Normal 14 4 2 2 2 4" xfId="31282" xr:uid="{00000000-0005-0000-0000-0000A7680000}"/>
    <cellStyle name="Normal 14 4 2 2 3" xfId="6962" xr:uid="{00000000-0005-0000-0000-0000A8680000}"/>
    <cellStyle name="Normal 14 4 2 2 3 2" xfId="12386" xr:uid="{00000000-0005-0000-0000-0000A9680000}"/>
    <cellStyle name="Normal 14 4 2 2 3 2 2" xfId="26098" xr:uid="{00000000-0005-0000-0000-0000AA680000}"/>
    <cellStyle name="Normal 14 4 2 2 3 3" xfId="31284" xr:uid="{00000000-0005-0000-0000-0000AB680000}"/>
    <cellStyle name="Normal 14 4 2 2 4" xfId="6963" xr:uid="{00000000-0005-0000-0000-0000AC680000}"/>
    <cellStyle name="Normal 14 4 2 2 4 2" xfId="13950" xr:uid="{00000000-0005-0000-0000-0000AD680000}"/>
    <cellStyle name="Normal 14 4 2 2 4 2 2" xfId="27499" xr:uid="{00000000-0005-0000-0000-0000AE680000}"/>
    <cellStyle name="Normal 14 4 2 2 4 3" xfId="31285" xr:uid="{00000000-0005-0000-0000-0000AF680000}"/>
    <cellStyle name="Normal 14 4 2 2 5" xfId="6964" xr:uid="{00000000-0005-0000-0000-0000B0680000}"/>
    <cellStyle name="Normal 14 4 2 2 5 2" xfId="14531" xr:uid="{00000000-0005-0000-0000-0000B1680000}"/>
    <cellStyle name="Normal 14 4 2 2 5 2 2" xfId="28080" xr:uid="{00000000-0005-0000-0000-0000B2680000}"/>
    <cellStyle name="Normal 14 4 2 2 5 3" xfId="31286" xr:uid="{00000000-0005-0000-0000-0000B3680000}"/>
    <cellStyle name="Normal 14 4 2 2 6" xfId="6965" xr:uid="{00000000-0005-0000-0000-0000B4680000}"/>
    <cellStyle name="Normal 14 4 2 2 6 2" xfId="16417" xr:uid="{00000000-0005-0000-0000-0000B5680000}"/>
    <cellStyle name="Normal 14 4 2 2 6 2 2" xfId="29824" xr:uid="{00000000-0005-0000-0000-0000B6680000}"/>
    <cellStyle name="Normal 14 4 2 2 6 3" xfId="31287" xr:uid="{00000000-0005-0000-0000-0000B7680000}"/>
    <cellStyle name="Normal 14 4 2 2 7" xfId="10131" xr:uid="{00000000-0005-0000-0000-0000B8680000}"/>
    <cellStyle name="Normal 14 4 2 2 7 2" xfId="24359" xr:uid="{00000000-0005-0000-0000-0000B9680000}"/>
    <cellStyle name="Normal 14 4 2 2 8" xfId="31281" xr:uid="{00000000-0005-0000-0000-0000BA680000}"/>
    <cellStyle name="Normal 14 4 2 3" xfId="6966" xr:uid="{00000000-0005-0000-0000-0000BB680000}"/>
    <cellStyle name="Normal 14 4 2 3 2" xfId="6967" xr:uid="{00000000-0005-0000-0000-0000BC680000}"/>
    <cellStyle name="Normal 14 4 2 3 2 2" xfId="16709" xr:uid="{00000000-0005-0000-0000-0000BD680000}"/>
    <cellStyle name="Normal 14 4 2 3 2 2 2" xfId="30116" xr:uid="{00000000-0005-0000-0000-0000BE680000}"/>
    <cellStyle name="Normal 14 4 2 3 2 3" xfId="31289" xr:uid="{00000000-0005-0000-0000-0000BF680000}"/>
    <cellStyle name="Normal 14 4 2 3 3" xfId="11509" xr:uid="{00000000-0005-0000-0000-0000C0680000}"/>
    <cellStyle name="Normal 14 4 2 3 3 2" xfId="25341" xr:uid="{00000000-0005-0000-0000-0000C1680000}"/>
    <cellStyle name="Normal 14 4 2 3 4" xfId="31288" xr:uid="{00000000-0005-0000-0000-0000C2680000}"/>
    <cellStyle name="Normal 14 4 2 4" xfId="6968" xr:uid="{00000000-0005-0000-0000-0000C3680000}"/>
    <cellStyle name="Normal 14 4 2 4 2" xfId="12086" xr:uid="{00000000-0005-0000-0000-0000C4680000}"/>
    <cellStyle name="Normal 14 4 2 4 2 2" xfId="25801" xr:uid="{00000000-0005-0000-0000-0000C5680000}"/>
    <cellStyle name="Normal 14 4 2 4 3" xfId="31290" xr:uid="{00000000-0005-0000-0000-0000C6680000}"/>
    <cellStyle name="Normal 14 4 2 5" xfId="6969" xr:uid="{00000000-0005-0000-0000-0000C7680000}"/>
    <cellStyle name="Normal 14 4 2 5 2" xfId="13661" xr:uid="{00000000-0005-0000-0000-0000C8680000}"/>
    <cellStyle name="Normal 14 4 2 5 2 2" xfId="27210" xr:uid="{00000000-0005-0000-0000-0000C9680000}"/>
    <cellStyle name="Normal 14 4 2 5 3" xfId="31291" xr:uid="{00000000-0005-0000-0000-0000CA680000}"/>
    <cellStyle name="Normal 14 4 2 6" xfId="6970" xr:uid="{00000000-0005-0000-0000-0000CB680000}"/>
    <cellStyle name="Normal 14 4 2 6 2" xfId="14242" xr:uid="{00000000-0005-0000-0000-0000CC680000}"/>
    <cellStyle name="Normal 14 4 2 6 2 2" xfId="27791" xr:uid="{00000000-0005-0000-0000-0000CD680000}"/>
    <cellStyle name="Normal 14 4 2 6 3" xfId="31292" xr:uid="{00000000-0005-0000-0000-0000CE680000}"/>
    <cellStyle name="Normal 14 4 2 7" xfId="6971" xr:uid="{00000000-0005-0000-0000-0000CF680000}"/>
    <cellStyle name="Normal 14 4 2 7 2" xfId="16128" xr:uid="{00000000-0005-0000-0000-0000D0680000}"/>
    <cellStyle name="Normal 14 4 2 7 2 2" xfId="29535" xr:uid="{00000000-0005-0000-0000-0000D1680000}"/>
    <cellStyle name="Normal 14 4 2 7 3" xfId="31293" xr:uid="{00000000-0005-0000-0000-0000D2680000}"/>
    <cellStyle name="Normal 14 4 2 8" xfId="10130" xr:uid="{00000000-0005-0000-0000-0000D3680000}"/>
    <cellStyle name="Normal 14 4 2 8 2" xfId="24358" xr:uid="{00000000-0005-0000-0000-0000D4680000}"/>
    <cellStyle name="Normal 14 4 2 9" xfId="31280" xr:uid="{00000000-0005-0000-0000-0000D5680000}"/>
    <cellStyle name="Normal 14 4 3" xfId="6972" xr:uid="{00000000-0005-0000-0000-0000D6680000}"/>
    <cellStyle name="Normal 14 4 3 2" xfId="6973" xr:uid="{00000000-0005-0000-0000-0000D7680000}"/>
    <cellStyle name="Normal 14 4 3 2 2" xfId="6974" xr:uid="{00000000-0005-0000-0000-0000D8680000}"/>
    <cellStyle name="Normal 14 4 3 2 2 2" xfId="16855" xr:uid="{00000000-0005-0000-0000-0000D9680000}"/>
    <cellStyle name="Normal 14 4 3 2 2 2 2" xfId="30262" xr:uid="{00000000-0005-0000-0000-0000DA680000}"/>
    <cellStyle name="Normal 14 4 3 2 2 3" xfId="31296" xr:uid="{00000000-0005-0000-0000-0000DB680000}"/>
    <cellStyle name="Normal 14 4 3 2 3" xfId="11511" xr:uid="{00000000-0005-0000-0000-0000DC680000}"/>
    <cellStyle name="Normal 14 4 3 2 3 2" xfId="25343" xr:uid="{00000000-0005-0000-0000-0000DD680000}"/>
    <cellStyle name="Normal 14 4 3 2 4" xfId="31295" xr:uid="{00000000-0005-0000-0000-0000DE680000}"/>
    <cellStyle name="Normal 14 4 3 3" xfId="6975" xr:uid="{00000000-0005-0000-0000-0000DF680000}"/>
    <cellStyle name="Normal 14 4 3 3 2" xfId="12243" xr:uid="{00000000-0005-0000-0000-0000E0680000}"/>
    <cellStyle name="Normal 14 4 3 3 2 2" xfId="25955" xr:uid="{00000000-0005-0000-0000-0000E1680000}"/>
    <cellStyle name="Normal 14 4 3 3 3" xfId="31297" xr:uid="{00000000-0005-0000-0000-0000E2680000}"/>
    <cellStyle name="Normal 14 4 3 4" xfId="6976" xr:uid="{00000000-0005-0000-0000-0000E3680000}"/>
    <cellStyle name="Normal 14 4 3 4 2" xfId="13807" xr:uid="{00000000-0005-0000-0000-0000E4680000}"/>
    <cellStyle name="Normal 14 4 3 4 2 2" xfId="27356" xr:uid="{00000000-0005-0000-0000-0000E5680000}"/>
    <cellStyle name="Normal 14 4 3 4 3" xfId="31298" xr:uid="{00000000-0005-0000-0000-0000E6680000}"/>
    <cellStyle name="Normal 14 4 3 5" xfId="6977" xr:uid="{00000000-0005-0000-0000-0000E7680000}"/>
    <cellStyle name="Normal 14 4 3 5 2" xfId="14388" xr:uid="{00000000-0005-0000-0000-0000E8680000}"/>
    <cellStyle name="Normal 14 4 3 5 2 2" xfId="27937" xr:uid="{00000000-0005-0000-0000-0000E9680000}"/>
    <cellStyle name="Normal 14 4 3 5 3" xfId="31299" xr:uid="{00000000-0005-0000-0000-0000EA680000}"/>
    <cellStyle name="Normal 14 4 3 6" xfId="6978" xr:uid="{00000000-0005-0000-0000-0000EB680000}"/>
    <cellStyle name="Normal 14 4 3 6 2" xfId="16274" xr:uid="{00000000-0005-0000-0000-0000EC680000}"/>
    <cellStyle name="Normal 14 4 3 6 2 2" xfId="29681" xr:uid="{00000000-0005-0000-0000-0000ED680000}"/>
    <cellStyle name="Normal 14 4 3 6 3" xfId="31300" xr:uid="{00000000-0005-0000-0000-0000EE680000}"/>
    <cellStyle name="Normal 14 4 3 7" xfId="10132" xr:uid="{00000000-0005-0000-0000-0000EF680000}"/>
    <cellStyle name="Normal 14 4 3 7 2" xfId="24360" xr:uid="{00000000-0005-0000-0000-0000F0680000}"/>
    <cellStyle name="Normal 14 4 3 8" xfId="31294" xr:uid="{00000000-0005-0000-0000-0000F1680000}"/>
    <cellStyle name="Normal 14 4 4" xfId="6979" xr:uid="{00000000-0005-0000-0000-0000F2680000}"/>
    <cellStyle name="Normal 14 4 4 2" xfId="6980" xr:uid="{00000000-0005-0000-0000-0000F3680000}"/>
    <cellStyle name="Normal 14 4 4 2 2" xfId="16566" xr:uid="{00000000-0005-0000-0000-0000F4680000}"/>
    <cellStyle name="Normal 14 4 4 2 2 2" xfId="29973" xr:uid="{00000000-0005-0000-0000-0000F5680000}"/>
    <cellStyle name="Normal 14 4 4 2 3" xfId="31302" xr:uid="{00000000-0005-0000-0000-0000F6680000}"/>
    <cellStyle name="Normal 14 4 4 3" xfId="11508" xr:uid="{00000000-0005-0000-0000-0000F7680000}"/>
    <cellStyle name="Normal 14 4 4 3 2" xfId="25340" xr:uid="{00000000-0005-0000-0000-0000F8680000}"/>
    <cellStyle name="Normal 14 4 4 4" xfId="31301" xr:uid="{00000000-0005-0000-0000-0000F9680000}"/>
    <cellStyle name="Normal 14 4 5" xfId="6981" xr:uid="{00000000-0005-0000-0000-0000FA680000}"/>
    <cellStyle name="Normal 14 4 5 2" xfId="11941" xr:uid="{00000000-0005-0000-0000-0000FB680000}"/>
    <cellStyle name="Normal 14 4 5 2 2" xfId="25656" xr:uid="{00000000-0005-0000-0000-0000FC680000}"/>
    <cellStyle name="Normal 14 4 5 3" xfId="31303" xr:uid="{00000000-0005-0000-0000-0000FD680000}"/>
    <cellStyle name="Normal 14 4 6" xfId="6982" xr:uid="{00000000-0005-0000-0000-0000FE680000}"/>
    <cellStyle name="Normal 14 4 6 2" xfId="13518" xr:uid="{00000000-0005-0000-0000-0000FF680000}"/>
    <cellStyle name="Normal 14 4 6 2 2" xfId="27067" xr:uid="{00000000-0005-0000-0000-000000690000}"/>
    <cellStyle name="Normal 14 4 6 3" xfId="31304" xr:uid="{00000000-0005-0000-0000-000001690000}"/>
    <cellStyle name="Normal 14 4 7" xfId="6983" xr:uid="{00000000-0005-0000-0000-000002690000}"/>
    <cellStyle name="Normal 14 4 7 2" xfId="14099" xr:uid="{00000000-0005-0000-0000-000003690000}"/>
    <cellStyle name="Normal 14 4 7 2 2" xfId="27648" xr:uid="{00000000-0005-0000-0000-000004690000}"/>
    <cellStyle name="Normal 14 4 7 3" xfId="31305" xr:uid="{00000000-0005-0000-0000-000005690000}"/>
    <cellStyle name="Normal 14 4 8" xfId="6984" xr:uid="{00000000-0005-0000-0000-000006690000}"/>
    <cellStyle name="Normal 14 4 8 2" xfId="15985" xr:uid="{00000000-0005-0000-0000-000007690000}"/>
    <cellStyle name="Normal 14 4 8 2 2" xfId="29392" xr:uid="{00000000-0005-0000-0000-000008690000}"/>
    <cellStyle name="Normal 14 4 8 3" xfId="31306" xr:uid="{00000000-0005-0000-0000-000009690000}"/>
    <cellStyle name="Normal 14 4 9" xfId="10129" xr:uid="{00000000-0005-0000-0000-00000A690000}"/>
    <cellStyle name="Normal 14 4 9 2" xfId="24357" xr:uid="{00000000-0005-0000-0000-00000B690000}"/>
    <cellStyle name="Normal 14 5" xfId="6985" xr:uid="{00000000-0005-0000-0000-00000C690000}"/>
    <cellStyle name="Normal 14 5 2" xfId="6986" xr:uid="{00000000-0005-0000-0000-00000D690000}"/>
    <cellStyle name="Normal 14 5 2 2" xfId="6987" xr:uid="{00000000-0005-0000-0000-00000E690000}"/>
    <cellStyle name="Normal 14 5 2 2 2" xfId="6988" xr:uid="{00000000-0005-0000-0000-00000F690000}"/>
    <cellStyle name="Normal 14 5 2 2 2 2" xfId="16909" xr:uid="{00000000-0005-0000-0000-000010690000}"/>
    <cellStyle name="Normal 14 5 2 2 2 2 2" xfId="30316" xr:uid="{00000000-0005-0000-0000-000011690000}"/>
    <cellStyle name="Normal 14 5 2 2 2 3" xfId="31310" xr:uid="{00000000-0005-0000-0000-000012690000}"/>
    <cellStyle name="Normal 14 5 2 2 3" xfId="11513" xr:uid="{00000000-0005-0000-0000-000013690000}"/>
    <cellStyle name="Normal 14 5 2 2 3 2" xfId="25345" xr:uid="{00000000-0005-0000-0000-000014690000}"/>
    <cellStyle name="Normal 14 5 2 2 4" xfId="31309" xr:uid="{00000000-0005-0000-0000-000015690000}"/>
    <cellStyle name="Normal 14 5 2 3" xfId="6989" xr:uid="{00000000-0005-0000-0000-000016690000}"/>
    <cellStyle name="Normal 14 5 2 3 2" xfId="12297" xr:uid="{00000000-0005-0000-0000-000017690000}"/>
    <cellStyle name="Normal 14 5 2 3 2 2" xfId="26009" xr:uid="{00000000-0005-0000-0000-000018690000}"/>
    <cellStyle name="Normal 14 5 2 3 3" xfId="31311" xr:uid="{00000000-0005-0000-0000-000019690000}"/>
    <cellStyle name="Normal 14 5 2 4" xfId="6990" xr:uid="{00000000-0005-0000-0000-00001A690000}"/>
    <cellStyle name="Normal 14 5 2 4 2" xfId="13861" xr:uid="{00000000-0005-0000-0000-00001B690000}"/>
    <cellStyle name="Normal 14 5 2 4 2 2" xfId="27410" xr:uid="{00000000-0005-0000-0000-00001C690000}"/>
    <cellStyle name="Normal 14 5 2 4 3" xfId="31312" xr:uid="{00000000-0005-0000-0000-00001D690000}"/>
    <cellStyle name="Normal 14 5 2 5" xfId="6991" xr:uid="{00000000-0005-0000-0000-00001E690000}"/>
    <cellStyle name="Normal 14 5 2 5 2" xfId="14442" xr:uid="{00000000-0005-0000-0000-00001F690000}"/>
    <cellStyle name="Normal 14 5 2 5 2 2" xfId="27991" xr:uid="{00000000-0005-0000-0000-000020690000}"/>
    <cellStyle name="Normal 14 5 2 5 3" xfId="31313" xr:uid="{00000000-0005-0000-0000-000021690000}"/>
    <cellStyle name="Normal 14 5 2 6" xfId="6992" xr:uid="{00000000-0005-0000-0000-000022690000}"/>
    <cellStyle name="Normal 14 5 2 6 2" xfId="16328" xr:uid="{00000000-0005-0000-0000-000023690000}"/>
    <cellStyle name="Normal 14 5 2 6 2 2" xfId="29735" xr:uid="{00000000-0005-0000-0000-000024690000}"/>
    <cellStyle name="Normal 14 5 2 6 3" xfId="31314" xr:uid="{00000000-0005-0000-0000-000025690000}"/>
    <cellStyle name="Normal 14 5 2 7" xfId="10134" xr:uid="{00000000-0005-0000-0000-000026690000}"/>
    <cellStyle name="Normal 14 5 2 7 2" xfId="24362" xr:uid="{00000000-0005-0000-0000-000027690000}"/>
    <cellStyle name="Normal 14 5 2 8" xfId="31308" xr:uid="{00000000-0005-0000-0000-000028690000}"/>
    <cellStyle name="Normal 14 5 3" xfId="6993" xr:uid="{00000000-0005-0000-0000-000029690000}"/>
    <cellStyle name="Normal 14 5 3 2" xfId="6994" xr:uid="{00000000-0005-0000-0000-00002A690000}"/>
    <cellStyle name="Normal 14 5 3 2 2" xfId="16620" xr:uid="{00000000-0005-0000-0000-00002B690000}"/>
    <cellStyle name="Normal 14 5 3 2 2 2" xfId="30027" xr:uid="{00000000-0005-0000-0000-00002C690000}"/>
    <cellStyle name="Normal 14 5 3 2 3" xfId="31316" xr:uid="{00000000-0005-0000-0000-00002D690000}"/>
    <cellStyle name="Normal 14 5 3 3" xfId="11512" xr:uid="{00000000-0005-0000-0000-00002E690000}"/>
    <cellStyle name="Normal 14 5 3 3 2" xfId="25344" xr:uid="{00000000-0005-0000-0000-00002F690000}"/>
    <cellStyle name="Normal 14 5 3 4" xfId="31315" xr:uid="{00000000-0005-0000-0000-000030690000}"/>
    <cellStyle name="Normal 14 5 4" xfId="6995" xr:uid="{00000000-0005-0000-0000-000031690000}"/>
    <cellStyle name="Normal 14 5 4 2" xfId="11997" xr:uid="{00000000-0005-0000-0000-000032690000}"/>
    <cellStyle name="Normal 14 5 4 2 2" xfId="25712" xr:uid="{00000000-0005-0000-0000-000033690000}"/>
    <cellStyle name="Normal 14 5 4 3" xfId="31317" xr:uid="{00000000-0005-0000-0000-000034690000}"/>
    <cellStyle name="Normal 14 5 5" xfId="6996" xr:uid="{00000000-0005-0000-0000-000035690000}"/>
    <cellStyle name="Normal 14 5 5 2" xfId="13572" xr:uid="{00000000-0005-0000-0000-000036690000}"/>
    <cellStyle name="Normal 14 5 5 2 2" xfId="27121" xr:uid="{00000000-0005-0000-0000-000037690000}"/>
    <cellStyle name="Normal 14 5 5 3" xfId="31318" xr:uid="{00000000-0005-0000-0000-000038690000}"/>
    <cellStyle name="Normal 14 5 6" xfId="6997" xr:uid="{00000000-0005-0000-0000-000039690000}"/>
    <cellStyle name="Normal 14 5 6 2" xfId="14153" xr:uid="{00000000-0005-0000-0000-00003A690000}"/>
    <cellStyle name="Normal 14 5 6 2 2" xfId="27702" xr:uid="{00000000-0005-0000-0000-00003B690000}"/>
    <cellStyle name="Normal 14 5 6 3" xfId="31319" xr:uid="{00000000-0005-0000-0000-00003C690000}"/>
    <cellStyle name="Normal 14 5 7" xfId="6998" xr:uid="{00000000-0005-0000-0000-00003D690000}"/>
    <cellStyle name="Normal 14 5 7 2" xfId="16039" xr:uid="{00000000-0005-0000-0000-00003E690000}"/>
    <cellStyle name="Normal 14 5 7 2 2" xfId="29446" xr:uid="{00000000-0005-0000-0000-00003F690000}"/>
    <cellStyle name="Normal 14 5 7 3" xfId="31320" xr:uid="{00000000-0005-0000-0000-000040690000}"/>
    <cellStyle name="Normal 14 5 8" xfId="10133" xr:uid="{00000000-0005-0000-0000-000041690000}"/>
    <cellStyle name="Normal 14 5 8 2" xfId="24361" xr:uid="{00000000-0005-0000-0000-000042690000}"/>
    <cellStyle name="Normal 14 5 9" xfId="31307" xr:uid="{00000000-0005-0000-0000-000043690000}"/>
    <cellStyle name="Normal 14 6" xfId="6999" xr:uid="{00000000-0005-0000-0000-000044690000}"/>
    <cellStyle name="Normal 14 6 2" xfId="7000" xr:uid="{00000000-0005-0000-0000-000045690000}"/>
    <cellStyle name="Normal 14 6 2 2" xfId="7001" xr:uid="{00000000-0005-0000-0000-000046690000}"/>
    <cellStyle name="Normal 14 6 2 2 2" xfId="16732" xr:uid="{00000000-0005-0000-0000-000047690000}"/>
    <cellStyle name="Normal 14 6 2 2 2 2" xfId="30139" xr:uid="{00000000-0005-0000-0000-000048690000}"/>
    <cellStyle name="Normal 14 6 2 2 3" xfId="31323" xr:uid="{00000000-0005-0000-0000-000049690000}"/>
    <cellStyle name="Normal 14 6 2 3" xfId="11514" xr:uid="{00000000-0005-0000-0000-00004A690000}"/>
    <cellStyle name="Normal 14 6 2 3 2" xfId="25346" xr:uid="{00000000-0005-0000-0000-00004B690000}"/>
    <cellStyle name="Normal 14 6 2 4" xfId="31322" xr:uid="{00000000-0005-0000-0000-00004C690000}"/>
    <cellStyle name="Normal 14 6 3" xfId="7002" xr:uid="{00000000-0005-0000-0000-00004D690000}"/>
    <cellStyle name="Normal 14 6 3 2" xfId="12120" xr:uid="{00000000-0005-0000-0000-00004E690000}"/>
    <cellStyle name="Normal 14 6 3 2 2" xfId="25832" xr:uid="{00000000-0005-0000-0000-00004F690000}"/>
    <cellStyle name="Normal 14 6 3 3" xfId="31324" xr:uid="{00000000-0005-0000-0000-000050690000}"/>
    <cellStyle name="Normal 14 6 4" xfId="7003" xr:uid="{00000000-0005-0000-0000-000051690000}"/>
    <cellStyle name="Normal 14 6 4 2" xfId="13684" xr:uid="{00000000-0005-0000-0000-000052690000}"/>
    <cellStyle name="Normal 14 6 4 2 2" xfId="27233" xr:uid="{00000000-0005-0000-0000-000053690000}"/>
    <cellStyle name="Normal 14 6 4 3" xfId="31325" xr:uid="{00000000-0005-0000-0000-000054690000}"/>
    <cellStyle name="Normal 14 6 5" xfId="7004" xr:uid="{00000000-0005-0000-0000-000055690000}"/>
    <cellStyle name="Normal 14 6 5 2" xfId="14265" xr:uid="{00000000-0005-0000-0000-000056690000}"/>
    <cellStyle name="Normal 14 6 5 2 2" xfId="27814" xr:uid="{00000000-0005-0000-0000-000057690000}"/>
    <cellStyle name="Normal 14 6 5 3" xfId="31326" xr:uid="{00000000-0005-0000-0000-000058690000}"/>
    <cellStyle name="Normal 14 6 6" xfId="7005" xr:uid="{00000000-0005-0000-0000-000059690000}"/>
    <cellStyle name="Normal 14 6 6 2" xfId="16151" xr:uid="{00000000-0005-0000-0000-00005A690000}"/>
    <cellStyle name="Normal 14 6 6 2 2" xfId="29558" xr:uid="{00000000-0005-0000-0000-00005B690000}"/>
    <cellStyle name="Normal 14 6 6 3" xfId="31327" xr:uid="{00000000-0005-0000-0000-00005C690000}"/>
    <cellStyle name="Normal 14 6 7" xfId="10135" xr:uid="{00000000-0005-0000-0000-00005D690000}"/>
    <cellStyle name="Normal 14 6 7 2" xfId="24363" xr:uid="{00000000-0005-0000-0000-00005E690000}"/>
    <cellStyle name="Normal 14 6 8" xfId="31321" xr:uid="{00000000-0005-0000-0000-00005F690000}"/>
    <cellStyle name="Normal 14 7" xfId="7006" xr:uid="{00000000-0005-0000-0000-000060690000}"/>
    <cellStyle name="Normal 14 7 2" xfId="7007" xr:uid="{00000000-0005-0000-0000-000061690000}"/>
    <cellStyle name="Normal 14 7 2 2" xfId="17038" xr:uid="{00000000-0005-0000-0000-000062690000}"/>
    <cellStyle name="Normal 14 7 2 2 2" xfId="30441" xr:uid="{00000000-0005-0000-0000-000063690000}"/>
    <cellStyle name="Normal 14 7 2 3" xfId="31329" xr:uid="{00000000-0005-0000-0000-000064690000}"/>
    <cellStyle name="Normal 14 7 3" xfId="10136" xr:uid="{00000000-0005-0000-0000-000065690000}"/>
    <cellStyle name="Normal 14 7 4" xfId="31328" xr:uid="{00000000-0005-0000-0000-000066690000}"/>
    <cellStyle name="Normal 14 8" xfId="7008" xr:uid="{00000000-0005-0000-0000-000067690000}"/>
    <cellStyle name="Normal 14 8 2" xfId="7009" xr:uid="{00000000-0005-0000-0000-000068690000}"/>
    <cellStyle name="Normal 14 8 2 2" xfId="13243" xr:uid="{00000000-0005-0000-0000-000069690000}"/>
    <cellStyle name="Normal 14 8 2 3" xfId="31331" xr:uid="{00000000-0005-0000-0000-00006A690000}"/>
    <cellStyle name="Normal 14 8 3" xfId="7010" xr:uid="{00000000-0005-0000-0000-00006B690000}"/>
    <cellStyle name="Normal 14 8 3 2" xfId="17113" xr:uid="{00000000-0005-0000-0000-00006C690000}"/>
    <cellStyle name="Normal 14 8 3 2 2" xfId="30472" xr:uid="{00000000-0005-0000-0000-00006D690000}"/>
    <cellStyle name="Normal 14 8 3 3" xfId="31332" xr:uid="{00000000-0005-0000-0000-00006E690000}"/>
    <cellStyle name="Normal 14 8 4" xfId="11828" xr:uid="{00000000-0005-0000-0000-00006F690000}"/>
    <cellStyle name="Normal 14 8 4 2" xfId="25543" xr:uid="{00000000-0005-0000-0000-000070690000}"/>
    <cellStyle name="Normal 14 8 5" xfId="31330" xr:uid="{00000000-0005-0000-0000-000071690000}"/>
    <cellStyle name="Normal 14 9" xfId="7011" xr:uid="{00000000-0005-0000-0000-000072690000}"/>
    <cellStyle name="Normal 14 9 2" xfId="7012" xr:uid="{00000000-0005-0000-0000-000073690000}"/>
    <cellStyle name="Normal 14 9 2 2" xfId="17202" xr:uid="{00000000-0005-0000-0000-000074690000}"/>
    <cellStyle name="Normal 14 9 2 2 2" xfId="30561" xr:uid="{00000000-0005-0000-0000-000075690000}"/>
    <cellStyle name="Normal 14 9 2 3" xfId="31334" xr:uid="{00000000-0005-0000-0000-000076690000}"/>
    <cellStyle name="Normal 14 9 3" xfId="13429" xr:uid="{00000000-0005-0000-0000-000077690000}"/>
    <cellStyle name="Normal 14 9 3 2" xfId="26978" xr:uid="{00000000-0005-0000-0000-000078690000}"/>
    <cellStyle name="Normal 14 9 4" xfId="31333" xr:uid="{00000000-0005-0000-0000-000079690000}"/>
    <cellStyle name="Normal 15" xfId="7013" xr:uid="{00000000-0005-0000-0000-00007A690000}"/>
    <cellStyle name="Normal 15 10" xfId="7014" xr:uid="{00000000-0005-0000-0000-00007B690000}"/>
    <cellStyle name="Normal 15 10 2" xfId="7015" xr:uid="{00000000-0005-0000-0000-00007C690000}"/>
    <cellStyle name="Normal 15 10 2 2" xfId="17293" xr:uid="{00000000-0005-0000-0000-00007D690000}"/>
    <cellStyle name="Normal 15 10 2 2 2" xfId="30652" xr:uid="{00000000-0005-0000-0000-00007E690000}"/>
    <cellStyle name="Normal 15 10 2 3" xfId="31336" xr:uid="{00000000-0005-0000-0000-00007F690000}"/>
    <cellStyle name="Normal 15 10 3" xfId="13431" xr:uid="{00000000-0005-0000-0000-000080690000}"/>
    <cellStyle name="Normal 15 10 3 2" xfId="26980" xr:uid="{00000000-0005-0000-0000-000081690000}"/>
    <cellStyle name="Normal 15 10 4" xfId="31335" xr:uid="{00000000-0005-0000-0000-000082690000}"/>
    <cellStyle name="Normal 15 11" xfId="7016" xr:uid="{00000000-0005-0000-0000-000083690000}"/>
    <cellStyle name="Normal 15 11 2" xfId="7017" xr:uid="{00000000-0005-0000-0000-000084690000}"/>
    <cellStyle name="Normal 15 11 2 2" xfId="16479" xr:uid="{00000000-0005-0000-0000-000085690000}"/>
    <cellStyle name="Normal 15 11 2 2 2" xfId="29886" xr:uid="{00000000-0005-0000-0000-000086690000}"/>
    <cellStyle name="Normal 15 11 2 3" xfId="31338" xr:uid="{00000000-0005-0000-0000-000087690000}"/>
    <cellStyle name="Normal 15 11 3" xfId="14012" xr:uid="{00000000-0005-0000-0000-000088690000}"/>
    <cellStyle name="Normal 15 11 3 2" xfId="27561" xr:uid="{00000000-0005-0000-0000-000089690000}"/>
    <cellStyle name="Normal 15 11 4" xfId="31337" xr:uid="{00000000-0005-0000-0000-00008A690000}"/>
    <cellStyle name="Normal 15 12" xfId="7018" xr:uid="{00000000-0005-0000-0000-00008B690000}"/>
    <cellStyle name="Normal 15 12 2" xfId="15898" xr:uid="{00000000-0005-0000-0000-00008C690000}"/>
    <cellStyle name="Normal 15 12 2 2" xfId="29305" xr:uid="{00000000-0005-0000-0000-00008D690000}"/>
    <cellStyle name="Normal 15 12 3" xfId="31339" xr:uid="{00000000-0005-0000-0000-00008E690000}"/>
    <cellStyle name="Normal 15 13" xfId="10137" xr:uid="{00000000-0005-0000-0000-00008F690000}"/>
    <cellStyle name="Normal 15 14" xfId="33043" xr:uid="{00000000-0005-0000-0000-000090690000}"/>
    <cellStyle name="Normal 15 2" xfId="7019" xr:uid="{00000000-0005-0000-0000-000091690000}"/>
    <cellStyle name="Normal 15 2 10" xfId="10138" xr:uid="{00000000-0005-0000-0000-000092690000}"/>
    <cellStyle name="Normal 15 2 10 2" xfId="24364" xr:uid="{00000000-0005-0000-0000-000093690000}"/>
    <cellStyle name="Normal 15 2 2" xfId="7020" xr:uid="{00000000-0005-0000-0000-000094690000}"/>
    <cellStyle name="Normal 15 2 2 10" xfId="31340" xr:uid="{00000000-0005-0000-0000-000095690000}"/>
    <cellStyle name="Normal 15 2 2 2" xfId="7021" xr:uid="{00000000-0005-0000-0000-000096690000}"/>
    <cellStyle name="Normal 15 2 2 2 2" xfId="7022" xr:uid="{00000000-0005-0000-0000-000097690000}"/>
    <cellStyle name="Normal 15 2 2 2 2 2" xfId="7023" xr:uid="{00000000-0005-0000-0000-000098690000}"/>
    <cellStyle name="Normal 15 2 2 2 2 2 2" xfId="7024" xr:uid="{00000000-0005-0000-0000-000099690000}"/>
    <cellStyle name="Normal 15 2 2 2 2 2 2 2" xfId="16980" xr:uid="{00000000-0005-0000-0000-00009A690000}"/>
    <cellStyle name="Normal 15 2 2 2 2 2 2 2 2" xfId="30387" xr:uid="{00000000-0005-0000-0000-00009B690000}"/>
    <cellStyle name="Normal 15 2 2 2 2 2 2 3" xfId="31344" xr:uid="{00000000-0005-0000-0000-00009C690000}"/>
    <cellStyle name="Normal 15 2 2 2 2 2 3" xfId="11518" xr:uid="{00000000-0005-0000-0000-00009D690000}"/>
    <cellStyle name="Normal 15 2 2 2 2 2 3 2" xfId="25350" xr:uid="{00000000-0005-0000-0000-00009E690000}"/>
    <cellStyle name="Normal 15 2 2 2 2 2 4" xfId="31343" xr:uid="{00000000-0005-0000-0000-00009F690000}"/>
    <cellStyle name="Normal 15 2 2 2 2 3" xfId="7025" xr:uid="{00000000-0005-0000-0000-0000A0690000}"/>
    <cellStyle name="Normal 15 2 2 2 2 3 2" xfId="12368" xr:uid="{00000000-0005-0000-0000-0000A1690000}"/>
    <cellStyle name="Normal 15 2 2 2 2 3 2 2" xfId="26080" xr:uid="{00000000-0005-0000-0000-0000A2690000}"/>
    <cellStyle name="Normal 15 2 2 2 2 3 3" xfId="31345" xr:uid="{00000000-0005-0000-0000-0000A3690000}"/>
    <cellStyle name="Normal 15 2 2 2 2 4" xfId="7026" xr:uid="{00000000-0005-0000-0000-0000A4690000}"/>
    <cellStyle name="Normal 15 2 2 2 2 4 2" xfId="13932" xr:uid="{00000000-0005-0000-0000-0000A5690000}"/>
    <cellStyle name="Normal 15 2 2 2 2 4 2 2" xfId="27481" xr:uid="{00000000-0005-0000-0000-0000A6690000}"/>
    <cellStyle name="Normal 15 2 2 2 2 4 3" xfId="31346" xr:uid="{00000000-0005-0000-0000-0000A7690000}"/>
    <cellStyle name="Normal 15 2 2 2 2 5" xfId="7027" xr:uid="{00000000-0005-0000-0000-0000A8690000}"/>
    <cellStyle name="Normal 15 2 2 2 2 5 2" xfId="14513" xr:uid="{00000000-0005-0000-0000-0000A9690000}"/>
    <cellStyle name="Normal 15 2 2 2 2 5 2 2" xfId="28062" xr:uid="{00000000-0005-0000-0000-0000AA690000}"/>
    <cellStyle name="Normal 15 2 2 2 2 5 3" xfId="31347" xr:uid="{00000000-0005-0000-0000-0000AB690000}"/>
    <cellStyle name="Normal 15 2 2 2 2 6" xfId="7028" xr:uid="{00000000-0005-0000-0000-0000AC690000}"/>
    <cellStyle name="Normal 15 2 2 2 2 6 2" xfId="16399" xr:uid="{00000000-0005-0000-0000-0000AD690000}"/>
    <cellStyle name="Normal 15 2 2 2 2 6 2 2" xfId="29806" xr:uid="{00000000-0005-0000-0000-0000AE690000}"/>
    <cellStyle name="Normal 15 2 2 2 2 6 3" xfId="31348" xr:uid="{00000000-0005-0000-0000-0000AF690000}"/>
    <cellStyle name="Normal 15 2 2 2 2 7" xfId="10141" xr:uid="{00000000-0005-0000-0000-0000B0690000}"/>
    <cellStyle name="Normal 15 2 2 2 2 7 2" xfId="24367" xr:uid="{00000000-0005-0000-0000-0000B1690000}"/>
    <cellStyle name="Normal 15 2 2 2 2 8" xfId="31342" xr:uid="{00000000-0005-0000-0000-0000B2690000}"/>
    <cellStyle name="Normal 15 2 2 2 3" xfId="7029" xr:uid="{00000000-0005-0000-0000-0000B3690000}"/>
    <cellStyle name="Normal 15 2 2 2 3 2" xfId="7030" xr:uid="{00000000-0005-0000-0000-0000B4690000}"/>
    <cellStyle name="Normal 15 2 2 2 3 2 2" xfId="16691" xr:uid="{00000000-0005-0000-0000-0000B5690000}"/>
    <cellStyle name="Normal 15 2 2 2 3 2 2 2" xfId="30098" xr:uid="{00000000-0005-0000-0000-0000B6690000}"/>
    <cellStyle name="Normal 15 2 2 2 3 2 3" xfId="31350" xr:uid="{00000000-0005-0000-0000-0000B7690000}"/>
    <cellStyle name="Normal 15 2 2 2 3 3" xfId="11517" xr:uid="{00000000-0005-0000-0000-0000B8690000}"/>
    <cellStyle name="Normal 15 2 2 2 3 3 2" xfId="25349" xr:uid="{00000000-0005-0000-0000-0000B9690000}"/>
    <cellStyle name="Normal 15 2 2 2 3 4" xfId="31349" xr:uid="{00000000-0005-0000-0000-0000BA690000}"/>
    <cellStyle name="Normal 15 2 2 2 4" xfId="7031" xr:uid="{00000000-0005-0000-0000-0000BB690000}"/>
    <cellStyle name="Normal 15 2 2 2 4 2" xfId="12068" xr:uid="{00000000-0005-0000-0000-0000BC690000}"/>
    <cellStyle name="Normal 15 2 2 2 4 2 2" xfId="25783" xr:uid="{00000000-0005-0000-0000-0000BD690000}"/>
    <cellStyle name="Normal 15 2 2 2 4 3" xfId="31351" xr:uid="{00000000-0005-0000-0000-0000BE690000}"/>
    <cellStyle name="Normal 15 2 2 2 5" xfId="7032" xr:uid="{00000000-0005-0000-0000-0000BF690000}"/>
    <cellStyle name="Normal 15 2 2 2 5 2" xfId="13643" xr:uid="{00000000-0005-0000-0000-0000C0690000}"/>
    <cellStyle name="Normal 15 2 2 2 5 2 2" xfId="27192" xr:uid="{00000000-0005-0000-0000-0000C1690000}"/>
    <cellStyle name="Normal 15 2 2 2 5 3" xfId="31352" xr:uid="{00000000-0005-0000-0000-0000C2690000}"/>
    <cellStyle name="Normal 15 2 2 2 6" xfId="7033" xr:uid="{00000000-0005-0000-0000-0000C3690000}"/>
    <cellStyle name="Normal 15 2 2 2 6 2" xfId="14224" xr:uid="{00000000-0005-0000-0000-0000C4690000}"/>
    <cellStyle name="Normal 15 2 2 2 6 2 2" xfId="27773" xr:uid="{00000000-0005-0000-0000-0000C5690000}"/>
    <cellStyle name="Normal 15 2 2 2 6 3" xfId="31353" xr:uid="{00000000-0005-0000-0000-0000C6690000}"/>
    <cellStyle name="Normal 15 2 2 2 7" xfId="7034" xr:uid="{00000000-0005-0000-0000-0000C7690000}"/>
    <cellStyle name="Normal 15 2 2 2 7 2" xfId="16110" xr:uid="{00000000-0005-0000-0000-0000C8690000}"/>
    <cellStyle name="Normal 15 2 2 2 7 2 2" xfId="29517" xr:uid="{00000000-0005-0000-0000-0000C9690000}"/>
    <cellStyle name="Normal 15 2 2 2 7 3" xfId="31354" xr:uid="{00000000-0005-0000-0000-0000CA690000}"/>
    <cellStyle name="Normal 15 2 2 2 8" xfId="10140" xr:uid="{00000000-0005-0000-0000-0000CB690000}"/>
    <cellStyle name="Normal 15 2 2 2 8 2" xfId="24366" xr:uid="{00000000-0005-0000-0000-0000CC690000}"/>
    <cellStyle name="Normal 15 2 2 2 9" xfId="31341" xr:uid="{00000000-0005-0000-0000-0000CD690000}"/>
    <cellStyle name="Normal 15 2 2 3" xfId="7035" xr:uid="{00000000-0005-0000-0000-0000CE690000}"/>
    <cellStyle name="Normal 15 2 2 3 2" xfId="7036" xr:uid="{00000000-0005-0000-0000-0000CF690000}"/>
    <cellStyle name="Normal 15 2 2 3 2 2" xfId="7037" xr:uid="{00000000-0005-0000-0000-0000D0690000}"/>
    <cellStyle name="Normal 15 2 2 3 2 2 2" xfId="16837" xr:uid="{00000000-0005-0000-0000-0000D1690000}"/>
    <cellStyle name="Normal 15 2 2 3 2 2 2 2" xfId="30244" xr:uid="{00000000-0005-0000-0000-0000D2690000}"/>
    <cellStyle name="Normal 15 2 2 3 2 2 3" xfId="31357" xr:uid="{00000000-0005-0000-0000-0000D3690000}"/>
    <cellStyle name="Normal 15 2 2 3 2 3" xfId="11519" xr:uid="{00000000-0005-0000-0000-0000D4690000}"/>
    <cellStyle name="Normal 15 2 2 3 2 3 2" xfId="25351" xr:uid="{00000000-0005-0000-0000-0000D5690000}"/>
    <cellStyle name="Normal 15 2 2 3 2 4" xfId="31356" xr:uid="{00000000-0005-0000-0000-0000D6690000}"/>
    <cellStyle name="Normal 15 2 2 3 3" xfId="7038" xr:uid="{00000000-0005-0000-0000-0000D7690000}"/>
    <cellStyle name="Normal 15 2 2 3 3 2" xfId="12225" xr:uid="{00000000-0005-0000-0000-0000D8690000}"/>
    <cellStyle name="Normal 15 2 2 3 3 2 2" xfId="25937" xr:uid="{00000000-0005-0000-0000-0000D9690000}"/>
    <cellStyle name="Normal 15 2 2 3 3 3" xfId="31358" xr:uid="{00000000-0005-0000-0000-0000DA690000}"/>
    <cellStyle name="Normal 15 2 2 3 4" xfId="7039" xr:uid="{00000000-0005-0000-0000-0000DB690000}"/>
    <cellStyle name="Normal 15 2 2 3 4 2" xfId="13789" xr:uid="{00000000-0005-0000-0000-0000DC690000}"/>
    <cellStyle name="Normal 15 2 2 3 4 2 2" xfId="27338" xr:uid="{00000000-0005-0000-0000-0000DD690000}"/>
    <cellStyle name="Normal 15 2 2 3 4 3" xfId="31359" xr:uid="{00000000-0005-0000-0000-0000DE690000}"/>
    <cellStyle name="Normal 15 2 2 3 5" xfId="7040" xr:uid="{00000000-0005-0000-0000-0000DF690000}"/>
    <cellStyle name="Normal 15 2 2 3 5 2" xfId="14370" xr:uid="{00000000-0005-0000-0000-0000E0690000}"/>
    <cellStyle name="Normal 15 2 2 3 5 2 2" xfId="27919" xr:uid="{00000000-0005-0000-0000-0000E1690000}"/>
    <cellStyle name="Normal 15 2 2 3 5 3" xfId="31360" xr:uid="{00000000-0005-0000-0000-0000E2690000}"/>
    <cellStyle name="Normal 15 2 2 3 6" xfId="7041" xr:uid="{00000000-0005-0000-0000-0000E3690000}"/>
    <cellStyle name="Normal 15 2 2 3 6 2" xfId="16256" xr:uid="{00000000-0005-0000-0000-0000E4690000}"/>
    <cellStyle name="Normal 15 2 2 3 6 2 2" xfId="29663" xr:uid="{00000000-0005-0000-0000-0000E5690000}"/>
    <cellStyle name="Normal 15 2 2 3 6 3" xfId="31361" xr:uid="{00000000-0005-0000-0000-0000E6690000}"/>
    <cellStyle name="Normal 15 2 2 3 7" xfId="10142" xr:uid="{00000000-0005-0000-0000-0000E7690000}"/>
    <cellStyle name="Normal 15 2 2 3 7 2" xfId="24368" xr:uid="{00000000-0005-0000-0000-0000E8690000}"/>
    <cellStyle name="Normal 15 2 2 3 8" xfId="31355" xr:uid="{00000000-0005-0000-0000-0000E9690000}"/>
    <cellStyle name="Normal 15 2 2 4" xfId="7042" xr:uid="{00000000-0005-0000-0000-0000EA690000}"/>
    <cellStyle name="Normal 15 2 2 4 2" xfId="7043" xr:uid="{00000000-0005-0000-0000-0000EB690000}"/>
    <cellStyle name="Normal 15 2 2 4 2 2" xfId="17184" xr:uid="{00000000-0005-0000-0000-0000EC690000}"/>
    <cellStyle name="Normal 15 2 2 4 2 2 2" xfId="30543" xr:uid="{00000000-0005-0000-0000-0000ED690000}"/>
    <cellStyle name="Normal 15 2 2 4 2 3" xfId="31363" xr:uid="{00000000-0005-0000-0000-0000EE690000}"/>
    <cellStyle name="Normal 15 2 2 4 3" xfId="11516" xr:uid="{00000000-0005-0000-0000-0000EF690000}"/>
    <cellStyle name="Normal 15 2 2 4 3 2" xfId="25348" xr:uid="{00000000-0005-0000-0000-0000F0690000}"/>
    <cellStyle name="Normal 15 2 2 4 4" xfId="31362" xr:uid="{00000000-0005-0000-0000-0000F1690000}"/>
    <cellStyle name="Normal 15 2 2 5" xfId="7044" xr:uid="{00000000-0005-0000-0000-0000F2690000}"/>
    <cellStyle name="Normal 15 2 2 5 2" xfId="7045" xr:uid="{00000000-0005-0000-0000-0000F3690000}"/>
    <cellStyle name="Normal 15 2 2 5 2 2" xfId="17273" xr:uid="{00000000-0005-0000-0000-0000F4690000}"/>
    <cellStyle name="Normal 15 2 2 5 2 2 2" xfId="30632" xr:uid="{00000000-0005-0000-0000-0000F5690000}"/>
    <cellStyle name="Normal 15 2 2 5 2 3" xfId="31365" xr:uid="{00000000-0005-0000-0000-0000F6690000}"/>
    <cellStyle name="Normal 15 2 2 5 3" xfId="11923" xr:uid="{00000000-0005-0000-0000-0000F7690000}"/>
    <cellStyle name="Normal 15 2 2 5 3 2" xfId="25638" xr:uid="{00000000-0005-0000-0000-0000F8690000}"/>
    <cellStyle name="Normal 15 2 2 5 4" xfId="31364" xr:uid="{00000000-0005-0000-0000-0000F9690000}"/>
    <cellStyle name="Normal 15 2 2 6" xfId="7046" xr:uid="{00000000-0005-0000-0000-0000FA690000}"/>
    <cellStyle name="Normal 15 2 2 6 2" xfId="7047" xr:uid="{00000000-0005-0000-0000-0000FB690000}"/>
    <cellStyle name="Normal 15 2 2 6 2 2" xfId="16548" xr:uid="{00000000-0005-0000-0000-0000FC690000}"/>
    <cellStyle name="Normal 15 2 2 6 2 2 2" xfId="29955" xr:uid="{00000000-0005-0000-0000-0000FD690000}"/>
    <cellStyle name="Normal 15 2 2 6 2 3" xfId="31367" xr:uid="{00000000-0005-0000-0000-0000FE690000}"/>
    <cellStyle name="Normal 15 2 2 6 3" xfId="13500" xr:uid="{00000000-0005-0000-0000-0000FF690000}"/>
    <cellStyle name="Normal 15 2 2 6 3 2" xfId="27049" xr:uid="{00000000-0005-0000-0000-0000006A0000}"/>
    <cellStyle name="Normal 15 2 2 6 4" xfId="31366" xr:uid="{00000000-0005-0000-0000-0000016A0000}"/>
    <cellStyle name="Normal 15 2 2 7" xfId="7048" xr:uid="{00000000-0005-0000-0000-0000026A0000}"/>
    <cellStyle name="Normal 15 2 2 7 2" xfId="14081" xr:uid="{00000000-0005-0000-0000-0000036A0000}"/>
    <cellStyle name="Normal 15 2 2 7 2 2" xfId="27630" xr:uid="{00000000-0005-0000-0000-0000046A0000}"/>
    <cellStyle name="Normal 15 2 2 7 3" xfId="31368" xr:uid="{00000000-0005-0000-0000-0000056A0000}"/>
    <cellStyle name="Normal 15 2 2 8" xfId="7049" xr:uid="{00000000-0005-0000-0000-0000066A0000}"/>
    <cellStyle name="Normal 15 2 2 8 2" xfId="15967" xr:uid="{00000000-0005-0000-0000-0000076A0000}"/>
    <cellStyle name="Normal 15 2 2 8 2 2" xfId="29374" xr:uid="{00000000-0005-0000-0000-0000086A0000}"/>
    <cellStyle name="Normal 15 2 2 8 3" xfId="31369" xr:uid="{00000000-0005-0000-0000-0000096A0000}"/>
    <cellStyle name="Normal 15 2 2 9" xfId="10139" xr:uid="{00000000-0005-0000-0000-00000A6A0000}"/>
    <cellStyle name="Normal 15 2 2 9 2" xfId="24365" xr:uid="{00000000-0005-0000-0000-00000B6A0000}"/>
    <cellStyle name="Normal 15 2 3" xfId="7050" xr:uid="{00000000-0005-0000-0000-00000C6A0000}"/>
    <cellStyle name="Normal 15 2 3 2" xfId="7051" xr:uid="{00000000-0005-0000-0000-00000D6A0000}"/>
    <cellStyle name="Normal 15 2 3 2 2" xfId="7052" xr:uid="{00000000-0005-0000-0000-00000E6A0000}"/>
    <cellStyle name="Normal 15 2 3 2 2 2" xfId="7053" xr:uid="{00000000-0005-0000-0000-00000F6A0000}"/>
    <cellStyle name="Normal 15 2 3 2 2 2 2" xfId="16934" xr:uid="{00000000-0005-0000-0000-0000106A0000}"/>
    <cellStyle name="Normal 15 2 3 2 2 2 2 2" xfId="30341" xr:uid="{00000000-0005-0000-0000-0000116A0000}"/>
    <cellStyle name="Normal 15 2 3 2 2 2 3" xfId="31373" xr:uid="{00000000-0005-0000-0000-0000126A0000}"/>
    <cellStyle name="Normal 15 2 3 2 2 3" xfId="11521" xr:uid="{00000000-0005-0000-0000-0000136A0000}"/>
    <cellStyle name="Normal 15 2 3 2 2 3 2" xfId="25353" xr:uid="{00000000-0005-0000-0000-0000146A0000}"/>
    <cellStyle name="Normal 15 2 3 2 2 4" xfId="31372" xr:uid="{00000000-0005-0000-0000-0000156A0000}"/>
    <cellStyle name="Normal 15 2 3 2 3" xfId="7054" xr:uid="{00000000-0005-0000-0000-0000166A0000}"/>
    <cellStyle name="Normal 15 2 3 2 3 2" xfId="12322" xr:uid="{00000000-0005-0000-0000-0000176A0000}"/>
    <cellStyle name="Normal 15 2 3 2 3 2 2" xfId="26034" xr:uid="{00000000-0005-0000-0000-0000186A0000}"/>
    <cellStyle name="Normal 15 2 3 2 3 3" xfId="31374" xr:uid="{00000000-0005-0000-0000-0000196A0000}"/>
    <cellStyle name="Normal 15 2 3 2 4" xfId="7055" xr:uid="{00000000-0005-0000-0000-00001A6A0000}"/>
    <cellStyle name="Normal 15 2 3 2 4 2" xfId="13886" xr:uid="{00000000-0005-0000-0000-00001B6A0000}"/>
    <cellStyle name="Normal 15 2 3 2 4 2 2" xfId="27435" xr:uid="{00000000-0005-0000-0000-00001C6A0000}"/>
    <cellStyle name="Normal 15 2 3 2 4 3" xfId="31375" xr:uid="{00000000-0005-0000-0000-00001D6A0000}"/>
    <cellStyle name="Normal 15 2 3 2 5" xfId="7056" xr:uid="{00000000-0005-0000-0000-00001E6A0000}"/>
    <cellStyle name="Normal 15 2 3 2 5 2" xfId="14467" xr:uid="{00000000-0005-0000-0000-00001F6A0000}"/>
    <cellStyle name="Normal 15 2 3 2 5 2 2" xfId="28016" xr:uid="{00000000-0005-0000-0000-0000206A0000}"/>
    <cellStyle name="Normal 15 2 3 2 5 3" xfId="31376" xr:uid="{00000000-0005-0000-0000-0000216A0000}"/>
    <cellStyle name="Normal 15 2 3 2 6" xfId="7057" xr:uid="{00000000-0005-0000-0000-0000226A0000}"/>
    <cellStyle name="Normal 15 2 3 2 6 2" xfId="16353" xr:uid="{00000000-0005-0000-0000-0000236A0000}"/>
    <cellStyle name="Normal 15 2 3 2 6 2 2" xfId="29760" xr:uid="{00000000-0005-0000-0000-0000246A0000}"/>
    <cellStyle name="Normal 15 2 3 2 6 3" xfId="31377" xr:uid="{00000000-0005-0000-0000-0000256A0000}"/>
    <cellStyle name="Normal 15 2 3 2 7" xfId="10144" xr:uid="{00000000-0005-0000-0000-0000266A0000}"/>
    <cellStyle name="Normal 15 2 3 2 7 2" xfId="24370" xr:uid="{00000000-0005-0000-0000-0000276A0000}"/>
    <cellStyle name="Normal 15 2 3 2 8" xfId="31371" xr:uid="{00000000-0005-0000-0000-0000286A0000}"/>
    <cellStyle name="Normal 15 2 3 3" xfId="7058" xr:uid="{00000000-0005-0000-0000-0000296A0000}"/>
    <cellStyle name="Normal 15 2 3 3 2" xfId="7059" xr:uid="{00000000-0005-0000-0000-00002A6A0000}"/>
    <cellStyle name="Normal 15 2 3 3 2 2" xfId="16645" xr:uid="{00000000-0005-0000-0000-00002B6A0000}"/>
    <cellStyle name="Normal 15 2 3 3 2 2 2" xfId="30052" xr:uid="{00000000-0005-0000-0000-00002C6A0000}"/>
    <cellStyle name="Normal 15 2 3 3 2 3" xfId="31379" xr:uid="{00000000-0005-0000-0000-00002D6A0000}"/>
    <cellStyle name="Normal 15 2 3 3 3" xfId="11520" xr:uid="{00000000-0005-0000-0000-00002E6A0000}"/>
    <cellStyle name="Normal 15 2 3 3 3 2" xfId="25352" xr:uid="{00000000-0005-0000-0000-00002F6A0000}"/>
    <cellStyle name="Normal 15 2 3 3 4" xfId="31378" xr:uid="{00000000-0005-0000-0000-0000306A0000}"/>
    <cellStyle name="Normal 15 2 3 4" xfId="7060" xr:uid="{00000000-0005-0000-0000-0000316A0000}"/>
    <cellStyle name="Normal 15 2 3 4 2" xfId="12022" xr:uid="{00000000-0005-0000-0000-0000326A0000}"/>
    <cellStyle name="Normal 15 2 3 4 2 2" xfId="25737" xr:uid="{00000000-0005-0000-0000-0000336A0000}"/>
    <cellStyle name="Normal 15 2 3 4 3" xfId="31380" xr:uid="{00000000-0005-0000-0000-0000346A0000}"/>
    <cellStyle name="Normal 15 2 3 5" xfId="7061" xr:uid="{00000000-0005-0000-0000-0000356A0000}"/>
    <cellStyle name="Normal 15 2 3 5 2" xfId="13597" xr:uid="{00000000-0005-0000-0000-0000366A0000}"/>
    <cellStyle name="Normal 15 2 3 5 2 2" xfId="27146" xr:uid="{00000000-0005-0000-0000-0000376A0000}"/>
    <cellStyle name="Normal 15 2 3 5 3" xfId="31381" xr:uid="{00000000-0005-0000-0000-0000386A0000}"/>
    <cellStyle name="Normal 15 2 3 6" xfId="7062" xr:uid="{00000000-0005-0000-0000-0000396A0000}"/>
    <cellStyle name="Normal 15 2 3 6 2" xfId="14178" xr:uid="{00000000-0005-0000-0000-00003A6A0000}"/>
    <cellStyle name="Normal 15 2 3 6 2 2" xfId="27727" xr:uid="{00000000-0005-0000-0000-00003B6A0000}"/>
    <cellStyle name="Normal 15 2 3 6 3" xfId="31382" xr:uid="{00000000-0005-0000-0000-00003C6A0000}"/>
    <cellStyle name="Normal 15 2 3 7" xfId="7063" xr:uid="{00000000-0005-0000-0000-00003D6A0000}"/>
    <cellStyle name="Normal 15 2 3 7 2" xfId="16064" xr:uid="{00000000-0005-0000-0000-00003E6A0000}"/>
    <cellStyle name="Normal 15 2 3 7 2 2" xfId="29471" xr:uid="{00000000-0005-0000-0000-00003F6A0000}"/>
    <cellStyle name="Normal 15 2 3 7 3" xfId="31383" xr:uid="{00000000-0005-0000-0000-0000406A0000}"/>
    <cellStyle name="Normal 15 2 3 8" xfId="10143" xr:uid="{00000000-0005-0000-0000-0000416A0000}"/>
    <cellStyle name="Normal 15 2 3 8 2" xfId="24369" xr:uid="{00000000-0005-0000-0000-0000426A0000}"/>
    <cellStyle name="Normal 15 2 3 9" xfId="31370" xr:uid="{00000000-0005-0000-0000-0000436A0000}"/>
    <cellStyle name="Normal 15 2 4" xfId="7064" xr:uid="{00000000-0005-0000-0000-0000446A0000}"/>
    <cellStyle name="Normal 15 2 4 2" xfId="7065" xr:uid="{00000000-0005-0000-0000-0000456A0000}"/>
    <cellStyle name="Normal 15 2 4 2 2" xfId="7066" xr:uid="{00000000-0005-0000-0000-0000466A0000}"/>
    <cellStyle name="Normal 15 2 4 2 2 2" xfId="16791" xr:uid="{00000000-0005-0000-0000-0000476A0000}"/>
    <cellStyle name="Normal 15 2 4 2 2 2 2" xfId="30198" xr:uid="{00000000-0005-0000-0000-0000486A0000}"/>
    <cellStyle name="Normal 15 2 4 2 2 3" xfId="31386" xr:uid="{00000000-0005-0000-0000-0000496A0000}"/>
    <cellStyle name="Normal 15 2 4 2 3" xfId="11522" xr:uid="{00000000-0005-0000-0000-00004A6A0000}"/>
    <cellStyle name="Normal 15 2 4 2 3 2" xfId="25354" xr:uid="{00000000-0005-0000-0000-00004B6A0000}"/>
    <cellStyle name="Normal 15 2 4 2 4" xfId="31385" xr:uid="{00000000-0005-0000-0000-00004C6A0000}"/>
    <cellStyle name="Normal 15 2 4 3" xfId="7067" xr:uid="{00000000-0005-0000-0000-00004D6A0000}"/>
    <cellStyle name="Normal 15 2 4 3 2" xfId="12179" xr:uid="{00000000-0005-0000-0000-00004E6A0000}"/>
    <cellStyle name="Normal 15 2 4 3 2 2" xfId="25891" xr:uid="{00000000-0005-0000-0000-00004F6A0000}"/>
    <cellStyle name="Normal 15 2 4 3 3" xfId="31387" xr:uid="{00000000-0005-0000-0000-0000506A0000}"/>
    <cellStyle name="Normal 15 2 4 4" xfId="7068" xr:uid="{00000000-0005-0000-0000-0000516A0000}"/>
    <cellStyle name="Normal 15 2 4 4 2" xfId="13743" xr:uid="{00000000-0005-0000-0000-0000526A0000}"/>
    <cellStyle name="Normal 15 2 4 4 2 2" xfId="27292" xr:uid="{00000000-0005-0000-0000-0000536A0000}"/>
    <cellStyle name="Normal 15 2 4 4 3" xfId="31388" xr:uid="{00000000-0005-0000-0000-0000546A0000}"/>
    <cellStyle name="Normal 15 2 4 5" xfId="7069" xr:uid="{00000000-0005-0000-0000-0000556A0000}"/>
    <cellStyle name="Normal 15 2 4 5 2" xfId="14324" xr:uid="{00000000-0005-0000-0000-0000566A0000}"/>
    <cellStyle name="Normal 15 2 4 5 2 2" xfId="27873" xr:uid="{00000000-0005-0000-0000-0000576A0000}"/>
    <cellStyle name="Normal 15 2 4 5 3" xfId="31389" xr:uid="{00000000-0005-0000-0000-0000586A0000}"/>
    <cellStyle name="Normal 15 2 4 6" xfId="7070" xr:uid="{00000000-0005-0000-0000-0000596A0000}"/>
    <cellStyle name="Normal 15 2 4 6 2" xfId="16210" xr:uid="{00000000-0005-0000-0000-00005A6A0000}"/>
    <cellStyle name="Normal 15 2 4 6 2 2" xfId="29617" xr:uid="{00000000-0005-0000-0000-00005B6A0000}"/>
    <cellStyle name="Normal 15 2 4 6 3" xfId="31390" xr:uid="{00000000-0005-0000-0000-00005C6A0000}"/>
    <cellStyle name="Normal 15 2 4 7" xfId="10145" xr:uid="{00000000-0005-0000-0000-00005D6A0000}"/>
    <cellStyle name="Normal 15 2 4 7 2" xfId="24371" xr:uid="{00000000-0005-0000-0000-00005E6A0000}"/>
    <cellStyle name="Normal 15 2 4 8" xfId="31384" xr:uid="{00000000-0005-0000-0000-00005F6A0000}"/>
    <cellStyle name="Normal 15 2 5" xfId="7071" xr:uid="{00000000-0005-0000-0000-0000606A0000}"/>
    <cellStyle name="Normal 15 2 5 2" xfId="7072" xr:uid="{00000000-0005-0000-0000-0000616A0000}"/>
    <cellStyle name="Normal 15 2 5 2 2" xfId="17039" xr:uid="{00000000-0005-0000-0000-0000626A0000}"/>
    <cellStyle name="Normal 15 2 5 3" xfId="11515" xr:uid="{00000000-0005-0000-0000-0000636A0000}"/>
    <cellStyle name="Normal 15 2 5 3 2" xfId="25347" xr:uid="{00000000-0005-0000-0000-0000646A0000}"/>
    <cellStyle name="Normal 15 2 6" xfId="7073" xr:uid="{00000000-0005-0000-0000-0000656A0000}"/>
    <cellStyle name="Normal 15 2 6 2" xfId="7074" xr:uid="{00000000-0005-0000-0000-0000666A0000}"/>
    <cellStyle name="Normal 15 2 6 2 2" xfId="17138" xr:uid="{00000000-0005-0000-0000-0000676A0000}"/>
    <cellStyle name="Normal 15 2 6 2 2 2" xfId="30497" xr:uid="{00000000-0005-0000-0000-0000686A0000}"/>
    <cellStyle name="Normal 15 2 6 2 3" xfId="31392" xr:uid="{00000000-0005-0000-0000-0000696A0000}"/>
    <cellStyle name="Normal 15 2 6 3" xfId="11867" xr:uid="{00000000-0005-0000-0000-00006A6A0000}"/>
    <cellStyle name="Normal 15 2 6 3 2" xfId="25582" xr:uid="{00000000-0005-0000-0000-00006B6A0000}"/>
    <cellStyle name="Normal 15 2 6 4" xfId="31391" xr:uid="{00000000-0005-0000-0000-00006C6A0000}"/>
    <cellStyle name="Normal 15 2 7" xfId="7075" xr:uid="{00000000-0005-0000-0000-00006D6A0000}"/>
    <cellStyle name="Normal 15 2 7 2" xfId="7076" xr:uid="{00000000-0005-0000-0000-00006E6A0000}"/>
    <cellStyle name="Normal 15 2 7 2 2" xfId="17227" xr:uid="{00000000-0005-0000-0000-00006F6A0000}"/>
    <cellStyle name="Normal 15 2 7 2 2 2" xfId="30586" xr:uid="{00000000-0005-0000-0000-0000706A0000}"/>
    <cellStyle name="Normal 15 2 7 2 3" xfId="31394" xr:uid="{00000000-0005-0000-0000-0000716A0000}"/>
    <cellStyle name="Normal 15 2 7 3" xfId="13454" xr:uid="{00000000-0005-0000-0000-0000726A0000}"/>
    <cellStyle name="Normal 15 2 7 3 2" xfId="27003" xr:uid="{00000000-0005-0000-0000-0000736A0000}"/>
    <cellStyle name="Normal 15 2 7 4" xfId="31393" xr:uid="{00000000-0005-0000-0000-0000746A0000}"/>
    <cellStyle name="Normal 15 2 8" xfId="7077" xr:uid="{00000000-0005-0000-0000-0000756A0000}"/>
    <cellStyle name="Normal 15 2 8 2" xfId="7078" xr:uid="{00000000-0005-0000-0000-0000766A0000}"/>
    <cellStyle name="Normal 15 2 8 2 2" xfId="16502" xr:uid="{00000000-0005-0000-0000-0000776A0000}"/>
    <cellStyle name="Normal 15 2 8 2 2 2" xfId="29909" xr:uid="{00000000-0005-0000-0000-0000786A0000}"/>
    <cellStyle name="Normal 15 2 8 2 3" xfId="31396" xr:uid="{00000000-0005-0000-0000-0000796A0000}"/>
    <cellStyle name="Normal 15 2 8 3" xfId="14035" xr:uid="{00000000-0005-0000-0000-00007A6A0000}"/>
    <cellStyle name="Normal 15 2 8 3 2" xfId="27584" xr:uid="{00000000-0005-0000-0000-00007B6A0000}"/>
    <cellStyle name="Normal 15 2 8 4" xfId="31395" xr:uid="{00000000-0005-0000-0000-00007C6A0000}"/>
    <cellStyle name="Normal 15 2 9" xfId="7079" xr:uid="{00000000-0005-0000-0000-00007D6A0000}"/>
    <cellStyle name="Normal 15 2 9 2" xfId="15921" xr:uid="{00000000-0005-0000-0000-00007E6A0000}"/>
    <cellStyle name="Normal 15 2 9 2 2" xfId="29328" xr:uid="{00000000-0005-0000-0000-00007F6A0000}"/>
    <cellStyle name="Normal 15 2 9 3" xfId="31397" xr:uid="{00000000-0005-0000-0000-0000806A0000}"/>
    <cellStyle name="Normal 15 3" xfId="7080" xr:uid="{00000000-0005-0000-0000-0000816A0000}"/>
    <cellStyle name="Normal 15 3 2" xfId="7081" xr:uid="{00000000-0005-0000-0000-0000826A0000}"/>
    <cellStyle name="Normal 15 3 2 2" xfId="10147" xr:uid="{00000000-0005-0000-0000-0000836A0000}"/>
    <cellStyle name="Normal 15 3 3" xfId="10146" xr:uid="{00000000-0005-0000-0000-0000846A0000}"/>
    <cellStyle name="Normal 15 4" xfId="7082" xr:uid="{00000000-0005-0000-0000-0000856A0000}"/>
    <cellStyle name="Normal 15 4 10" xfId="31398" xr:uid="{00000000-0005-0000-0000-0000866A0000}"/>
    <cellStyle name="Normal 15 4 2" xfId="7083" xr:uid="{00000000-0005-0000-0000-0000876A0000}"/>
    <cellStyle name="Normal 15 4 2 2" xfId="7084" xr:uid="{00000000-0005-0000-0000-0000886A0000}"/>
    <cellStyle name="Normal 15 4 2 2 2" xfId="7085" xr:uid="{00000000-0005-0000-0000-0000896A0000}"/>
    <cellStyle name="Normal 15 4 2 2 2 2" xfId="7086" xr:uid="{00000000-0005-0000-0000-00008A6A0000}"/>
    <cellStyle name="Normal 15 4 2 2 2 2 2" xfId="16957" xr:uid="{00000000-0005-0000-0000-00008B6A0000}"/>
    <cellStyle name="Normal 15 4 2 2 2 2 2 2" xfId="30364" xr:uid="{00000000-0005-0000-0000-00008C6A0000}"/>
    <cellStyle name="Normal 15 4 2 2 2 2 3" xfId="31402" xr:uid="{00000000-0005-0000-0000-00008D6A0000}"/>
    <cellStyle name="Normal 15 4 2 2 2 3" xfId="11525" xr:uid="{00000000-0005-0000-0000-00008E6A0000}"/>
    <cellStyle name="Normal 15 4 2 2 2 3 2" xfId="25357" xr:uid="{00000000-0005-0000-0000-00008F6A0000}"/>
    <cellStyle name="Normal 15 4 2 2 2 4" xfId="31401" xr:uid="{00000000-0005-0000-0000-0000906A0000}"/>
    <cellStyle name="Normal 15 4 2 2 3" xfId="7087" xr:uid="{00000000-0005-0000-0000-0000916A0000}"/>
    <cellStyle name="Normal 15 4 2 2 3 2" xfId="12345" xr:uid="{00000000-0005-0000-0000-0000926A0000}"/>
    <cellStyle name="Normal 15 4 2 2 3 2 2" xfId="26057" xr:uid="{00000000-0005-0000-0000-0000936A0000}"/>
    <cellStyle name="Normal 15 4 2 2 3 3" xfId="31403" xr:uid="{00000000-0005-0000-0000-0000946A0000}"/>
    <cellStyle name="Normal 15 4 2 2 4" xfId="7088" xr:uid="{00000000-0005-0000-0000-0000956A0000}"/>
    <cellStyle name="Normal 15 4 2 2 4 2" xfId="13909" xr:uid="{00000000-0005-0000-0000-0000966A0000}"/>
    <cellStyle name="Normal 15 4 2 2 4 2 2" xfId="27458" xr:uid="{00000000-0005-0000-0000-0000976A0000}"/>
    <cellStyle name="Normal 15 4 2 2 4 3" xfId="31404" xr:uid="{00000000-0005-0000-0000-0000986A0000}"/>
    <cellStyle name="Normal 15 4 2 2 5" xfId="7089" xr:uid="{00000000-0005-0000-0000-0000996A0000}"/>
    <cellStyle name="Normal 15 4 2 2 5 2" xfId="14490" xr:uid="{00000000-0005-0000-0000-00009A6A0000}"/>
    <cellStyle name="Normal 15 4 2 2 5 2 2" xfId="28039" xr:uid="{00000000-0005-0000-0000-00009B6A0000}"/>
    <cellStyle name="Normal 15 4 2 2 5 3" xfId="31405" xr:uid="{00000000-0005-0000-0000-00009C6A0000}"/>
    <cellStyle name="Normal 15 4 2 2 6" xfId="7090" xr:uid="{00000000-0005-0000-0000-00009D6A0000}"/>
    <cellStyle name="Normal 15 4 2 2 6 2" xfId="16376" xr:uid="{00000000-0005-0000-0000-00009E6A0000}"/>
    <cellStyle name="Normal 15 4 2 2 6 2 2" xfId="29783" xr:uid="{00000000-0005-0000-0000-00009F6A0000}"/>
    <cellStyle name="Normal 15 4 2 2 6 3" xfId="31406" xr:uid="{00000000-0005-0000-0000-0000A06A0000}"/>
    <cellStyle name="Normal 15 4 2 2 7" xfId="10150" xr:uid="{00000000-0005-0000-0000-0000A16A0000}"/>
    <cellStyle name="Normal 15 4 2 2 7 2" xfId="24374" xr:uid="{00000000-0005-0000-0000-0000A26A0000}"/>
    <cellStyle name="Normal 15 4 2 2 8" xfId="31400" xr:uid="{00000000-0005-0000-0000-0000A36A0000}"/>
    <cellStyle name="Normal 15 4 2 3" xfId="7091" xr:uid="{00000000-0005-0000-0000-0000A46A0000}"/>
    <cellStyle name="Normal 15 4 2 3 2" xfId="7092" xr:uid="{00000000-0005-0000-0000-0000A56A0000}"/>
    <cellStyle name="Normal 15 4 2 3 2 2" xfId="16668" xr:uid="{00000000-0005-0000-0000-0000A66A0000}"/>
    <cellStyle name="Normal 15 4 2 3 2 2 2" xfId="30075" xr:uid="{00000000-0005-0000-0000-0000A76A0000}"/>
    <cellStyle name="Normal 15 4 2 3 2 3" xfId="31408" xr:uid="{00000000-0005-0000-0000-0000A86A0000}"/>
    <cellStyle name="Normal 15 4 2 3 3" xfId="11524" xr:uid="{00000000-0005-0000-0000-0000A96A0000}"/>
    <cellStyle name="Normal 15 4 2 3 3 2" xfId="25356" xr:uid="{00000000-0005-0000-0000-0000AA6A0000}"/>
    <cellStyle name="Normal 15 4 2 3 4" xfId="31407" xr:uid="{00000000-0005-0000-0000-0000AB6A0000}"/>
    <cellStyle name="Normal 15 4 2 4" xfId="7093" xr:uid="{00000000-0005-0000-0000-0000AC6A0000}"/>
    <cellStyle name="Normal 15 4 2 4 2" xfId="12045" xr:uid="{00000000-0005-0000-0000-0000AD6A0000}"/>
    <cellStyle name="Normal 15 4 2 4 2 2" xfId="25760" xr:uid="{00000000-0005-0000-0000-0000AE6A0000}"/>
    <cellStyle name="Normal 15 4 2 4 3" xfId="31409" xr:uid="{00000000-0005-0000-0000-0000AF6A0000}"/>
    <cellStyle name="Normal 15 4 2 5" xfId="7094" xr:uid="{00000000-0005-0000-0000-0000B06A0000}"/>
    <cellStyle name="Normal 15 4 2 5 2" xfId="13620" xr:uid="{00000000-0005-0000-0000-0000B16A0000}"/>
    <cellStyle name="Normal 15 4 2 5 2 2" xfId="27169" xr:uid="{00000000-0005-0000-0000-0000B26A0000}"/>
    <cellStyle name="Normal 15 4 2 5 3" xfId="31410" xr:uid="{00000000-0005-0000-0000-0000B36A0000}"/>
    <cellStyle name="Normal 15 4 2 6" xfId="7095" xr:uid="{00000000-0005-0000-0000-0000B46A0000}"/>
    <cellStyle name="Normal 15 4 2 6 2" xfId="14201" xr:uid="{00000000-0005-0000-0000-0000B56A0000}"/>
    <cellStyle name="Normal 15 4 2 6 2 2" xfId="27750" xr:uid="{00000000-0005-0000-0000-0000B66A0000}"/>
    <cellStyle name="Normal 15 4 2 6 3" xfId="31411" xr:uid="{00000000-0005-0000-0000-0000B76A0000}"/>
    <cellStyle name="Normal 15 4 2 7" xfId="7096" xr:uid="{00000000-0005-0000-0000-0000B86A0000}"/>
    <cellStyle name="Normal 15 4 2 7 2" xfId="16087" xr:uid="{00000000-0005-0000-0000-0000B96A0000}"/>
    <cellStyle name="Normal 15 4 2 7 2 2" xfId="29494" xr:uid="{00000000-0005-0000-0000-0000BA6A0000}"/>
    <cellStyle name="Normal 15 4 2 7 3" xfId="31412" xr:uid="{00000000-0005-0000-0000-0000BB6A0000}"/>
    <cellStyle name="Normal 15 4 2 8" xfId="10149" xr:uid="{00000000-0005-0000-0000-0000BC6A0000}"/>
    <cellStyle name="Normal 15 4 2 8 2" xfId="24373" xr:uid="{00000000-0005-0000-0000-0000BD6A0000}"/>
    <cellStyle name="Normal 15 4 2 9" xfId="31399" xr:uid="{00000000-0005-0000-0000-0000BE6A0000}"/>
    <cellStyle name="Normal 15 4 3" xfId="7097" xr:uid="{00000000-0005-0000-0000-0000BF6A0000}"/>
    <cellStyle name="Normal 15 4 3 2" xfId="7098" xr:uid="{00000000-0005-0000-0000-0000C06A0000}"/>
    <cellStyle name="Normal 15 4 3 2 2" xfId="7099" xr:uid="{00000000-0005-0000-0000-0000C16A0000}"/>
    <cellStyle name="Normal 15 4 3 2 2 2" xfId="16814" xr:uid="{00000000-0005-0000-0000-0000C26A0000}"/>
    <cellStyle name="Normal 15 4 3 2 2 2 2" xfId="30221" xr:uid="{00000000-0005-0000-0000-0000C36A0000}"/>
    <cellStyle name="Normal 15 4 3 2 2 3" xfId="31415" xr:uid="{00000000-0005-0000-0000-0000C46A0000}"/>
    <cellStyle name="Normal 15 4 3 2 3" xfId="11526" xr:uid="{00000000-0005-0000-0000-0000C56A0000}"/>
    <cellStyle name="Normal 15 4 3 2 3 2" xfId="25358" xr:uid="{00000000-0005-0000-0000-0000C66A0000}"/>
    <cellStyle name="Normal 15 4 3 2 4" xfId="31414" xr:uid="{00000000-0005-0000-0000-0000C76A0000}"/>
    <cellStyle name="Normal 15 4 3 3" xfId="7100" xr:uid="{00000000-0005-0000-0000-0000C86A0000}"/>
    <cellStyle name="Normal 15 4 3 3 2" xfId="12202" xr:uid="{00000000-0005-0000-0000-0000C96A0000}"/>
    <cellStyle name="Normal 15 4 3 3 2 2" xfId="25914" xr:uid="{00000000-0005-0000-0000-0000CA6A0000}"/>
    <cellStyle name="Normal 15 4 3 3 3" xfId="31416" xr:uid="{00000000-0005-0000-0000-0000CB6A0000}"/>
    <cellStyle name="Normal 15 4 3 4" xfId="7101" xr:uid="{00000000-0005-0000-0000-0000CC6A0000}"/>
    <cellStyle name="Normal 15 4 3 4 2" xfId="13766" xr:uid="{00000000-0005-0000-0000-0000CD6A0000}"/>
    <cellStyle name="Normal 15 4 3 4 2 2" xfId="27315" xr:uid="{00000000-0005-0000-0000-0000CE6A0000}"/>
    <cellStyle name="Normal 15 4 3 4 3" xfId="31417" xr:uid="{00000000-0005-0000-0000-0000CF6A0000}"/>
    <cellStyle name="Normal 15 4 3 5" xfId="7102" xr:uid="{00000000-0005-0000-0000-0000D06A0000}"/>
    <cellStyle name="Normal 15 4 3 5 2" xfId="14347" xr:uid="{00000000-0005-0000-0000-0000D16A0000}"/>
    <cellStyle name="Normal 15 4 3 5 2 2" xfId="27896" xr:uid="{00000000-0005-0000-0000-0000D26A0000}"/>
    <cellStyle name="Normal 15 4 3 5 3" xfId="31418" xr:uid="{00000000-0005-0000-0000-0000D36A0000}"/>
    <cellStyle name="Normal 15 4 3 6" xfId="7103" xr:uid="{00000000-0005-0000-0000-0000D46A0000}"/>
    <cellStyle name="Normal 15 4 3 6 2" xfId="16233" xr:uid="{00000000-0005-0000-0000-0000D56A0000}"/>
    <cellStyle name="Normal 15 4 3 6 2 2" xfId="29640" xr:uid="{00000000-0005-0000-0000-0000D66A0000}"/>
    <cellStyle name="Normal 15 4 3 6 3" xfId="31419" xr:uid="{00000000-0005-0000-0000-0000D76A0000}"/>
    <cellStyle name="Normal 15 4 3 7" xfId="10151" xr:uid="{00000000-0005-0000-0000-0000D86A0000}"/>
    <cellStyle name="Normal 15 4 3 7 2" xfId="24375" xr:uid="{00000000-0005-0000-0000-0000D96A0000}"/>
    <cellStyle name="Normal 15 4 3 8" xfId="31413" xr:uid="{00000000-0005-0000-0000-0000DA6A0000}"/>
    <cellStyle name="Normal 15 4 4" xfId="7104" xr:uid="{00000000-0005-0000-0000-0000DB6A0000}"/>
    <cellStyle name="Normal 15 4 4 2" xfId="7105" xr:uid="{00000000-0005-0000-0000-0000DC6A0000}"/>
    <cellStyle name="Normal 15 4 4 2 2" xfId="17161" xr:uid="{00000000-0005-0000-0000-0000DD6A0000}"/>
    <cellStyle name="Normal 15 4 4 2 2 2" xfId="30520" xr:uid="{00000000-0005-0000-0000-0000DE6A0000}"/>
    <cellStyle name="Normal 15 4 4 2 3" xfId="31421" xr:uid="{00000000-0005-0000-0000-0000DF6A0000}"/>
    <cellStyle name="Normal 15 4 4 3" xfId="11523" xr:uid="{00000000-0005-0000-0000-0000E06A0000}"/>
    <cellStyle name="Normal 15 4 4 3 2" xfId="25355" xr:uid="{00000000-0005-0000-0000-0000E16A0000}"/>
    <cellStyle name="Normal 15 4 4 4" xfId="31420" xr:uid="{00000000-0005-0000-0000-0000E26A0000}"/>
    <cellStyle name="Normal 15 4 5" xfId="7106" xr:uid="{00000000-0005-0000-0000-0000E36A0000}"/>
    <cellStyle name="Normal 15 4 5 2" xfId="7107" xr:uid="{00000000-0005-0000-0000-0000E46A0000}"/>
    <cellStyle name="Normal 15 4 5 2 2" xfId="17250" xr:uid="{00000000-0005-0000-0000-0000E56A0000}"/>
    <cellStyle name="Normal 15 4 5 2 2 2" xfId="30609" xr:uid="{00000000-0005-0000-0000-0000E66A0000}"/>
    <cellStyle name="Normal 15 4 5 2 3" xfId="31423" xr:uid="{00000000-0005-0000-0000-0000E76A0000}"/>
    <cellStyle name="Normal 15 4 5 3" xfId="11900" xr:uid="{00000000-0005-0000-0000-0000E86A0000}"/>
    <cellStyle name="Normal 15 4 5 3 2" xfId="25615" xr:uid="{00000000-0005-0000-0000-0000E96A0000}"/>
    <cellStyle name="Normal 15 4 5 4" xfId="31422" xr:uid="{00000000-0005-0000-0000-0000EA6A0000}"/>
    <cellStyle name="Normal 15 4 6" xfId="7108" xr:uid="{00000000-0005-0000-0000-0000EB6A0000}"/>
    <cellStyle name="Normal 15 4 6 2" xfId="7109" xr:uid="{00000000-0005-0000-0000-0000EC6A0000}"/>
    <cellStyle name="Normal 15 4 6 2 2" xfId="16525" xr:uid="{00000000-0005-0000-0000-0000ED6A0000}"/>
    <cellStyle name="Normal 15 4 6 2 2 2" xfId="29932" xr:uid="{00000000-0005-0000-0000-0000EE6A0000}"/>
    <cellStyle name="Normal 15 4 6 2 3" xfId="31425" xr:uid="{00000000-0005-0000-0000-0000EF6A0000}"/>
    <cellStyle name="Normal 15 4 6 3" xfId="13477" xr:uid="{00000000-0005-0000-0000-0000F06A0000}"/>
    <cellStyle name="Normal 15 4 6 3 2" xfId="27026" xr:uid="{00000000-0005-0000-0000-0000F16A0000}"/>
    <cellStyle name="Normal 15 4 6 4" xfId="31424" xr:uid="{00000000-0005-0000-0000-0000F26A0000}"/>
    <cellStyle name="Normal 15 4 7" xfId="7110" xr:uid="{00000000-0005-0000-0000-0000F36A0000}"/>
    <cellStyle name="Normal 15 4 7 2" xfId="14058" xr:uid="{00000000-0005-0000-0000-0000F46A0000}"/>
    <cellStyle name="Normal 15 4 7 2 2" xfId="27607" xr:uid="{00000000-0005-0000-0000-0000F56A0000}"/>
    <cellStyle name="Normal 15 4 7 3" xfId="31426" xr:uid="{00000000-0005-0000-0000-0000F66A0000}"/>
    <cellStyle name="Normal 15 4 8" xfId="7111" xr:uid="{00000000-0005-0000-0000-0000F76A0000}"/>
    <cellStyle name="Normal 15 4 8 2" xfId="15944" xr:uid="{00000000-0005-0000-0000-0000F86A0000}"/>
    <cellStyle name="Normal 15 4 8 2 2" xfId="29351" xr:uid="{00000000-0005-0000-0000-0000F96A0000}"/>
    <cellStyle name="Normal 15 4 8 3" xfId="31427" xr:uid="{00000000-0005-0000-0000-0000FA6A0000}"/>
    <cellStyle name="Normal 15 4 9" xfId="10148" xr:uid="{00000000-0005-0000-0000-0000FB6A0000}"/>
    <cellStyle name="Normal 15 4 9 2" xfId="24372" xr:uid="{00000000-0005-0000-0000-0000FC6A0000}"/>
    <cellStyle name="Normal 15 5" xfId="7112" xr:uid="{00000000-0005-0000-0000-0000FD6A0000}"/>
    <cellStyle name="Normal 15 5 10" xfId="31428" xr:uid="{00000000-0005-0000-0000-0000FE6A0000}"/>
    <cellStyle name="Normal 15 5 2" xfId="7113" xr:uid="{00000000-0005-0000-0000-0000FF6A0000}"/>
    <cellStyle name="Normal 15 5 2 2" xfId="7114" xr:uid="{00000000-0005-0000-0000-0000006B0000}"/>
    <cellStyle name="Normal 15 5 2 2 2" xfId="7115" xr:uid="{00000000-0005-0000-0000-0000016B0000}"/>
    <cellStyle name="Normal 15 5 2 2 2 2" xfId="7116" xr:uid="{00000000-0005-0000-0000-0000026B0000}"/>
    <cellStyle name="Normal 15 5 2 2 2 2 2" xfId="17000" xr:uid="{00000000-0005-0000-0000-0000036B0000}"/>
    <cellStyle name="Normal 15 5 2 2 2 2 2 2" xfId="30407" xr:uid="{00000000-0005-0000-0000-0000046B0000}"/>
    <cellStyle name="Normal 15 5 2 2 2 2 3" xfId="31432" xr:uid="{00000000-0005-0000-0000-0000056B0000}"/>
    <cellStyle name="Normal 15 5 2 2 2 3" xfId="11529" xr:uid="{00000000-0005-0000-0000-0000066B0000}"/>
    <cellStyle name="Normal 15 5 2 2 2 3 2" xfId="25361" xr:uid="{00000000-0005-0000-0000-0000076B0000}"/>
    <cellStyle name="Normal 15 5 2 2 2 4" xfId="31431" xr:uid="{00000000-0005-0000-0000-0000086B0000}"/>
    <cellStyle name="Normal 15 5 2 2 3" xfId="7117" xr:uid="{00000000-0005-0000-0000-0000096B0000}"/>
    <cellStyle name="Normal 15 5 2 2 3 2" xfId="12388" xr:uid="{00000000-0005-0000-0000-00000A6B0000}"/>
    <cellStyle name="Normal 15 5 2 2 3 2 2" xfId="26100" xr:uid="{00000000-0005-0000-0000-00000B6B0000}"/>
    <cellStyle name="Normal 15 5 2 2 3 3" xfId="31433" xr:uid="{00000000-0005-0000-0000-00000C6B0000}"/>
    <cellStyle name="Normal 15 5 2 2 4" xfId="7118" xr:uid="{00000000-0005-0000-0000-00000D6B0000}"/>
    <cellStyle name="Normal 15 5 2 2 4 2" xfId="13952" xr:uid="{00000000-0005-0000-0000-00000E6B0000}"/>
    <cellStyle name="Normal 15 5 2 2 4 2 2" xfId="27501" xr:uid="{00000000-0005-0000-0000-00000F6B0000}"/>
    <cellStyle name="Normal 15 5 2 2 4 3" xfId="31434" xr:uid="{00000000-0005-0000-0000-0000106B0000}"/>
    <cellStyle name="Normal 15 5 2 2 5" xfId="7119" xr:uid="{00000000-0005-0000-0000-0000116B0000}"/>
    <cellStyle name="Normal 15 5 2 2 5 2" xfId="14533" xr:uid="{00000000-0005-0000-0000-0000126B0000}"/>
    <cellStyle name="Normal 15 5 2 2 5 2 2" xfId="28082" xr:uid="{00000000-0005-0000-0000-0000136B0000}"/>
    <cellStyle name="Normal 15 5 2 2 5 3" xfId="31435" xr:uid="{00000000-0005-0000-0000-0000146B0000}"/>
    <cellStyle name="Normal 15 5 2 2 6" xfId="7120" xr:uid="{00000000-0005-0000-0000-0000156B0000}"/>
    <cellStyle name="Normal 15 5 2 2 6 2" xfId="16419" xr:uid="{00000000-0005-0000-0000-0000166B0000}"/>
    <cellStyle name="Normal 15 5 2 2 6 2 2" xfId="29826" xr:uid="{00000000-0005-0000-0000-0000176B0000}"/>
    <cellStyle name="Normal 15 5 2 2 6 3" xfId="31436" xr:uid="{00000000-0005-0000-0000-0000186B0000}"/>
    <cellStyle name="Normal 15 5 2 2 7" xfId="10154" xr:uid="{00000000-0005-0000-0000-0000196B0000}"/>
    <cellStyle name="Normal 15 5 2 2 7 2" xfId="24378" xr:uid="{00000000-0005-0000-0000-00001A6B0000}"/>
    <cellStyle name="Normal 15 5 2 2 8" xfId="31430" xr:uid="{00000000-0005-0000-0000-00001B6B0000}"/>
    <cellStyle name="Normal 15 5 2 3" xfId="7121" xr:uid="{00000000-0005-0000-0000-00001C6B0000}"/>
    <cellStyle name="Normal 15 5 2 3 2" xfId="7122" xr:uid="{00000000-0005-0000-0000-00001D6B0000}"/>
    <cellStyle name="Normal 15 5 2 3 2 2" xfId="16711" xr:uid="{00000000-0005-0000-0000-00001E6B0000}"/>
    <cellStyle name="Normal 15 5 2 3 2 2 2" xfId="30118" xr:uid="{00000000-0005-0000-0000-00001F6B0000}"/>
    <cellStyle name="Normal 15 5 2 3 2 3" xfId="31438" xr:uid="{00000000-0005-0000-0000-0000206B0000}"/>
    <cellStyle name="Normal 15 5 2 3 3" xfId="11528" xr:uid="{00000000-0005-0000-0000-0000216B0000}"/>
    <cellStyle name="Normal 15 5 2 3 3 2" xfId="25360" xr:uid="{00000000-0005-0000-0000-0000226B0000}"/>
    <cellStyle name="Normal 15 5 2 3 4" xfId="31437" xr:uid="{00000000-0005-0000-0000-0000236B0000}"/>
    <cellStyle name="Normal 15 5 2 4" xfId="7123" xr:uid="{00000000-0005-0000-0000-0000246B0000}"/>
    <cellStyle name="Normal 15 5 2 4 2" xfId="12088" xr:uid="{00000000-0005-0000-0000-0000256B0000}"/>
    <cellStyle name="Normal 15 5 2 4 2 2" xfId="25803" xr:uid="{00000000-0005-0000-0000-0000266B0000}"/>
    <cellStyle name="Normal 15 5 2 4 3" xfId="31439" xr:uid="{00000000-0005-0000-0000-0000276B0000}"/>
    <cellStyle name="Normal 15 5 2 5" xfId="7124" xr:uid="{00000000-0005-0000-0000-0000286B0000}"/>
    <cellStyle name="Normal 15 5 2 5 2" xfId="13663" xr:uid="{00000000-0005-0000-0000-0000296B0000}"/>
    <cellStyle name="Normal 15 5 2 5 2 2" xfId="27212" xr:uid="{00000000-0005-0000-0000-00002A6B0000}"/>
    <cellStyle name="Normal 15 5 2 5 3" xfId="31440" xr:uid="{00000000-0005-0000-0000-00002B6B0000}"/>
    <cellStyle name="Normal 15 5 2 6" xfId="7125" xr:uid="{00000000-0005-0000-0000-00002C6B0000}"/>
    <cellStyle name="Normal 15 5 2 6 2" xfId="14244" xr:uid="{00000000-0005-0000-0000-00002D6B0000}"/>
    <cellStyle name="Normal 15 5 2 6 2 2" xfId="27793" xr:uid="{00000000-0005-0000-0000-00002E6B0000}"/>
    <cellStyle name="Normal 15 5 2 6 3" xfId="31441" xr:uid="{00000000-0005-0000-0000-00002F6B0000}"/>
    <cellStyle name="Normal 15 5 2 7" xfId="7126" xr:uid="{00000000-0005-0000-0000-0000306B0000}"/>
    <cellStyle name="Normal 15 5 2 7 2" xfId="16130" xr:uid="{00000000-0005-0000-0000-0000316B0000}"/>
    <cellStyle name="Normal 15 5 2 7 2 2" xfId="29537" xr:uid="{00000000-0005-0000-0000-0000326B0000}"/>
    <cellStyle name="Normal 15 5 2 7 3" xfId="31442" xr:uid="{00000000-0005-0000-0000-0000336B0000}"/>
    <cellStyle name="Normal 15 5 2 8" xfId="10153" xr:uid="{00000000-0005-0000-0000-0000346B0000}"/>
    <cellStyle name="Normal 15 5 2 8 2" xfId="24377" xr:uid="{00000000-0005-0000-0000-0000356B0000}"/>
    <cellStyle name="Normal 15 5 2 9" xfId="31429" xr:uid="{00000000-0005-0000-0000-0000366B0000}"/>
    <cellStyle name="Normal 15 5 3" xfId="7127" xr:uid="{00000000-0005-0000-0000-0000376B0000}"/>
    <cellStyle name="Normal 15 5 3 2" xfId="7128" xr:uid="{00000000-0005-0000-0000-0000386B0000}"/>
    <cellStyle name="Normal 15 5 3 2 2" xfId="7129" xr:uid="{00000000-0005-0000-0000-0000396B0000}"/>
    <cellStyle name="Normal 15 5 3 2 2 2" xfId="16857" xr:uid="{00000000-0005-0000-0000-00003A6B0000}"/>
    <cellStyle name="Normal 15 5 3 2 2 2 2" xfId="30264" xr:uid="{00000000-0005-0000-0000-00003B6B0000}"/>
    <cellStyle name="Normal 15 5 3 2 2 3" xfId="31445" xr:uid="{00000000-0005-0000-0000-00003C6B0000}"/>
    <cellStyle name="Normal 15 5 3 2 3" xfId="11530" xr:uid="{00000000-0005-0000-0000-00003D6B0000}"/>
    <cellStyle name="Normal 15 5 3 2 3 2" xfId="25362" xr:uid="{00000000-0005-0000-0000-00003E6B0000}"/>
    <cellStyle name="Normal 15 5 3 2 4" xfId="31444" xr:uid="{00000000-0005-0000-0000-00003F6B0000}"/>
    <cellStyle name="Normal 15 5 3 3" xfId="7130" xr:uid="{00000000-0005-0000-0000-0000406B0000}"/>
    <cellStyle name="Normal 15 5 3 3 2" xfId="12245" xr:uid="{00000000-0005-0000-0000-0000416B0000}"/>
    <cellStyle name="Normal 15 5 3 3 2 2" xfId="25957" xr:uid="{00000000-0005-0000-0000-0000426B0000}"/>
    <cellStyle name="Normal 15 5 3 3 3" xfId="31446" xr:uid="{00000000-0005-0000-0000-0000436B0000}"/>
    <cellStyle name="Normal 15 5 3 4" xfId="7131" xr:uid="{00000000-0005-0000-0000-0000446B0000}"/>
    <cellStyle name="Normal 15 5 3 4 2" xfId="13809" xr:uid="{00000000-0005-0000-0000-0000456B0000}"/>
    <cellStyle name="Normal 15 5 3 4 2 2" xfId="27358" xr:uid="{00000000-0005-0000-0000-0000466B0000}"/>
    <cellStyle name="Normal 15 5 3 4 3" xfId="31447" xr:uid="{00000000-0005-0000-0000-0000476B0000}"/>
    <cellStyle name="Normal 15 5 3 5" xfId="7132" xr:uid="{00000000-0005-0000-0000-0000486B0000}"/>
    <cellStyle name="Normal 15 5 3 5 2" xfId="14390" xr:uid="{00000000-0005-0000-0000-0000496B0000}"/>
    <cellStyle name="Normal 15 5 3 5 2 2" xfId="27939" xr:uid="{00000000-0005-0000-0000-00004A6B0000}"/>
    <cellStyle name="Normal 15 5 3 5 3" xfId="31448" xr:uid="{00000000-0005-0000-0000-00004B6B0000}"/>
    <cellStyle name="Normal 15 5 3 6" xfId="7133" xr:uid="{00000000-0005-0000-0000-00004C6B0000}"/>
    <cellStyle name="Normal 15 5 3 6 2" xfId="16276" xr:uid="{00000000-0005-0000-0000-00004D6B0000}"/>
    <cellStyle name="Normal 15 5 3 6 2 2" xfId="29683" xr:uid="{00000000-0005-0000-0000-00004E6B0000}"/>
    <cellStyle name="Normal 15 5 3 6 3" xfId="31449" xr:uid="{00000000-0005-0000-0000-00004F6B0000}"/>
    <cellStyle name="Normal 15 5 3 7" xfId="10155" xr:uid="{00000000-0005-0000-0000-0000506B0000}"/>
    <cellStyle name="Normal 15 5 3 7 2" xfId="24379" xr:uid="{00000000-0005-0000-0000-0000516B0000}"/>
    <cellStyle name="Normal 15 5 3 8" xfId="31443" xr:uid="{00000000-0005-0000-0000-0000526B0000}"/>
    <cellStyle name="Normal 15 5 4" xfId="7134" xr:uid="{00000000-0005-0000-0000-0000536B0000}"/>
    <cellStyle name="Normal 15 5 4 2" xfId="7135" xr:uid="{00000000-0005-0000-0000-0000546B0000}"/>
    <cellStyle name="Normal 15 5 4 2 2" xfId="16568" xr:uid="{00000000-0005-0000-0000-0000556B0000}"/>
    <cellStyle name="Normal 15 5 4 2 2 2" xfId="29975" xr:uid="{00000000-0005-0000-0000-0000566B0000}"/>
    <cellStyle name="Normal 15 5 4 2 3" xfId="31451" xr:uid="{00000000-0005-0000-0000-0000576B0000}"/>
    <cellStyle name="Normal 15 5 4 3" xfId="11527" xr:uid="{00000000-0005-0000-0000-0000586B0000}"/>
    <cellStyle name="Normal 15 5 4 3 2" xfId="25359" xr:uid="{00000000-0005-0000-0000-0000596B0000}"/>
    <cellStyle name="Normal 15 5 4 4" xfId="31450" xr:uid="{00000000-0005-0000-0000-00005A6B0000}"/>
    <cellStyle name="Normal 15 5 5" xfId="7136" xr:uid="{00000000-0005-0000-0000-00005B6B0000}"/>
    <cellStyle name="Normal 15 5 5 2" xfId="11943" xr:uid="{00000000-0005-0000-0000-00005C6B0000}"/>
    <cellStyle name="Normal 15 5 5 2 2" xfId="25658" xr:uid="{00000000-0005-0000-0000-00005D6B0000}"/>
    <cellStyle name="Normal 15 5 5 3" xfId="31452" xr:uid="{00000000-0005-0000-0000-00005E6B0000}"/>
    <cellStyle name="Normal 15 5 6" xfId="7137" xr:uid="{00000000-0005-0000-0000-00005F6B0000}"/>
    <cellStyle name="Normal 15 5 6 2" xfId="13520" xr:uid="{00000000-0005-0000-0000-0000606B0000}"/>
    <cellStyle name="Normal 15 5 6 2 2" xfId="27069" xr:uid="{00000000-0005-0000-0000-0000616B0000}"/>
    <cellStyle name="Normal 15 5 6 3" xfId="31453" xr:uid="{00000000-0005-0000-0000-0000626B0000}"/>
    <cellStyle name="Normal 15 5 7" xfId="7138" xr:uid="{00000000-0005-0000-0000-0000636B0000}"/>
    <cellStyle name="Normal 15 5 7 2" xfId="14101" xr:uid="{00000000-0005-0000-0000-0000646B0000}"/>
    <cellStyle name="Normal 15 5 7 2 2" xfId="27650" xr:uid="{00000000-0005-0000-0000-0000656B0000}"/>
    <cellStyle name="Normal 15 5 7 3" xfId="31454" xr:uid="{00000000-0005-0000-0000-0000666B0000}"/>
    <cellStyle name="Normal 15 5 8" xfId="7139" xr:uid="{00000000-0005-0000-0000-0000676B0000}"/>
    <cellStyle name="Normal 15 5 8 2" xfId="15987" xr:uid="{00000000-0005-0000-0000-0000686B0000}"/>
    <cellStyle name="Normal 15 5 8 2 2" xfId="29394" xr:uid="{00000000-0005-0000-0000-0000696B0000}"/>
    <cellStyle name="Normal 15 5 8 3" xfId="31455" xr:uid="{00000000-0005-0000-0000-00006A6B0000}"/>
    <cellStyle name="Normal 15 5 9" xfId="10152" xr:uid="{00000000-0005-0000-0000-00006B6B0000}"/>
    <cellStyle name="Normal 15 5 9 2" xfId="24376" xr:uid="{00000000-0005-0000-0000-00006C6B0000}"/>
    <cellStyle name="Normal 15 6" xfId="7140" xr:uid="{00000000-0005-0000-0000-00006D6B0000}"/>
    <cellStyle name="Normal 15 6 2" xfId="7141" xr:uid="{00000000-0005-0000-0000-00006E6B0000}"/>
    <cellStyle name="Normal 15 6 2 2" xfId="7142" xr:uid="{00000000-0005-0000-0000-00006F6B0000}"/>
    <cellStyle name="Normal 15 6 2 2 2" xfId="7143" xr:uid="{00000000-0005-0000-0000-0000706B0000}"/>
    <cellStyle name="Normal 15 6 2 2 2 2" xfId="16911" xr:uid="{00000000-0005-0000-0000-0000716B0000}"/>
    <cellStyle name="Normal 15 6 2 2 2 2 2" xfId="30318" xr:uid="{00000000-0005-0000-0000-0000726B0000}"/>
    <cellStyle name="Normal 15 6 2 2 2 3" xfId="31459" xr:uid="{00000000-0005-0000-0000-0000736B0000}"/>
    <cellStyle name="Normal 15 6 2 2 3" xfId="11532" xr:uid="{00000000-0005-0000-0000-0000746B0000}"/>
    <cellStyle name="Normal 15 6 2 2 3 2" xfId="25364" xr:uid="{00000000-0005-0000-0000-0000756B0000}"/>
    <cellStyle name="Normal 15 6 2 2 4" xfId="31458" xr:uid="{00000000-0005-0000-0000-0000766B0000}"/>
    <cellStyle name="Normal 15 6 2 3" xfId="7144" xr:uid="{00000000-0005-0000-0000-0000776B0000}"/>
    <cellStyle name="Normal 15 6 2 3 2" xfId="12299" xr:uid="{00000000-0005-0000-0000-0000786B0000}"/>
    <cellStyle name="Normal 15 6 2 3 2 2" xfId="26011" xr:uid="{00000000-0005-0000-0000-0000796B0000}"/>
    <cellStyle name="Normal 15 6 2 3 3" xfId="31460" xr:uid="{00000000-0005-0000-0000-00007A6B0000}"/>
    <cellStyle name="Normal 15 6 2 4" xfId="7145" xr:uid="{00000000-0005-0000-0000-00007B6B0000}"/>
    <cellStyle name="Normal 15 6 2 4 2" xfId="13863" xr:uid="{00000000-0005-0000-0000-00007C6B0000}"/>
    <cellStyle name="Normal 15 6 2 4 2 2" xfId="27412" xr:uid="{00000000-0005-0000-0000-00007D6B0000}"/>
    <cellStyle name="Normal 15 6 2 4 3" xfId="31461" xr:uid="{00000000-0005-0000-0000-00007E6B0000}"/>
    <cellStyle name="Normal 15 6 2 5" xfId="7146" xr:uid="{00000000-0005-0000-0000-00007F6B0000}"/>
    <cellStyle name="Normal 15 6 2 5 2" xfId="14444" xr:uid="{00000000-0005-0000-0000-0000806B0000}"/>
    <cellStyle name="Normal 15 6 2 5 2 2" xfId="27993" xr:uid="{00000000-0005-0000-0000-0000816B0000}"/>
    <cellStyle name="Normal 15 6 2 5 3" xfId="31462" xr:uid="{00000000-0005-0000-0000-0000826B0000}"/>
    <cellStyle name="Normal 15 6 2 6" xfId="7147" xr:uid="{00000000-0005-0000-0000-0000836B0000}"/>
    <cellStyle name="Normal 15 6 2 6 2" xfId="16330" xr:uid="{00000000-0005-0000-0000-0000846B0000}"/>
    <cellStyle name="Normal 15 6 2 6 2 2" xfId="29737" xr:uid="{00000000-0005-0000-0000-0000856B0000}"/>
    <cellStyle name="Normal 15 6 2 6 3" xfId="31463" xr:uid="{00000000-0005-0000-0000-0000866B0000}"/>
    <cellStyle name="Normal 15 6 2 7" xfId="10157" xr:uid="{00000000-0005-0000-0000-0000876B0000}"/>
    <cellStyle name="Normal 15 6 2 7 2" xfId="24381" xr:uid="{00000000-0005-0000-0000-0000886B0000}"/>
    <cellStyle name="Normal 15 6 2 8" xfId="31457" xr:uid="{00000000-0005-0000-0000-0000896B0000}"/>
    <cellStyle name="Normal 15 6 3" xfId="7148" xr:uid="{00000000-0005-0000-0000-00008A6B0000}"/>
    <cellStyle name="Normal 15 6 3 2" xfId="7149" xr:uid="{00000000-0005-0000-0000-00008B6B0000}"/>
    <cellStyle name="Normal 15 6 3 2 2" xfId="16622" xr:uid="{00000000-0005-0000-0000-00008C6B0000}"/>
    <cellStyle name="Normal 15 6 3 2 2 2" xfId="30029" xr:uid="{00000000-0005-0000-0000-00008D6B0000}"/>
    <cellStyle name="Normal 15 6 3 2 3" xfId="31465" xr:uid="{00000000-0005-0000-0000-00008E6B0000}"/>
    <cellStyle name="Normal 15 6 3 3" xfId="11531" xr:uid="{00000000-0005-0000-0000-00008F6B0000}"/>
    <cellStyle name="Normal 15 6 3 3 2" xfId="25363" xr:uid="{00000000-0005-0000-0000-0000906B0000}"/>
    <cellStyle name="Normal 15 6 3 4" xfId="31464" xr:uid="{00000000-0005-0000-0000-0000916B0000}"/>
    <cellStyle name="Normal 15 6 4" xfId="7150" xr:uid="{00000000-0005-0000-0000-0000926B0000}"/>
    <cellStyle name="Normal 15 6 4 2" xfId="11999" xr:uid="{00000000-0005-0000-0000-0000936B0000}"/>
    <cellStyle name="Normal 15 6 4 2 2" xfId="25714" xr:uid="{00000000-0005-0000-0000-0000946B0000}"/>
    <cellStyle name="Normal 15 6 4 3" xfId="31466" xr:uid="{00000000-0005-0000-0000-0000956B0000}"/>
    <cellStyle name="Normal 15 6 5" xfId="7151" xr:uid="{00000000-0005-0000-0000-0000966B0000}"/>
    <cellStyle name="Normal 15 6 5 2" xfId="13574" xr:uid="{00000000-0005-0000-0000-0000976B0000}"/>
    <cellStyle name="Normal 15 6 5 2 2" xfId="27123" xr:uid="{00000000-0005-0000-0000-0000986B0000}"/>
    <cellStyle name="Normal 15 6 5 3" xfId="31467" xr:uid="{00000000-0005-0000-0000-0000996B0000}"/>
    <cellStyle name="Normal 15 6 6" xfId="7152" xr:uid="{00000000-0005-0000-0000-00009A6B0000}"/>
    <cellStyle name="Normal 15 6 6 2" xfId="14155" xr:uid="{00000000-0005-0000-0000-00009B6B0000}"/>
    <cellStyle name="Normal 15 6 6 2 2" xfId="27704" xr:uid="{00000000-0005-0000-0000-00009C6B0000}"/>
    <cellStyle name="Normal 15 6 6 3" xfId="31468" xr:uid="{00000000-0005-0000-0000-00009D6B0000}"/>
    <cellStyle name="Normal 15 6 7" xfId="7153" xr:uid="{00000000-0005-0000-0000-00009E6B0000}"/>
    <cellStyle name="Normal 15 6 7 2" xfId="16041" xr:uid="{00000000-0005-0000-0000-00009F6B0000}"/>
    <cellStyle name="Normal 15 6 7 2 2" xfId="29448" xr:uid="{00000000-0005-0000-0000-0000A06B0000}"/>
    <cellStyle name="Normal 15 6 7 3" xfId="31469" xr:uid="{00000000-0005-0000-0000-0000A16B0000}"/>
    <cellStyle name="Normal 15 6 8" xfId="10156" xr:uid="{00000000-0005-0000-0000-0000A26B0000}"/>
    <cellStyle name="Normal 15 6 8 2" xfId="24380" xr:uid="{00000000-0005-0000-0000-0000A36B0000}"/>
    <cellStyle name="Normal 15 6 9" xfId="31456" xr:uid="{00000000-0005-0000-0000-0000A46B0000}"/>
    <cellStyle name="Normal 15 7" xfId="7154" xr:uid="{00000000-0005-0000-0000-0000A56B0000}"/>
    <cellStyle name="Normal 15 7 2" xfId="7155" xr:uid="{00000000-0005-0000-0000-0000A66B0000}"/>
    <cellStyle name="Normal 15 7 2 2" xfId="7156" xr:uid="{00000000-0005-0000-0000-0000A76B0000}"/>
    <cellStyle name="Normal 15 7 2 2 2" xfId="16734" xr:uid="{00000000-0005-0000-0000-0000A86B0000}"/>
    <cellStyle name="Normal 15 7 2 2 2 2" xfId="30141" xr:uid="{00000000-0005-0000-0000-0000A96B0000}"/>
    <cellStyle name="Normal 15 7 2 2 3" xfId="31472" xr:uid="{00000000-0005-0000-0000-0000AA6B0000}"/>
    <cellStyle name="Normal 15 7 2 3" xfId="11533" xr:uid="{00000000-0005-0000-0000-0000AB6B0000}"/>
    <cellStyle name="Normal 15 7 2 3 2" xfId="25365" xr:uid="{00000000-0005-0000-0000-0000AC6B0000}"/>
    <cellStyle name="Normal 15 7 2 4" xfId="31471" xr:uid="{00000000-0005-0000-0000-0000AD6B0000}"/>
    <cellStyle name="Normal 15 7 3" xfId="7157" xr:uid="{00000000-0005-0000-0000-0000AE6B0000}"/>
    <cellStyle name="Normal 15 7 3 2" xfId="12122" xr:uid="{00000000-0005-0000-0000-0000AF6B0000}"/>
    <cellStyle name="Normal 15 7 3 2 2" xfId="25834" xr:uid="{00000000-0005-0000-0000-0000B06B0000}"/>
    <cellStyle name="Normal 15 7 3 3" xfId="31473" xr:uid="{00000000-0005-0000-0000-0000B16B0000}"/>
    <cellStyle name="Normal 15 7 4" xfId="7158" xr:uid="{00000000-0005-0000-0000-0000B26B0000}"/>
    <cellStyle name="Normal 15 7 4 2" xfId="13686" xr:uid="{00000000-0005-0000-0000-0000B36B0000}"/>
    <cellStyle name="Normal 15 7 4 2 2" xfId="27235" xr:uid="{00000000-0005-0000-0000-0000B46B0000}"/>
    <cellStyle name="Normal 15 7 4 3" xfId="31474" xr:uid="{00000000-0005-0000-0000-0000B56B0000}"/>
    <cellStyle name="Normal 15 7 5" xfId="7159" xr:uid="{00000000-0005-0000-0000-0000B66B0000}"/>
    <cellStyle name="Normal 15 7 5 2" xfId="14267" xr:uid="{00000000-0005-0000-0000-0000B76B0000}"/>
    <cellStyle name="Normal 15 7 5 2 2" xfId="27816" xr:uid="{00000000-0005-0000-0000-0000B86B0000}"/>
    <cellStyle name="Normal 15 7 5 3" xfId="31475" xr:uid="{00000000-0005-0000-0000-0000B96B0000}"/>
    <cellStyle name="Normal 15 7 6" xfId="7160" xr:uid="{00000000-0005-0000-0000-0000BA6B0000}"/>
    <cellStyle name="Normal 15 7 6 2" xfId="16153" xr:uid="{00000000-0005-0000-0000-0000BB6B0000}"/>
    <cellStyle name="Normal 15 7 6 2 2" xfId="29560" xr:uid="{00000000-0005-0000-0000-0000BC6B0000}"/>
    <cellStyle name="Normal 15 7 6 3" xfId="31476" xr:uid="{00000000-0005-0000-0000-0000BD6B0000}"/>
    <cellStyle name="Normal 15 7 7" xfId="10158" xr:uid="{00000000-0005-0000-0000-0000BE6B0000}"/>
    <cellStyle name="Normal 15 7 7 2" xfId="24382" xr:uid="{00000000-0005-0000-0000-0000BF6B0000}"/>
    <cellStyle name="Normal 15 7 8" xfId="31470" xr:uid="{00000000-0005-0000-0000-0000C06B0000}"/>
    <cellStyle name="Normal 15 8" xfId="7161" xr:uid="{00000000-0005-0000-0000-0000C16B0000}"/>
    <cellStyle name="Normal 15 8 2" xfId="7162" xr:uid="{00000000-0005-0000-0000-0000C26B0000}"/>
    <cellStyle name="Normal 15 8 2 2" xfId="11534" xr:uid="{00000000-0005-0000-0000-0000C36B0000}"/>
    <cellStyle name="Normal 15 8 2 2 2" xfId="25366" xr:uid="{00000000-0005-0000-0000-0000C46B0000}"/>
    <cellStyle name="Normal 15 8 2 3" xfId="31478" xr:uid="{00000000-0005-0000-0000-0000C56B0000}"/>
    <cellStyle name="Normal 15 8 3" xfId="7163" xr:uid="{00000000-0005-0000-0000-0000C66B0000}"/>
    <cellStyle name="Normal 15 8 3 2" xfId="13244" xr:uid="{00000000-0005-0000-0000-0000C76B0000}"/>
    <cellStyle name="Normal 15 8 3 2 2" xfId="26888" xr:uid="{00000000-0005-0000-0000-0000C86B0000}"/>
    <cellStyle name="Normal 15 8 3 3" xfId="31479" xr:uid="{00000000-0005-0000-0000-0000C96B0000}"/>
    <cellStyle name="Normal 15 8 4" xfId="7164" xr:uid="{00000000-0005-0000-0000-0000CA6B0000}"/>
    <cellStyle name="Normal 15 8 4 2" xfId="15694" xr:uid="{00000000-0005-0000-0000-0000CB6B0000}"/>
    <cellStyle name="Normal 15 8 4 2 2" xfId="29180" xr:uid="{00000000-0005-0000-0000-0000CC6B0000}"/>
    <cellStyle name="Normal 15 8 4 3" xfId="31480" xr:uid="{00000000-0005-0000-0000-0000CD6B0000}"/>
    <cellStyle name="Normal 15 8 5" xfId="7165" xr:uid="{00000000-0005-0000-0000-0000CE6B0000}"/>
    <cellStyle name="Normal 15 8 5 2" xfId="17115" xr:uid="{00000000-0005-0000-0000-0000CF6B0000}"/>
    <cellStyle name="Normal 15 8 5 2 2" xfId="30474" xr:uid="{00000000-0005-0000-0000-0000D06B0000}"/>
    <cellStyle name="Normal 15 8 5 3" xfId="31481" xr:uid="{00000000-0005-0000-0000-0000D16B0000}"/>
    <cellStyle name="Normal 15 8 6" xfId="10159" xr:uid="{00000000-0005-0000-0000-0000D26B0000}"/>
    <cellStyle name="Normal 15 8 6 2" xfId="24383" xr:uid="{00000000-0005-0000-0000-0000D36B0000}"/>
    <cellStyle name="Normal 15 8 7" xfId="31477" xr:uid="{00000000-0005-0000-0000-0000D46B0000}"/>
    <cellStyle name="Normal 15 9" xfId="7166" xr:uid="{00000000-0005-0000-0000-0000D56B0000}"/>
    <cellStyle name="Normal 15 9 2" xfId="7167" xr:uid="{00000000-0005-0000-0000-0000D66B0000}"/>
    <cellStyle name="Normal 15 9 2 2" xfId="13245" xr:uid="{00000000-0005-0000-0000-0000D76B0000}"/>
    <cellStyle name="Normal 15 9 2 3" xfId="31483" xr:uid="{00000000-0005-0000-0000-0000D86B0000}"/>
    <cellStyle name="Normal 15 9 3" xfId="7168" xr:uid="{00000000-0005-0000-0000-0000D96B0000}"/>
    <cellStyle name="Normal 15 9 3 2" xfId="17204" xr:uid="{00000000-0005-0000-0000-0000DA6B0000}"/>
    <cellStyle name="Normal 15 9 3 2 2" xfId="30563" xr:uid="{00000000-0005-0000-0000-0000DB6B0000}"/>
    <cellStyle name="Normal 15 9 3 3" xfId="31484" xr:uid="{00000000-0005-0000-0000-0000DC6B0000}"/>
    <cellStyle name="Normal 15 9 4" xfId="11830" xr:uid="{00000000-0005-0000-0000-0000DD6B0000}"/>
    <cellStyle name="Normal 15 9 4 2" xfId="25545" xr:uid="{00000000-0005-0000-0000-0000DE6B0000}"/>
    <cellStyle name="Normal 15 9 5" xfId="31482" xr:uid="{00000000-0005-0000-0000-0000DF6B0000}"/>
    <cellStyle name="Normal 16" xfId="7169" xr:uid="{00000000-0005-0000-0000-0000E06B0000}"/>
    <cellStyle name="Normal 16 10" xfId="10160" xr:uid="{00000000-0005-0000-0000-0000E16B0000}"/>
    <cellStyle name="Normal 16 10 2" xfId="24384" xr:uid="{00000000-0005-0000-0000-0000E26B0000}"/>
    <cellStyle name="Normal 16 11" xfId="31485" xr:uid="{00000000-0005-0000-0000-0000E36B0000}"/>
    <cellStyle name="Normal 16 2" xfId="7170" xr:uid="{00000000-0005-0000-0000-0000E46B0000}"/>
    <cellStyle name="Normal 16 2 10" xfId="31486" xr:uid="{00000000-0005-0000-0000-0000E56B0000}"/>
    <cellStyle name="Normal 16 2 2" xfId="7171" xr:uid="{00000000-0005-0000-0000-0000E66B0000}"/>
    <cellStyle name="Normal 16 2 2 2" xfId="7172" xr:uid="{00000000-0005-0000-0000-0000E76B0000}"/>
    <cellStyle name="Normal 16 2 2 2 2" xfId="7173" xr:uid="{00000000-0005-0000-0000-0000E86B0000}"/>
    <cellStyle name="Normal 16 2 2 2 2 2" xfId="7174" xr:uid="{00000000-0005-0000-0000-0000E96B0000}"/>
    <cellStyle name="Normal 16 2 2 2 2 2 2" xfId="16958" xr:uid="{00000000-0005-0000-0000-0000EA6B0000}"/>
    <cellStyle name="Normal 16 2 2 2 2 2 2 2" xfId="30365" xr:uid="{00000000-0005-0000-0000-0000EB6B0000}"/>
    <cellStyle name="Normal 16 2 2 2 2 2 3" xfId="31490" xr:uid="{00000000-0005-0000-0000-0000EC6B0000}"/>
    <cellStyle name="Normal 16 2 2 2 2 3" xfId="11538" xr:uid="{00000000-0005-0000-0000-0000ED6B0000}"/>
    <cellStyle name="Normal 16 2 2 2 2 3 2" xfId="25370" xr:uid="{00000000-0005-0000-0000-0000EE6B0000}"/>
    <cellStyle name="Normal 16 2 2 2 2 4" xfId="31489" xr:uid="{00000000-0005-0000-0000-0000EF6B0000}"/>
    <cellStyle name="Normal 16 2 2 2 3" xfId="7175" xr:uid="{00000000-0005-0000-0000-0000F06B0000}"/>
    <cellStyle name="Normal 16 2 2 2 3 2" xfId="12346" xr:uid="{00000000-0005-0000-0000-0000F16B0000}"/>
    <cellStyle name="Normal 16 2 2 2 3 2 2" xfId="26058" xr:uid="{00000000-0005-0000-0000-0000F26B0000}"/>
    <cellStyle name="Normal 16 2 2 2 3 3" xfId="31491" xr:uid="{00000000-0005-0000-0000-0000F36B0000}"/>
    <cellStyle name="Normal 16 2 2 2 4" xfId="7176" xr:uid="{00000000-0005-0000-0000-0000F46B0000}"/>
    <cellStyle name="Normal 16 2 2 2 4 2" xfId="13910" xr:uid="{00000000-0005-0000-0000-0000F56B0000}"/>
    <cellStyle name="Normal 16 2 2 2 4 2 2" xfId="27459" xr:uid="{00000000-0005-0000-0000-0000F66B0000}"/>
    <cellStyle name="Normal 16 2 2 2 4 3" xfId="31492" xr:uid="{00000000-0005-0000-0000-0000F76B0000}"/>
    <cellStyle name="Normal 16 2 2 2 5" xfId="7177" xr:uid="{00000000-0005-0000-0000-0000F86B0000}"/>
    <cellStyle name="Normal 16 2 2 2 5 2" xfId="14491" xr:uid="{00000000-0005-0000-0000-0000F96B0000}"/>
    <cellStyle name="Normal 16 2 2 2 5 2 2" xfId="28040" xr:uid="{00000000-0005-0000-0000-0000FA6B0000}"/>
    <cellStyle name="Normal 16 2 2 2 5 3" xfId="31493" xr:uid="{00000000-0005-0000-0000-0000FB6B0000}"/>
    <cellStyle name="Normal 16 2 2 2 6" xfId="7178" xr:uid="{00000000-0005-0000-0000-0000FC6B0000}"/>
    <cellStyle name="Normal 16 2 2 2 6 2" xfId="16377" xr:uid="{00000000-0005-0000-0000-0000FD6B0000}"/>
    <cellStyle name="Normal 16 2 2 2 6 2 2" xfId="29784" xr:uid="{00000000-0005-0000-0000-0000FE6B0000}"/>
    <cellStyle name="Normal 16 2 2 2 6 3" xfId="31494" xr:uid="{00000000-0005-0000-0000-0000FF6B0000}"/>
    <cellStyle name="Normal 16 2 2 2 7" xfId="10163" xr:uid="{00000000-0005-0000-0000-0000006C0000}"/>
    <cellStyle name="Normal 16 2 2 2 7 2" xfId="24387" xr:uid="{00000000-0005-0000-0000-0000016C0000}"/>
    <cellStyle name="Normal 16 2 2 2 8" xfId="31488" xr:uid="{00000000-0005-0000-0000-0000026C0000}"/>
    <cellStyle name="Normal 16 2 2 3" xfId="7179" xr:uid="{00000000-0005-0000-0000-0000036C0000}"/>
    <cellStyle name="Normal 16 2 2 3 2" xfId="7180" xr:uid="{00000000-0005-0000-0000-0000046C0000}"/>
    <cellStyle name="Normal 16 2 2 3 2 2" xfId="16669" xr:uid="{00000000-0005-0000-0000-0000056C0000}"/>
    <cellStyle name="Normal 16 2 2 3 2 2 2" xfId="30076" xr:uid="{00000000-0005-0000-0000-0000066C0000}"/>
    <cellStyle name="Normal 16 2 2 3 2 3" xfId="31496" xr:uid="{00000000-0005-0000-0000-0000076C0000}"/>
    <cellStyle name="Normal 16 2 2 3 3" xfId="11537" xr:uid="{00000000-0005-0000-0000-0000086C0000}"/>
    <cellStyle name="Normal 16 2 2 3 3 2" xfId="25369" xr:uid="{00000000-0005-0000-0000-0000096C0000}"/>
    <cellStyle name="Normal 16 2 2 3 4" xfId="31495" xr:uid="{00000000-0005-0000-0000-00000A6C0000}"/>
    <cellStyle name="Normal 16 2 2 4" xfId="7181" xr:uid="{00000000-0005-0000-0000-00000B6C0000}"/>
    <cellStyle name="Normal 16 2 2 4 2" xfId="12046" xr:uid="{00000000-0005-0000-0000-00000C6C0000}"/>
    <cellStyle name="Normal 16 2 2 4 2 2" xfId="25761" xr:uid="{00000000-0005-0000-0000-00000D6C0000}"/>
    <cellStyle name="Normal 16 2 2 4 3" xfId="31497" xr:uid="{00000000-0005-0000-0000-00000E6C0000}"/>
    <cellStyle name="Normal 16 2 2 5" xfId="7182" xr:uid="{00000000-0005-0000-0000-00000F6C0000}"/>
    <cellStyle name="Normal 16 2 2 5 2" xfId="13621" xr:uid="{00000000-0005-0000-0000-0000106C0000}"/>
    <cellStyle name="Normal 16 2 2 5 2 2" xfId="27170" xr:uid="{00000000-0005-0000-0000-0000116C0000}"/>
    <cellStyle name="Normal 16 2 2 5 3" xfId="31498" xr:uid="{00000000-0005-0000-0000-0000126C0000}"/>
    <cellStyle name="Normal 16 2 2 6" xfId="7183" xr:uid="{00000000-0005-0000-0000-0000136C0000}"/>
    <cellStyle name="Normal 16 2 2 6 2" xfId="14202" xr:uid="{00000000-0005-0000-0000-0000146C0000}"/>
    <cellStyle name="Normal 16 2 2 6 2 2" xfId="27751" xr:uid="{00000000-0005-0000-0000-0000156C0000}"/>
    <cellStyle name="Normal 16 2 2 6 3" xfId="31499" xr:uid="{00000000-0005-0000-0000-0000166C0000}"/>
    <cellStyle name="Normal 16 2 2 7" xfId="7184" xr:uid="{00000000-0005-0000-0000-0000176C0000}"/>
    <cellStyle name="Normal 16 2 2 7 2" xfId="16088" xr:uid="{00000000-0005-0000-0000-0000186C0000}"/>
    <cellStyle name="Normal 16 2 2 7 2 2" xfId="29495" xr:uid="{00000000-0005-0000-0000-0000196C0000}"/>
    <cellStyle name="Normal 16 2 2 7 3" xfId="31500" xr:uid="{00000000-0005-0000-0000-00001A6C0000}"/>
    <cellStyle name="Normal 16 2 2 8" xfId="10162" xr:uid="{00000000-0005-0000-0000-00001B6C0000}"/>
    <cellStyle name="Normal 16 2 2 8 2" xfId="24386" xr:uid="{00000000-0005-0000-0000-00001C6C0000}"/>
    <cellStyle name="Normal 16 2 2 9" xfId="31487" xr:uid="{00000000-0005-0000-0000-00001D6C0000}"/>
    <cellStyle name="Normal 16 2 3" xfId="7185" xr:uid="{00000000-0005-0000-0000-00001E6C0000}"/>
    <cellStyle name="Normal 16 2 3 2" xfId="7186" xr:uid="{00000000-0005-0000-0000-00001F6C0000}"/>
    <cellStyle name="Normal 16 2 3 2 2" xfId="7187" xr:uid="{00000000-0005-0000-0000-0000206C0000}"/>
    <cellStyle name="Normal 16 2 3 2 2 2" xfId="16815" xr:uid="{00000000-0005-0000-0000-0000216C0000}"/>
    <cellStyle name="Normal 16 2 3 2 2 2 2" xfId="30222" xr:uid="{00000000-0005-0000-0000-0000226C0000}"/>
    <cellStyle name="Normal 16 2 3 2 2 3" xfId="31503" xr:uid="{00000000-0005-0000-0000-0000236C0000}"/>
    <cellStyle name="Normal 16 2 3 2 3" xfId="11539" xr:uid="{00000000-0005-0000-0000-0000246C0000}"/>
    <cellStyle name="Normal 16 2 3 2 3 2" xfId="25371" xr:uid="{00000000-0005-0000-0000-0000256C0000}"/>
    <cellStyle name="Normal 16 2 3 2 4" xfId="31502" xr:uid="{00000000-0005-0000-0000-0000266C0000}"/>
    <cellStyle name="Normal 16 2 3 3" xfId="7188" xr:uid="{00000000-0005-0000-0000-0000276C0000}"/>
    <cellStyle name="Normal 16 2 3 3 2" xfId="12203" xr:uid="{00000000-0005-0000-0000-0000286C0000}"/>
    <cellStyle name="Normal 16 2 3 3 2 2" xfId="25915" xr:uid="{00000000-0005-0000-0000-0000296C0000}"/>
    <cellStyle name="Normal 16 2 3 3 3" xfId="31504" xr:uid="{00000000-0005-0000-0000-00002A6C0000}"/>
    <cellStyle name="Normal 16 2 3 4" xfId="7189" xr:uid="{00000000-0005-0000-0000-00002B6C0000}"/>
    <cellStyle name="Normal 16 2 3 4 2" xfId="13767" xr:uid="{00000000-0005-0000-0000-00002C6C0000}"/>
    <cellStyle name="Normal 16 2 3 4 2 2" xfId="27316" xr:uid="{00000000-0005-0000-0000-00002D6C0000}"/>
    <cellStyle name="Normal 16 2 3 4 3" xfId="31505" xr:uid="{00000000-0005-0000-0000-00002E6C0000}"/>
    <cellStyle name="Normal 16 2 3 5" xfId="7190" xr:uid="{00000000-0005-0000-0000-00002F6C0000}"/>
    <cellStyle name="Normal 16 2 3 5 2" xfId="14348" xr:uid="{00000000-0005-0000-0000-0000306C0000}"/>
    <cellStyle name="Normal 16 2 3 5 2 2" xfId="27897" xr:uid="{00000000-0005-0000-0000-0000316C0000}"/>
    <cellStyle name="Normal 16 2 3 5 3" xfId="31506" xr:uid="{00000000-0005-0000-0000-0000326C0000}"/>
    <cellStyle name="Normal 16 2 3 6" xfId="7191" xr:uid="{00000000-0005-0000-0000-0000336C0000}"/>
    <cellStyle name="Normal 16 2 3 6 2" xfId="16234" xr:uid="{00000000-0005-0000-0000-0000346C0000}"/>
    <cellStyle name="Normal 16 2 3 6 2 2" xfId="29641" xr:uid="{00000000-0005-0000-0000-0000356C0000}"/>
    <cellStyle name="Normal 16 2 3 6 3" xfId="31507" xr:uid="{00000000-0005-0000-0000-0000366C0000}"/>
    <cellStyle name="Normal 16 2 3 7" xfId="10164" xr:uid="{00000000-0005-0000-0000-0000376C0000}"/>
    <cellStyle name="Normal 16 2 3 7 2" xfId="24388" xr:uid="{00000000-0005-0000-0000-0000386C0000}"/>
    <cellStyle name="Normal 16 2 3 8" xfId="31501" xr:uid="{00000000-0005-0000-0000-0000396C0000}"/>
    <cellStyle name="Normal 16 2 4" xfId="7192" xr:uid="{00000000-0005-0000-0000-00003A6C0000}"/>
    <cellStyle name="Normal 16 2 4 2" xfId="7193" xr:uid="{00000000-0005-0000-0000-00003B6C0000}"/>
    <cellStyle name="Normal 16 2 4 2 2" xfId="17162" xr:uid="{00000000-0005-0000-0000-00003C6C0000}"/>
    <cellStyle name="Normal 16 2 4 2 2 2" xfId="30521" xr:uid="{00000000-0005-0000-0000-00003D6C0000}"/>
    <cellStyle name="Normal 16 2 4 2 3" xfId="31509" xr:uid="{00000000-0005-0000-0000-00003E6C0000}"/>
    <cellStyle name="Normal 16 2 4 3" xfId="11536" xr:uid="{00000000-0005-0000-0000-00003F6C0000}"/>
    <cellStyle name="Normal 16 2 4 3 2" xfId="25368" xr:uid="{00000000-0005-0000-0000-0000406C0000}"/>
    <cellStyle name="Normal 16 2 4 4" xfId="31508" xr:uid="{00000000-0005-0000-0000-0000416C0000}"/>
    <cellStyle name="Normal 16 2 5" xfId="7194" xr:uid="{00000000-0005-0000-0000-0000426C0000}"/>
    <cellStyle name="Normal 16 2 5 2" xfId="7195" xr:uid="{00000000-0005-0000-0000-0000436C0000}"/>
    <cellStyle name="Normal 16 2 5 2 2" xfId="17251" xr:uid="{00000000-0005-0000-0000-0000446C0000}"/>
    <cellStyle name="Normal 16 2 5 2 2 2" xfId="30610" xr:uid="{00000000-0005-0000-0000-0000456C0000}"/>
    <cellStyle name="Normal 16 2 5 2 3" xfId="31511" xr:uid="{00000000-0005-0000-0000-0000466C0000}"/>
    <cellStyle name="Normal 16 2 5 3" xfId="11901" xr:uid="{00000000-0005-0000-0000-0000476C0000}"/>
    <cellStyle name="Normal 16 2 5 3 2" xfId="25616" xr:uid="{00000000-0005-0000-0000-0000486C0000}"/>
    <cellStyle name="Normal 16 2 5 4" xfId="31510" xr:uid="{00000000-0005-0000-0000-0000496C0000}"/>
    <cellStyle name="Normal 16 2 6" xfId="7196" xr:uid="{00000000-0005-0000-0000-00004A6C0000}"/>
    <cellStyle name="Normal 16 2 6 2" xfId="7197" xr:uid="{00000000-0005-0000-0000-00004B6C0000}"/>
    <cellStyle name="Normal 16 2 6 2 2" xfId="16526" xr:uid="{00000000-0005-0000-0000-00004C6C0000}"/>
    <cellStyle name="Normal 16 2 6 2 2 2" xfId="29933" xr:uid="{00000000-0005-0000-0000-00004D6C0000}"/>
    <cellStyle name="Normal 16 2 6 2 3" xfId="31513" xr:uid="{00000000-0005-0000-0000-00004E6C0000}"/>
    <cellStyle name="Normal 16 2 6 3" xfId="13478" xr:uid="{00000000-0005-0000-0000-00004F6C0000}"/>
    <cellStyle name="Normal 16 2 6 3 2" xfId="27027" xr:uid="{00000000-0005-0000-0000-0000506C0000}"/>
    <cellStyle name="Normal 16 2 6 4" xfId="31512" xr:uid="{00000000-0005-0000-0000-0000516C0000}"/>
    <cellStyle name="Normal 16 2 7" xfId="7198" xr:uid="{00000000-0005-0000-0000-0000526C0000}"/>
    <cellStyle name="Normal 16 2 7 2" xfId="14059" xr:uid="{00000000-0005-0000-0000-0000536C0000}"/>
    <cellStyle name="Normal 16 2 7 2 2" xfId="27608" xr:uid="{00000000-0005-0000-0000-0000546C0000}"/>
    <cellStyle name="Normal 16 2 7 3" xfId="31514" xr:uid="{00000000-0005-0000-0000-0000556C0000}"/>
    <cellStyle name="Normal 16 2 8" xfId="7199" xr:uid="{00000000-0005-0000-0000-0000566C0000}"/>
    <cellStyle name="Normal 16 2 8 2" xfId="15945" xr:uid="{00000000-0005-0000-0000-0000576C0000}"/>
    <cellStyle name="Normal 16 2 8 2 2" xfId="29352" xr:uid="{00000000-0005-0000-0000-0000586C0000}"/>
    <cellStyle name="Normal 16 2 8 3" xfId="31515" xr:uid="{00000000-0005-0000-0000-0000596C0000}"/>
    <cellStyle name="Normal 16 2 9" xfId="10161" xr:uid="{00000000-0005-0000-0000-00005A6C0000}"/>
    <cellStyle name="Normal 16 2 9 2" xfId="24385" xr:uid="{00000000-0005-0000-0000-00005B6C0000}"/>
    <cellStyle name="Normal 16 3" xfId="7200" xr:uid="{00000000-0005-0000-0000-00005C6C0000}"/>
    <cellStyle name="Normal 16 3 2" xfId="7201" xr:uid="{00000000-0005-0000-0000-00005D6C0000}"/>
    <cellStyle name="Normal 16 3 2 2" xfId="7202" xr:uid="{00000000-0005-0000-0000-00005E6C0000}"/>
    <cellStyle name="Normal 16 3 2 2 2" xfId="7203" xr:uid="{00000000-0005-0000-0000-00005F6C0000}"/>
    <cellStyle name="Normal 16 3 2 2 2 2" xfId="16912" xr:uid="{00000000-0005-0000-0000-0000606C0000}"/>
    <cellStyle name="Normal 16 3 2 2 2 2 2" xfId="30319" xr:uid="{00000000-0005-0000-0000-0000616C0000}"/>
    <cellStyle name="Normal 16 3 2 2 2 3" xfId="31519" xr:uid="{00000000-0005-0000-0000-0000626C0000}"/>
    <cellStyle name="Normal 16 3 2 2 3" xfId="11541" xr:uid="{00000000-0005-0000-0000-0000636C0000}"/>
    <cellStyle name="Normal 16 3 2 2 3 2" xfId="25373" xr:uid="{00000000-0005-0000-0000-0000646C0000}"/>
    <cellStyle name="Normal 16 3 2 2 4" xfId="31518" xr:uid="{00000000-0005-0000-0000-0000656C0000}"/>
    <cellStyle name="Normal 16 3 2 3" xfId="7204" xr:uid="{00000000-0005-0000-0000-0000666C0000}"/>
    <cellStyle name="Normal 16 3 2 3 2" xfId="12300" xr:uid="{00000000-0005-0000-0000-0000676C0000}"/>
    <cellStyle name="Normal 16 3 2 3 2 2" xfId="26012" xr:uid="{00000000-0005-0000-0000-0000686C0000}"/>
    <cellStyle name="Normal 16 3 2 3 3" xfId="31520" xr:uid="{00000000-0005-0000-0000-0000696C0000}"/>
    <cellStyle name="Normal 16 3 2 4" xfId="7205" xr:uid="{00000000-0005-0000-0000-00006A6C0000}"/>
    <cellStyle name="Normal 16 3 2 4 2" xfId="13864" xr:uid="{00000000-0005-0000-0000-00006B6C0000}"/>
    <cellStyle name="Normal 16 3 2 4 2 2" xfId="27413" xr:uid="{00000000-0005-0000-0000-00006C6C0000}"/>
    <cellStyle name="Normal 16 3 2 4 3" xfId="31521" xr:uid="{00000000-0005-0000-0000-00006D6C0000}"/>
    <cellStyle name="Normal 16 3 2 5" xfId="7206" xr:uid="{00000000-0005-0000-0000-00006E6C0000}"/>
    <cellStyle name="Normal 16 3 2 5 2" xfId="14445" xr:uid="{00000000-0005-0000-0000-00006F6C0000}"/>
    <cellStyle name="Normal 16 3 2 5 2 2" xfId="27994" xr:uid="{00000000-0005-0000-0000-0000706C0000}"/>
    <cellStyle name="Normal 16 3 2 5 3" xfId="31522" xr:uid="{00000000-0005-0000-0000-0000716C0000}"/>
    <cellStyle name="Normal 16 3 2 6" xfId="7207" xr:uid="{00000000-0005-0000-0000-0000726C0000}"/>
    <cellStyle name="Normal 16 3 2 6 2" xfId="16331" xr:uid="{00000000-0005-0000-0000-0000736C0000}"/>
    <cellStyle name="Normal 16 3 2 6 2 2" xfId="29738" xr:uid="{00000000-0005-0000-0000-0000746C0000}"/>
    <cellStyle name="Normal 16 3 2 6 3" xfId="31523" xr:uid="{00000000-0005-0000-0000-0000756C0000}"/>
    <cellStyle name="Normal 16 3 2 7" xfId="10166" xr:uid="{00000000-0005-0000-0000-0000766C0000}"/>
    <cellStyle name="Normal 16 3 2 7 2" xfId="24390" xr:uid="{00000000-0005-0000-0000-0000776C0000}"/>
    <cellStyle name="Normal 16 3 2 8" xfId="31517" xr:uid="{00000000-0005-0000-0000-0000786C0000}"/>
    <cellStyle name="Normal 16 3 3" xfId="7208" xr:uid="{00000000-0005-0000-0000-0000796C0000}"/>
    <cellStyle name="Normal 16 3 3 2" xfId="7209" xr:uid="{00000000-0005-0000-0000-00007A6C0000}"/>
    <cellStyle name="Normal 16 3 3 2 2" xfId="16623" xr:uid="{00000000-0005-0000-0000-00007B6C0000}"/>
    <cellStyle name="Normal 16 3 3 2 2 2" xfId="30030" xr:uid="{00000000-0005-0000-0000-00007C6C0000}"/>
    <cellStyle name="Normal 16 3 3 2 3" xfId="31525" xr:uid="{00000000-0005-0000-0000-00007D6C0000}"/>
    <cellStyle name="Normal 16 3 3 3" xfId="11540" xr:uid="{00000000-0005-0000-0000-00007E6C0000}"/>
    <cellStyle name="Normal 16 3 3 3 2" xfId="25372" xr:uid="{00000000-0005-0000-0000-00007F6C0000}"/>
    <cellStyle name="Normal 16 3 3 4" xfId="31524" xr:uid="{00000000-0005-0000-0000-0000806C0000}"/>
    <cellStyle name="Normal 16 3 4" xfId="7210" xr:uid="{00000000-0005-0000-0000-0000816C0000}"/>
    <cellStyle name="Normal 16 3 4 2" xfId="12000" xr:uid="{00000000-0005-0000-0000-0000826C0000}"/>
    <cellStyle name="Normal 16 3 4 2 2" xfId="25715" xr:uid="{00000000-0005-0000-0000-0000836C0000}"/>
    <cellStyle name="Normal 16 3 4 3" xfId="31526" xr:uid="{00000000-0005-0000-0000-0000846C0000}"/>
    <cellStyle name="Normal 16 3 5" xfId="7211" xr:uid="{00000000-0005-0000-0000-0000856C0000}"/>
    <cellStyle name="Normal 16 3 5 2" xfId="13575" xr:uid="{00000000-0005-0000-0000-0000866C0000}"/>
    <cellStyle name="Normal 16 3 5 2 2" xfId="27124" xr:uid="{00000000-0005-0000-0000-0000876C0000}"/>
    <cellStyle name="Normal 16 3 5 3" xfId="31527" xr:uid="{00000000-0005-0000-0000-0000886C0000}"/>
    <cellStyle name="Normal 16 3 6" xfId="7212" xr:uid="{00000000-0005-0000-0000-0000896C0000}"/>
    <cellStyle name="Normal 16 3 6 2" xfId="14156" xr:uid="{00000000-0005-0000-0000-00008A6C0000}"/>
    <cellStyle name="Normal 16 3 6 2 2" xfId="27705" xr:uid="{00000000-0005-0000-0000-00008B6C0000}"/>
    <cellStyle name="Normal 16 3 6 3" xfId="31528" xr:uid="{00000000-0005-0000-0000-00008C6C0000}"/>
    <cellStyle name="Normal 16 3 7" xfId="7213" xr:uid="{00000000-0005-0000-0000-00008D6C0000}"/>
    <cellStyle name="Normal 16 3 7 2" xfId="16042" xr:uid="{00000000-0005-0000-0000-00008E6C0000}"/>
    <cellStyle name="Normal 16 3 7 2 2" xfId="29449" xr:uid="{00000000-0005-0000-0000-00008F6C0000}"/>
    <cellStyle name="Normal 16 3 7 3" xfId="31529" xr:uid="{00000000-0005-0000-0000-0000906C0000}"/>
    <cellStyle name="Normal 16 3 8" xfId="10165" xr:uid="{00000000-0005-0000-0000-0000916C0000}"/>
    <cellStyle name="Normal 16 3 8 2" xfId="24389" xr:uid="{00000000-0005-0000-0000-0000926C0000}"/>
    <cellStyle name="Normal 16 3 9" xfId="31516" xr:uid="{00000000-0005-0000-0000-0000936C0000}"/>
    <cellStyle name="Normal 16 4" xfId="7214" xr:uid="{00000000-0005-0000-0000-0000946C0000}"/>
    <cellStyle name="Normal 16 4 2" xfId="7215" xr:uid="{00000000-0005-0000-0000-0000956C0000}"/>
    <cellStyle name="Normal 16 4 2 2" xfId="7216" xr:uid="{00000000-0005-0000-0000-0000966C0000}"/>
    <cellStyle name="Normal 16 4 2 2 2" xfId="16769" xr:uid="{00000000-0005-0000-0000-0000976C0000}"/>
    <cellStyle name="Normal 16 4 2 2 2 2" xfId="30176" xr:uid="{00000000-0005-0000-0000-0000986C0000}"/>
    <cellStyle name="Normal 16 4 2 2 3" xfId="31532" xr:uid="{00000000-0005-0000-0000-0000996C0000}"/>
    <cellStyle name="Normal 16 4 2 3" xfId="11542" xr:uid="{00000000-0005-0000-0000-00009A6C0000}"/>
    <cellStyle name="Normal 16 4 2 3 2" xfId="25374" xr:uid="{00000000-0005-0000-0000-00009B6C0000}"/>
    <cellStyle name="Normal 16 4 2 4" xfId="31531" xr:uid="{00000000-0005-0000-0000-00009C6C0000}"/>
    <cellStyle name="Normal 16 4 3" xfId="7217" xr:uid="{00000000-0005-0000-0000-00009D6C0000}"/>
    <cellStyle name="Normal 16 4 3 2" xfId="12157" xr:uid="{00000000-0005-0000-0000-00009E6C0000}"/>
    <cellStyle name="Normal 16 4 3 2 2" xfId="25869" xr:uid="{00000000-0005-0000-0000-00009F6C0000}"/>
    <cellStyle name="Normal 16 4 3 3" xfId="31533" xr:uid="{00000000-0005-0000-0000-0000A06C0000}"/>
    <cellStyle name="Normal 16 4 4" xfId="7218" xr:uid="{00000000-0005-0000-0000-0000A16C0000}"/>
    <cellStyle name="Normal 16 4 4 2" xfId="13721" xr:uid="{00000000-0005-0000-0000-0000A26C0000}"/>
    <cellStyle name="Normal 16 4 4 2 2" xfId="27270" xr:uid="{00000000-0005-0000-0000-0000A36C0000}"/>
    <cellStyle name="Normal 16 4 4 3" xfId="31534" xr:uid="{00000000-0005-0000-0000-0000A46C0000}"/>
    <cellStyle name="Normal 16 4 5" xfId="7219" xr:uid="{00000000-0005-0000-0000-0000A56C0000}"/>
    <cellStyle name="Normal 16 4 5 2" xfId="14302" xr:uid="{00000000-0005-0000-0000-0000A66C0000}"/>
    <cellStyle name="Normal 16 4 5 2 2" xfId="27851" xr:uid="{00000000-0005-0000-0000-0000A76C0000}"/>
    <cellStyle name="Normal 16 4 5 3" xfId="31535" xr:uid="{00000000-0005-0000-0000-0000A86C0000}"/>
    <cellStyle name="Normal 16 4 6" xfId="7220" xr:uid="{00000000-0005-0000-0000-0000A96C0000}"/>
    <cellStyle name="Normal 16 4 6 2" xfId="16188" xr:uid="{00000000-0005-0000-0000-0000AA6C0000}"/>
    <cellStyle name="Normal 16 4 6 2 2" xfId="29595" xr:uid="{00000000-0005-0000-0000-0000AB6C0000}"/>
    <cellStyle name="Normal 16 4 6 3" xfId="31536" xr:uid="{00000000-0005-0000-0000-0000AC6C0000}"/>
    <cellStyle name="Normal 16 4 7" xfId="10167" xr:uid="{00000000-0005-0000-0000-0000AD6C0000}"/>
    <cellStyle name="Normal 16 4 7 2" xfId="24391" xr:uid="{00000000-0005-0000-0000-0000AE6C0000}"/>
    <cellStyle name="Normal 16 4 8" xfId="31530" xr:uid="{00000000-0005-0000-0000-0000AF6C0000}"/>
    <cellStyle name="Normal 16 5" xfId="7221" xr:uid="{00000000-0005-0000-0000-0000B06C0000}"/>
    <cellStyle name="Normal 16 5 2" xfId="7222" xr:uid="{00000000-0005-0000-0000-0000B16C0000}"/>
    <cellStyle name="Normal 16 5 2 2" xfId="17116" xr:uid="{00000000-0005-0000-0000-0000B26C0000}"/>
    <cellStyle name="Normal 16 5 2 2 2" xfId="30475" xr:uid="{00000000-0005-0000-0000-0000B36C0000}"/>
    <cellStyle name="Normal 16 5 2 3" xfId="31538" xr:uid="{00000000-0005-0000-0000-0000B46C0000}"/>
    <cellStyle name="Normal 16 5 3" xfId="11535" xr:uid="{00000000-0005-0000-0000-0000B56C0000}"/>
    <cellStyle name="Normal 16 5 3 2" xfId="25367" xr:uid="{00000000-0005-0000-0000-0000B66C0000}"/>
    <cellStyle name="Normal 16 5 4" xfId="31537" xr:uid="{00000000-0005-0000-0000-0000B76C0000}"/>
    <cellStyle name="Normal 16 6" xfId="7223" xr:uid="{00000000-0005-0000-0000-0000B86C0000}"/>
    <cellStyle name="Normal 16 6 2" xfId="7224" xr:uid="{00000000-0005-0000-0000-0000B96C0000}"/>
    <cellStyle name="Normal 16 6 2 2" xfId="17205" xr:uid="{00000000-0005-0000-0000-0000BA6C0000}"/>
    <cellStyle name="Normal 16 6 2 2 2" xfId="30564" xr:uid="{00000000-0005-0000-0000-0000BB6C0000}"/>
    <cellStyle name="Normal 16 6 2 3" xfId="31540" xr:uid="{00000000-0005-0000-0000-0000BC6C0000}"/>
    <cellStyle name="Normal 16 6 3" xfId="11831" xr:uid="{00000000-0005-0000-0000-0000BD6C0000}"/>
    <cellStyle name="Normal 16 6 3 2" xfId="25546" xr:uid="{00000000-0005-0000-0000-0000BE6C0000}"/>
    <cellStyle name="Normal 16 6 4" xfId="31539" xr:uid="{00000000-0005-0000-0000-0000BF6C0000}"/>
    <cellStyle name="Normal 16 7" xfId="7225" xr:uid="{00000000-0005-0000-0000-0000C06C0000}"/>
    <cellStyle name="Normal 16 7 2" xfId="7226" xr:uid="{00000000-0005-0000-0000-0000C16C0000}"/>
    <cellStyle name="Normal 16 7 2 2" xfId="16480" xr:uid="{00000000-0005-0000-0000-0000C26C0000}"/>
    <cellStyle name="Normal 16 7 2 2 2" xfId="29887" xr:uid="{00000000-0005-0000-0000-0000C36C0000}"/>
    <cellStyle name="Normal 16 7 2 3" xfId="31542" xr:uid="{00000000-0005-0000-0000-0000C46C0000}"/>
    <cellStyle name="Normal 16 7 3" xfId="13432" xr:uid="{00000000-0005-0000-0000-0000C56C0000}"/>
    <cellStyle name="Normal 16 7 3 2" xfId="26981" xr:uid="{00000000-0005-0000-0000-0000C66C0000}"/>
    <cellStyle name="Normal 16 7 4" xfId="31541" xr:uid="{00000000-0005-0000-0000-0000C76C0000}"/>
    <cellStyle name="Normal 16 8" xfId="7227" xr:uid="{00000000-0005-0000-0000-0000C86C0000}"/>
    <cellStyle name="Normal 16 8 2" xfId="14013" xr:uid="{00000000-0005-0000-0000-0000C96C0000}"/>
    <cellStyle name="Normal 16 8 2 2" xfId="27562" xr:uid="{00000000-0005-0000-0000-0000CA6C0000}"/>
    <cellStyle name="Normal 16 8 3" xfId="31543" xr:uid="{00000000-0005-0000-0000-0000CB6C0000}"/>
    <cellStyle name="Normal 16 9" xfId="7228" xr:uid="{00000000-0005-0000-0000-0000CC6C0000}"/>
    <cellStyle name="Normal 16 9 2" xfId="15899" xr:uid="{00000000-0005-0000-0000-0000CD6C0000}"/>
    <cellStyle name="Normal 16 9 2 2" xfId="29306" xr:uid="{00000000-0005-0000-0000-0000CE6C0000}"/>
    <cellStyle name="Normal 16 9 3" xfId="31544" xr:uid="{00000000-0005-0000-0000-0000CF6C0000}"/>
    <cellStyle name="Normal 17" xfId="7229" xr:uid="{00000000-0005-0000-0000-0000D06C0000}"/>
    <cellStyle name="Normal 17 2" xfId="7230" xr:uid="{00000000-0005-0000-0000-0000D16C0000}"/>
    <cellStyle name="Normal 17 2 2" xfId="10169" xr:uid="{00000000-0005-0000-0000-0000D26C0000}"/>
    <cellStyle name="Normal 17 3" xfId="10168" xr:uid="{00000000-0005-0000-0000-0000D36C0000}"/>
    <cellStyle name="Normal 17 4" xfId="33102" xr:uid="{00000000-0005-0000-0000-0000D46C0000}"/>
    <cellStyle name="Normal 18" xfId="7231" xr:uid="{00000000-0005-0000-0000-0000D56C0000}"/>
    <cellStyle name="Normal 18 2" xfId="7232" xr:uid="{00000000-0005-0000-0000-0000D66C0000}"/>
    <cellStyle name="Normal 18 2 2" xfId="10171" xr:uid="{00000000-0005-0000-0000-0000D76C0000}"/>
    <cellStyle name="Normal 18 3" xfId="10170" xr:uid="{00000000-0005-0000-0000-0000D86C0000}"/>
    <cellStyle name="Normal 19" xfId="7233" xr:uid="{00000000-0005-0000-0000-0000D96C0000}"/>
    <cellStyle name="Normal 19 10" xfId="31545" xr:uid="{00000000-0005-0000-0000-0000DA6C0000}"/>
    <cellStyle name="Normal 19 2" xfId="7234" xr:uid="{00000000-0005-0000-0000-0000DB6C0000}"/>
    <cellStyle name="Normal 19 2 2" xfId="7235" xr:uid="{00000000-0005-0000-0000-0000DC6C0000}"/>
    <cellStyle name="Normal 19 2 2 2" xfId="7236" xr:uid="{00000000-0005-0000-0000-0000DD6C0000}"/>
    <cellStyle name="Normal 19 2 2 2 2" xfId="7237" xr:uid="{00000000-0005-0000-0000-0000DE6C0000}"/>
    <cellStyle name="Normal 19 2 2 2 2 2" xfId="16935" xr:uid="{00000000-0005-0000-0000-0000DF6C0000}"/>
    <cellStyle name="Normal 19 2 2 2 2 2 2" xfId="30342" xr:uid="{00000000-0005-0000-0000-0000E06C0000}"/>
    <cellStyle name="Normal 19 2 2 2 2 3" xfId="31549" xr:uid="{00000000-0005-0000-0000-0000E16C0000}"/>
    <cellStyle name="Normal 19 2 2 2 3" xfId="11545" xr:uid="{00000000-0005-0000-0000-0000E26C0000}"/>
    <cellStyle name="Normal 19 2 2 2 3 2" xfId="25377" xr:uid="{00000000-0005-0000-0000-0000E36C0000}"/>
    <cellStyle name="Normal 19 2 2 2 4" xfId="31548" xr:uid="{00000000-0005-0000-0000-0000E46C0000}"/>
    <cellStyle name="Normal 19 2 2 3" xfId="7238" xr:uid="{00000000-0005-0000-0000-0000E56C0000}"/>
    <cellStyle name="Normal 19 2 2 3 2" xfId="12323" xr:uid="{00000000-0005-0000-0000-0000E66C0000}"/>
    <cellStyle name="Normal 19 2 2 3 2 2" xfId="26035" xr:uid="{00000000-0005-0000-0000-0000E76C0000}"/>
    <cellStyle name="Normal 19 2 2 3 3" xfId="31550" xr:uid="{00000000-0005-0000-0000-0000E86C0000}"/>
    <cellStyle name="Normal 19 2 2 4" xfId="7239" xr:uid="{00000000-0005-0000-0000-0000E96C0000}"/>
    <cellStyle name="Normal 19 2 2 4 2" xfId="13887" xr:uid="{00000000-0005-0000-0000-0000EA6C0000}"/>
    <cellStyle name="Normal 19 2 2 4 2 2" xfId="27436" xr:uid="{00000000-0005-0000-0000-0000EB6C0000}"/>
    <cellStyle name="Normal 19 2 2 4 3" xfId="31551" xr:uid="{00000000-0005-0000-0000-0000EC6C0000}"/>
    <cellStyle name="Normal 19 2 2 5" xfId="7240" xr:uid="{00000000-0005-0000-0000-0000ED6C0000}"/>
    <cellStyle name="Normal 19 2 2 5 2" xfId="14468" xr:uid="{00000000-0005-0000-0000-0000EE6C0000}"/>
    <cellStyle name="Normal 19 2 2 5 2 2" xfId="28017" xr:uid="{00000000-0005-0000-0000-0000EF6C0000}"/>
    <cellStyle name="Normal 19 2 2 5 3" xfId="31552" xr:uid="{00000000-0005-0000-0000-0000F06C0000}"/>
    <cellStyle name="Normal 19 2 2 6" xfId="7241" xr:uid="{00000000-0005-0000-0000-0000F16C0000}"/>
    <cellStyle name="Normal 19 2 2 6 2" xfId="16354" xr:uid="{00000000-0005-0000-0000-0000F26C0000}"/>
    <cellStyle name="Normal 19 2 2 6 2 2" xfId="29761" xr:uid="{00000000-0005-0000-0000-0000F36C0000}"/>
    <cellStyle name="Normal 19 2 2 6 3" xfId="31553" xr:uid="{00000000-0005-0000-0000-0000F46C0000}"/>
    <cellStyle name="Normal 19 2 2 7" xfId="10174" xr:uid="{00000000-0005-0000-0000-0000F56C0000}"/>
    <cellStyle name="Normal 19 2 2 7 2" xfId="24394" xr:uid="{00000000-0005-0000-0000-0000F66C0000}"/>
    <cellStyle name="Normal 19 2 2 8" xfId="31547" xr:uid="{00000000-0005-0000-0000-0000F76C0000}"/>
    <cellStyle name="Normal 19 2 3" xfId="7242" xr:uid="{00000000-0005-0000-0000-0000F86C0000}"/>
    <cellStyle name="Normal 19 2 3 2" xfId="7243" xr:uid="{00000000-0005-0000-0000-0000F96C0000}"/>
    <cellStyle name="Normal 19 2 3 2 2" xfId="16646" xr:uid="{00000000-0005-0000-0000-0000FA6C0000}"/>
    <cellStyle name="Normal 19 2 3 2 2 2" xfId="30053" xr:uid="{00000000-0005-0000-0000-0000FB6C0000}"/>
    <cellStyle name="Normal 19 2 3 2 3" xfId="31555" xr:uid="{00000000-0005-0000-0000-0000FC6C0000}"/>
    <cellStyle name="Normal 19 2 3 3" xfId="11544" xr:uid="{00000000-0005-0000-0000-0000FD6C0000}"/>
    <cellStyle name="Normal 19 2 3 3 2" xfId="25376" xr:uid="{00000000-0005-0000-0000-0000FE6C0000}"/>
    <cellStyle name="Normal 19 2 3 4" xfId="31554" xr:uid="{00000000-0005-0000-0000-0000FF6C0000}"/>
    <cellStyle name="Normal 19 2 4" xfId="7244" xr:uid="{00000000-0005-0000-0000-0000006D0000}"/>
    <cellStyle name="Normal 19 2 4 2" xfId="12023" xr:uid="{00000000-0005-0000-0000-0000016D0000}"/>
    <cellStyle name="Normal 19 2 4 2 2" xfId="25738" xr:uid="{00000000-0005-0000-0000-0000026D0000}"/>
    <cellStyle name="Normal 19 2 4 3" xfId="31556" xr:uid="{00000000-0005-0000-0000-0000036D0000}"/>
    <cellStyle name="Normal 19 2 5" xfId="7245" xr:uid="{00000000-0005-0000-0000-0000046D0000}"/>
    <cellStyle name="Normal 19 2 5 2" xfId="13598" xr:uid="{00000000-0005-0000-0000-0000056D0000}"/>
    <cellStyle name="Normal 19 2 5 2 2" xfId="27147" xr:uid="{00000000-0005-0000-0000-0000066D0000}"/>
    <cellStyle name="Normal 19 2 5 3" xfId="31557" xr:uid="{00000000-0005-0000-0000-0000076D0000}"/>
    <cellStyle name="Normal 19 2 6" xfId="7246" xr:uid="{00000000-0005-0000-0000-0000086D0000}"/>
    <cellStyle name="Normal 19 2 6 2" xfId="14179" xr:uid="{00000000-0005-0000-0000-0000096D0000}"/>
    <cellStyle name="Normal 19 2 6 2 2" xfId="27728" xr:uid="{00000000-0005-0000-0000-00000A6D0000}"/>
    <cellStyle name="Normal 19 2 6 3" xfId="31558" xr:uid="{00000000-0005-0000-0000-00000B6D0000}"/>
    <cellStyle name="Normal 19 2 7" xfId="7247" xr:uid="{00000000-0005-0000-0000-00000C6D0000}"/>
    <cellStyle name="Normal 19 2 7 2" xfId="16065" xr:uid="{00000000-0005-0000-0000-00000D6D0000}"/>
    <cellStyle name="Normal 19 2 7 2 2" xfId="29472" xr:uid="{00000000-0005-0000-0000-00000E6D0000}"/>
    <cellStyle name="Normal 19 2 7 3" xfId="31559" xr:uid="{00000000-0005-0000-0000-00000F6D0000}"/>
    <cellStyle name="Normal 19 2 8" xfId="10173" xr:uid="{00000000-0005-0000-0000-0000106D0000}"/>
    <cellStyle name="Normal 19 2 8 2" xfId="24393" xr:uid="{00000000-0005-0000-0000-0000116D0000}"/>
    <cellStyle name="Normal 19 2 9" xfId="31546" xr:uid="{00000000-0005-0000-0000-0000126D0000}"/>
    <cellStyle name="Normal 19 3" xfId="7248" xr:uid="{00000000-0005-0000-0000-0000136D0000}"/>
    <cellStyle name="Normal 19 3 2" xfId="7249" xr:uid="{00000000-0005-0000-0000-0000146D0000}"/>
    <cellStyle name="Normal 19 3 2 2" xfId="7250" xr:uid="{00000000-0005-0000-0000-0000156D0000}"/>
    <cellStyle name="Normal 19 3 2 2 2" xfId="16792" xr:uid="{00000000-0005-0000-0000-0000166D0000}"/>
    <cellStyle name="Normal 19 3 2 2 2 2" xfId="30199" xr:uid="{00000000-0005-0000-0000-0000176D0000}"/>
    <cellStyle name="Normal 19 3 2 2 3" xfId="31562" xr:uid="{00000000-0005-0000-0000-0000186D0000}"/>
    <cellStyle name="Normal 19 3 2 3" xfId="11546" xr:uid="{00000000-0005-0000-0000-0000196D0000}"/>
    <cellStyle name="Normal 19 3 2 3 2" xfId="25378" xr:uid="{00000000-0005-0000-0000-00001A6D0000}"/>
    <cellStyle name="Normal 19 3 2 4" xfId="31561" xr:uid="{00000000-0005-0000-0000-00001B6D0000}"/>
    <cellStyle name="Normal 19 3 3" xfId="7251" xr:uid="{00000000-0005-0000-0000-00001C6D0000}"/>
    <cellStyle name="Normal 19 3 3 2" xfId="12180" xr:uid="{00000000-0005-0000-0000-00001D6D0000}"/>
    <cellStyle name="Normal 19 3 3 2 2" xfId="25892" xr:uid="{00000000-0005-0000-0000-00001E6D0000}"/>
    <cellStyle name="Normal 19 3 3 3" xfId="31563" xr:uid="{00000000-0005-0000-0000-00001F6D0000}"/>
    <cellStyle name="Normal 19 3 4" xfId="7252" xr:uid="{00000000-0005-0000-0000-0000206D0000}"/>
    <cellStyle name="Normal 19 3 4 2" xfId="13744" xr:uid="{00000000-0005-0000-0000-0000216D0000}"/>
    <cellStyle name="Normal 19 3 4 2 2" xfId="27293" xr:uid="{00000000-0005-0000-0000-0000226D0000}"/>
    <cellStyle name="Normal 19 3 4 3" xfId="31564" xr:uid="{00000000-0005-0000-0000-0000236D0000}"/>
    <cellStyle name="Normal 19 3 5" xfId="7253" xr:uid="{00000000-0005-0000-0000-0000246D0000}"/>
    <cellStyle name="Normal 19 3 5 2" xfId="14325" xr:uid="{00000000-0005-0000-0000-0000256D0000}"/>
    <cellStyle name="Normal 19 3 5 2 2" xfId="27874" xr:uid="{00000000-0005-0000-0000-0000266D0000}"/>
    <cellStyle name="Normal 19 3 5 3" xfId="31565" xr:uid="{00000000-0005-0000-0000-0000276D0000}"/>
    <cellStyle name="Normal 19 3 6" xfId="7254" xr:uid="{00000000-0005-0000-0000-0000286D0000}"/>
    <cellStyle name="Normal 19 3 6 2" xfId="16211" xr:uid="{00000000-0005-0000-0000-0000296D0000}"/>
    <cellStyle name="Normal 19 3 6 2 2" xfId="29618" xr:uid="{00000000-0005-0000-0000-00002A6D0000}"/>
    <cellStyle name="Normal 19 3 6 3" xfId="31566" xr:uid="{00000000-0005-0000-0000-00002B6D0000}"/>
    <cellStyle name="Normal 19 3 7" xfId="10175" xr:uid="{00000000-0005-0000-0000-00002C6D0000}"/>
    <cellStyle name="Normal 19 3 7 2" xfId="24395" xr:uid="{00000000-0005-0000-0000-00002D6D0000}"/>
    <cellStyle name="Normal 19 3 8" xfId="31560" xr:uid="{00000000-0005-0000-0000-00002E6D0000}"/>
    <cellStyle name="Normal 19 4" xfId="7255" xr:uid="{00000000-0005-0000-0000-00002F6D0000}"/>
    <cellStyle name="Normal 19 4 2" xfId="7256" xr:uid="{00000000-0005-0000-0000-0000306D0000}"/>
    <cellStyle name="Normal 19 4 2 2" xfId="17139" xr:uid="{00000000-0005-0000-0000-0000316D0000}"/>
    <cellStyle name="Normal 19 4 2 2 2" xfId="30498" xr:uid="{00000000-0005-0000-0000-0000326D0000}"/>
    <cellStyle name="Normal 19 4 2 3" xfId="31568" xr:uid="{00000000-0005-0000-0000-0000336D0000}"/>
    <cellStyle name="Normal 19 4 3" xfId="11543" xr:uid="{00000000-0005-0000-0000-0000346D0000}"/>
    <cellStyle name="Normal 19 4 3 2" xfId="25375" xr:uid="{00000000-0005-0000-0000-0000356D0000}"/>
    <cellStyle name="Normal 19 4 4" xfId="31567" xr:uid="{00000000-0005-0000-0000-0000366D0000}"/>
    <cellStyle name="Normal 19 5" xfId="7257" xr:uid="{00000000-0005-0000-0000-0000376D0000}"/>
    <cellStyle name="Normal 19 5 2" xfId="7258" xr:uid="{00000000-0005-0000-0000-0000386D0000}"/>
    <cellStyle name="Normal 19 5 2 2" xfId="17228" xr:uid="{00000000-0005-0000-0000-0000396D0000}"/>
    <cellStyle name="Normal 19 5 2 2 2" xfId="30587" xr:uid="{00000000-0005-0000-0000-00003A6D0000}"/>
    <cellStyle name="Normal 19 5 2 3" xfId="31570" xr:uid="{00000000-0005-0000-0000-00003B6D0000}"/>
    <cellStyle name="Normal 19 5 3" xfId="11875" xr:uid="{00000000-0005-0000-0000-00003C6D0000}"/>
    <cellStyle name="Normal 19 5 3 2" xfId="25590" xr:uid="{00000000-0005-0000-0000-00003D6D0000}"/>
    <cellStyle name="Normal 19 5 4" xfId="31569" xr:uid="{00000000-0005-0000-0000-00003E6D0000}"/>
    <cellStyle name="Normal 19 6" xfId="7259" xr:uid="{00000000-0005-0000-0000-00003F6D0000}"/>
    <cellStyle name="Normal 19 6 2" xfId="7260" xr:uid="{00000000-0005-0000-0000-0000406D0000}"/>
    <cellStyle name="Normal 19 6 2 2" xfId="16503" xr:uid="{00000000-0005-0000-0000-0000416D0000}"/>
    <cellStyle name="Normal 19 6 2 2 2" xfId="29910" xr:uid="{00000000-0005-0000-0000-0000426D0000}"/>
    <cellStyle name="Normal 19 6 2 3" xfId="31572" xr:uid="{00000000-0005-0000-0000-0000436D0000}"/>
    <cellStyle name="Normal 19 6 3" xfId="13455" xr:uid="{00000000-0005-0000-0000-0000446D0000}"/>
    <cellStyle name="Normal 19 6 3 2" xfId="27004" xr:uid="{00000000-0005-0000-0000-0000456D0000}"/>
    <cellStyle name="Normal 19 6 4" xfId="31571" xr:uid="{00000000-0005-0000-0000-0000466D0000}"/>
    <cellStyle name="Normal 19 7" xfId="7261" xr:uid="{00000000-0005-0000-0000-0000476D0000}"/>
    <cellStyle name="Normal 19 7 2" xfId="14036" xr:uid="{00000000-0005-0000-0000-0000486D0000}"/>
    <cellStyle name="Normal 19 7 2 2" xfId="27585" xr:uid="{00000000-0005-0000-0000-0000496D0000}"/>
    <cellStyle name="Normal 19 7 3" xfId="31573" xr:uid="{00000000-0005-0000-0000-00004A6D0000}"/>
    <cellStyle name="Normal 19 8" xfId="7262" xr:uid="{00000000-0005-0000-0000-00004B6D0000}"/>
    <cellStyle name="Normal 19 8 2" xfId="15922" xr:uid="{00000000-0005-0000-0000-00004C6D0000}"/>
    <cellStyle name="Normal 19 8 2 2" xfId="29329" xr:uid="{00000000-0005-0000-0000-00004D6D0000}"/>
    <cellStyle name="Normal 19 8 3" xfId="31574" xr:uid="{00000000-0005-0000-0000-00004E6D0000}"/>
    <cellStyle name="Normal 19 9" xfId="10172" xr:uid="{00000000-0005-0000-0000-00004F6D0000}"/>
    <cellStyle name="Normal 19 9 2" xfId="24392" xr:uid="{00000000-0005-0000-0000-0000506D0000}"/>
    <cellStyle name="Normal 2" xfId="8" xr:uid="{00000000-0005-0000-0000-0000516D0000}"/>
    <cellStyle name="Normal 2 2" xfId="7263" xr:uid="{00000000-0005-0000-0000-0000526D0000}"/>
    <cellStyle name="Normal 2 2 2" xfId="7264" xr:uid="{00000000-0005-0000-0000-0000536D0000}"/>
    <cellStyle name="Normal 2 2 2 10" xfId="32939" xr:uid="{00000000-0005-0000-0000-0000546D0000}"/>
    <cellStyle name="Normal 2 2 2 11" xfId="32998" xr:uid="{00000000-0005-0000-0000-0000556D0000}"/>
    <cellStyle name="Normal 2 2 2 2" xfId="7265" xr:uid="{00000000-0005-0000-0000-0000566D0000}"/>
    <cellStyle name="Normal 2 2 2 2 2" xfId="11548" xr:uid="{00000000-0005-0000-0000-0000576D0000}"/>
    <cellStyle name="Normal 2 2 2 2 2 2" xfId="25379" xr:uid="{00000000-0005-0000-0000-0000586D0000}"/>
    <cellStyle name="Normal 2 2 2 2 3" xfId="31577" xr:uid="{00000000-0005-0000-0000-0000596D0000}"/>
    <cellStyle name="Normal 2 2 2 2 4" xfId="32947" xr:uid="{00000000-0005-0000-0000-00005A6D0000}"/>
    <cellStyle name="Normal 2 2 2 2 5" xfId="33005" xr:uid="{00000000-0005-0000-0000-00005B6D0000}"/>
    <cellStyle name="Normal 2 2 2 3" xfId="7266" xr:uid="{00000000-0005-0000-0000-00005C6D0000}"/>
    <cellStyle name="Normal 2 2 2 3 2" xfId="13246" xr:uid="{00000000-0005-0000-0000-00005D6D0000}"/>
    <cellStyle name="Normal 2 2 2 3 2 2" xfId="26889" xr:uid="{00000000-0005-0000-0000-00005E6D0000}"/>
    <cellStyle name="Normal 2 2 2 3 3" xfId="31578" xr:uid="{00000000-0005-0000-0000-00005F6D0000}"/>
    <cellStyle name="Normal 2 2 2 4" xfId="7267" xr:uid="{00000000-0005-0000-0000-0000606D0000}"/>
    <cellStyle name="Normal 2 2 2 4 2" xfId="15695" xr:uid="{00000000-0005-0000-0000-0000616D0000}"/>
    <cellStyle name="Normal 2 2 2 4 2 2" xfId="29181" xr:uid="{00000000-0005-0000-0000-0000626D0000}"/>
    <cellStyle name="Normal 2 2 2 4 3" xfId="31579" xr:uid="{00000000-0005-0000-0000-0000636D0000}"/>
    <cellStyle name="Normal 2 2 2 5" xfId="7268" xr:uid="{00000000-0005-0000-0000-0000646D0000}"/>
    <cellStyle name="Normal 2 2 2 5 2" xfId="15804" xr:uid="{00000000-0005-0000-0000-0000656D0000}"/>
    <cellStyle name="Normal 2 2 2 5 2 2" xfId="29211" xr:uid="{00000000-0005-0000-0000-0000666D0000}"/>
    <cellStyle name="Normal 2 2 2 5 3" xfId="31580" xr:uid="{00000000-0005-0000-0000-0000676D0000}"/>
    <cellStyle name="Normal 2 2 2 6" xfId="7269" xr:uid="{00000000-0005-0000-0000-0000686D0000}"/>
    <cellStyle name="Normal 2 2 2 6 2" xfId="17040" xr:uid="{00000000-0005-0000-0000-0000696D0000}"/>
    <cellStyle name="Normal 2 2 2 6 3" xfId="31581" xr:uid="{00000000-0005-0000-0000-00006A6D0000}"/>
    <cellStyle name="Normal 2 2 2 7" xfId="8713" xr:uid="{00000000-0005-0000-0000-00006B6D0000}"/>
    <cellStyle name="Normal 2 2 2 7 2" xfId="17325" xr:uid="{00000000-0005-0000-0000-00006C6D0000}"/>
    <cellStyle name="Normal 2 2 2 7 2 2" xfId="30678" xr:uid="{00000000-0005-0000-0000-00006D6D0000}"/>
    <cellStyle name="Normal 2 2 2 7 3" xfId="23232" xr:uid="{00000000-0005-0000-0000-00006E6D0000}"/>
    <cellStyle name="Normal 2 2 2 8" xfId="8809" xr:uid="{00000000-0005-0000-0000-00006F6D0000}"/>
    <cellStyle name="Normal 2 2 2 8 2" xfId="23287" xr:uid="{00000000-0005-0000-0000-0000706D0000}"/>
    <cellStyle name="Normal 2 2 2 9" xfId="31576" xr:uid="{00000000-0005-0000-0000-0000716D0000}"/>
    <cellStyle name="Normal 2 2 3" xfId="7270" xr:uid="{00000000-0005-0000-0000-0000726D0000}"/>
    <cellStyle name="Normal 2 2 3 2" xfId="7271" xr:uid="{00000000-0005-0000-0000-0000736D0000}"/>
    <cellStyle name="Normal 2 2 3 2 2" xfId="11692" xr:uid="{00000000-0005-0000-0000-0000746D0000}"/>
    <cellStyle name="Normal 2 2 3 2 3" xfId="31583" xr:uid="{00000000-0005-0000-0000-0000756D0000}"/>
    <cellStyle name="Normal 2 2 3 3" xfId="10177" xr:uid="{00000000-0005-0000-0000-0000766D0000}"/>
    <cellStyle name="Normal 2 2 3 4" xfId="31582" xr:uid="{00000000-0005-0000-0000-0000776D0000}"/>
    <cellStyle name="Normal 2 2 4" xfId="7272" xr:uid="{00000000-0005-0000-0000-0000786D0000}"/>
    <cellStyle name="Normal 2 2 4 2" xfId="11547" xr:uid="{00000000-0005-0000-0000-0000796D0000}"/>
    <cellStyle name="Normal 2 2 4 3" xfId="31584" xr:uid="{00000000-0005-0000-0000-00007A6D0000}"/>
    <cellStyle name="Normal 2 2 5" xfId="8702" xr:uid="{00000000-0005-0000-0000-00007B6D0000}"/>
    <cellStyle name="Normal 2 2 6" xfId="31575" xr:uid="{00000000-0005-0000-0000-00007C6D0000}"/>
    <cellStyle name="Normal 2 3" xfId="7273" xr:uid="{00000000-0005-0000-0000-00007D6D0000}"/>
    <cellStyle name="Normal 2 3 2" xfId="7274" xr:uid="{00000000-0005-0000-0000-00007E6D0000}"/>
    <cellStyle name="Normal 2 3 2 2" xfId="10178" xr:uid="{00000000-0005-0000-0000-00007F6D0000}"/>
    <cellStyle name="Normal 2 3 3" xfId="7275" xr:uid="{00000000-0005-0000-0000-0000806D0000}"/>
    <cellStyle name="Normal 2 3 3 2" xfId="7276" xr:uid="{00000000-0005-0000-0000-0000816D0000}"/>
    <cellStyle name="Normal 2 3 3 2 2" xfId="10180" xr:uid="{00000000-0005-0000-0000-0000826D0000}"/>
    <cellStyle name="Normal 2 3 3 3" xfId="7277" xr:uid="{00000000-0005-0000-0000-0000836D0000}"/>
    <cellStyle name="Normal 2 3 3 3 2" xfId="13247" xr:uid="{00000000-0005-0000-0000-0000846D0000}"/>
    <cellStyle name="Normal 2 3 3 4" xfId="10179" xr:uid="{00000000-0005-0000-0000-0000856D0000}"/>
    <cellStyle name="Normal 2 3 4" xfId="7278" xr:uid="{00000000-0005-0000-0000-0000866D0000}"/>
    <cellStyle name="Normal 2 3 4 2" xfId="7279" xr:uid="{00000000-0005-0000-0000-0000876D0000}"/>
    <cellStyle name="Normal 2 3 4 2 2" xfId="13248" xr:uid="{00000000-0005-0000-0000-0000886D0000}"/>
    <cellStyle name="Normal 2 3 4 3" xfId="10520" xr:uid="{00000000-0005-0000-0000-0000896D0000}"/>
    <cellStyle name="Normal 2 3 5" xfId="8710" xr:uid="{00000000-0005-0000-0000-00008A6D0000}"/>
    <cellStyle name="Normal 2 3 6" xfId="33044" xr:uid="{00000000-0005-0000-0000-00008B6D0000}"/>
    <cellStyle name="Normal 2 4" xfId="7280" xr:uid="{00000000-0005-0000-0000-00008C6D0000}"/>
    <cellStyle name="Normal 2 4 2" xfId="7281" xr:uid="{00000000-0005-0000-0000-00008D6D0000}"/>
    <cellStyle name="Normal 2 4 2 2" xfId="10181" xr:uid="{00000000-0005-0000-0000-00008E6D0000}"/>
    <cellStyle name="Normal 2 4 2 3" xfId="31585" xr:uid="{00000000-0005-0000-0000-00008F6D0000}"/>
    <cellStyle name="Normal 2 4 3" xfId="8676" xr:uid="{00000000-0005-0000-0000-0000906D0000}"/>
    <cellStyle name="Normal 2 4 4" xfId="33093" xr:uid="{00000000-0005-0000-0000-0000916D0000}"/>
    <cellStyle name="Normal 2 5" xfId="7282" xr:uid="{00000000-0005-0000-0000-0000926D0000}"/>
    <cellStyle name="Normal 2 5 2" xfId="7283" xr:uid="{00000000-0005-0000-0000-0000936D0000}"/>
    <cellStyle name="Normal 2 5 2 2" xfId="10183" xr:uid="{00000000-0005-0000-0000-0000946D0000}"/>
    <cellStyle name="Normal 2 5 3" xfId="7284" xr:uid="{00000000-0005-0000-0000-0000956D0000}"/>
    <cellStyle name="Normal 2 5 3 2" xfId="13249" xr:uid="{00000000-0005-0000-0000-0000966D0000}"/>
    <cellStyle name="Normal 2 5 4" xfId="7285" xr:uid="{00000000-0005-0000-0000-0000976D0000}"/>
    <cellStyle name="Normal 2 5 4 2" xfId="17344" xr:uid="{00000000-0005-0000-0000-0000986D0000}"/>
    <cellStyle name="Normal 2 5 5" xfId="8737" xr:uid="{00000000-0005-0000-0000-0000996D0000}"/>
    <cellStyle name="Normal 2 5 6" xfId="10182" xr:uid="{00000000-0005-0000-0000-00009A6D0000}"/>
    <cellStyle name="Normal 2 6" xfId="7286" xr:uid="{00000000-0005-0000-0000-00009B6D0000}"/>
    <cellStyle name="Normal 2 6 2" xfId="7287" xr:uid="{00000000-0005-0000-0000-00009C6D0000}"/>
    <cellStyle name="Normal 2 6 2 2" xfId="17345" xr:uid="{00000000-0005-0000-0000-00009D6D0000}"/>
    <cellStyle name="Normal 2 6 2 3" xfId="31587" xr:uid="{00000000-0005-0000-0000-00009E6D0000}"/>
    <cellStyle name="Normal 2 6 3" xfId="8722" xr:uid="{00000000-0005-0000-0000-00009F6D0000}"/>
    <cellStyle name="Normal 2 6 4" xfId="10184" xr:uid="{00000000-0005-0000-0000-0000A06D0000}"/>
    <cellStyle name="Normal 2 6 5" xfId="31586" xr:uid="{00000000-0005-0000-0000-0000A16D0000}"/>
    <cellStyle name="Normal 2 7" xfId="7288" xr:uid="{00000000-0005-0000-0000-0000A26D0000}"/>
    <cellStyle name="Normal 2 7 2" xfId="7289" xr:uid="{00000000-0005-0000-0000-0000A36D0000}"/>
    <cellStyle name="Normal 2 7 2 2" xfId="13250" xr:uid="{00000000-0005-0000-0000-0000A46D0000}"/>
    <cellStyle name="Normal 2 7 3" xfId="10519" xr:uid="{00000000-0005-0000-0000-0000A56D0000}"/>
    <cellStyle name="Normal 2 8" xfId="8652" xr:uid="{00000000-0005-0000-0000-0000A66D0000}"/>
    <cellStyle name="Normal 2 8 2" xfId="10176" xr:uid="{00000000-0005-0000-0000-0000A76D0000}"/>
    <cellStyle name="Normal 2 9" xfId="17300" xr:uid="{00000000-0005-0000-0000-0000A86D0000}"/>
    <cellStyle name="Normal 20" xfId="7290" xr:uid="{00000000-0005-0000-0000-0000A96D0000}"/>
    <cellStyle name="Normal 20 2" xfId="10185" xr:uid="{00000000-0005-0000-0000-0000AA6D0000}"/>
    <cellStyle name="Normal 21" xfId="7291" xr:uid="{00000000-0005-0000-0000-0000AB6D0000}"/>
    <cellStyle name="Normal 21 2" xfId="7292" xr:uid="{00000000-0005-0000-0000-0000AC6D0000}"/>
    <cellStyle name="Normal 21 2 2" xfId="13251" xr:uid="{00000000-0005-0000-0000-0000AD6D0000}"/>
    <cellStyle name="Normal 21 2 3" xfId="31589" xr:uid="{00000000-0005-0000-0000-0000AE6D0000}"/>
    <cellStyle name="Normal 21 3" xfId="10186" xr:uid="{00000000-0005-0000-0000-0000AF6D0000}"/>
    <cellStyle name="Normal 21 4" xfId="31588" xr:uid="{00000000-0005-0000-0000-0000B06D0000}"/>
    <cellStyle name="Normal 22" xfId="7293" xr:uid="{00000000-0005-0000-0000-0000B16D0000}"/>
    <cellStyle name="Normal 22 2" xfId="7294" xr:uid="{00000000-0005-0000-0000-0000B26D0000}"/>
    <cellStyle name="Normal 22 2 2" xfId="10188" xr:uid="{00000000-0005-0000-0000-0000B36D0000}"/>
    <cellStyle name="Normal 22 2 3" xfId="31591" xr:uid="{00000000-0005-0000-0000-0000B46D0000}"/>
    <cellStyle name="Normal 22 3" xfId="7295" xr:uid="{00000000-0005-0000-0000-0000B56D0000}"/>
    <cellStyle name="Normal 22 3 2" xfId="13253" xr:uid="{00000000-0005-0000-0000-0000B66D0000}"/>
    <cellStyle name="Normal 22 3 3" xfId="31592" xr:uid="{00000000-0005-0000-0000-0000B76D0000}"/>
    <cellStyle name="Normal 22 4" xfId="7296" xr:uid="{00000000-0005-0000-0000-0000B86D0000}"/>
    <cellStyle name="Normal 22 4 2" xfId="13252" xr:uid="{00000000-0005-0000-0000-0000B96D0000}"/>
    <cellStyle name="Normal 22 4 3" xfId="31593" xr:uid="{00000000-0005-0000-0000-0000BA6D0000}"/>
    <cellStyle name="Normal 22 5" xfId="10187" xr:uid="{00000000-0005-0000-0000-0000BB6D0000}"/>
    <cellStyle name="Normal 22 6" xfId="31590" xr:uid="{00000000-0005-0000-0000-0000BC6D0000}"/>
    <cellStyle name="Normal 23" xfId="7297" xr:uid="{00000000-0005-0000-0000-0000BD6D0000}"/>
    <cellStyle name="Normal 23 2" xfId="10189" xr:uid="{00000000-0005-0000-0000-0000BE6D0000}"/>
    <cellStyle name="Normal 23 3" xfId="31594" xr:uid="{00000000-0005-0000-0000-0000BF6D0000}"/>
    <cellStyle name="Normal 24" xfId="8651" xr:uid="{00000000-0005-0000-0000-0000C06D0000}"/>
    <cellStyle name="Normal 24 2" xfId="17330" xr:uid="{00000000-0005-0000-0000-0000C16D0000}"/>
    <cellStyle name="Normal 24 3" xfId="8819" xr:uid="{00000000-0005-0000-0000-0000C26D0000}"/>
    <cellStyle name="Normal 24 4" xfId="23201" xr:uid="{00000000-0005-0000-0000-0000C36D0000}"/>
    <cellStyle name="Normal 25" xfId="17299" xr:uid="{00000000-0005-0000-0000-0000C46D0000}"/>
    <cellStyle name="Normal 25 2" xfId="30655" xr:uid="{00000000-0005-0000-0000-0000C56D0000}"/>
    <cellStyle name="Normal 26" xfId="8788" xr:uid="{00000000-0005-0000-0000-0000C66D0000}"/>
    <cellStyle name="Normal 26 2" xfId="23266" xr:uid="{00000000-0005-0000-0000-0000C76D0000}"/>
    <cellStyle name="Normal 27" xfId="32910" xr:uid="{00000000-0005-0000-0000-0000C86D0000}"/>
    <cellStyle name="Normal 28" xfId="52" xr:uid="{00000000-0005-0000-0000-0000C96D0000}"/>
    <cellStyle name="Normal 29" xfId="33032" xr:uid="{00000000-0005-0000-0000-0000CA6D0000}"/>
    <cellStyle name="Normal 3" xfId="13" xr:uid="{00000000-0005-0000-0000-0000CB6D0000}"/>
    <cellStyle name="Normal 3 10" xfId="7299" xr:uid="{00000000-0005-0000-0000-0000CC6D0000}"/>
    <cellStyle name="Normal 3 10 2" xfId="7300" xr:uid="{00000000-0005-0000-0000-0000CD6D0000}"/>
    <cellStyle name="Normal 3 10 2 2" xfId="11728" xr:uid="{00000000-0005-0000-0000-0000CE6D0000}"/>
    <cellStyle name="Normal 3 10 2 2 2" xfId="25447" xr:uid="{00000000-0005-0000-0000-0000CF6D0000}"/>
    <cellStyle name="Normal 3 10 2 3" xfId="31596" xr:uid="{00000000-0005-0000-0000-0000D06D0000}"/>
    <cellStyle name="Normal 3 10 2 4" xfId="32949" xr:uid="{00000000-0005-0000-0000-0000D16D0000}"/>
    <cellStyle name="Normal 3 10 2 5" xfId="33007" xr:uid="{00000000-0005-0000-0000-0000D26D0000}"/>
    <cellStyle name="Normal 3 10 3" xfId="7301" xr:uid="{00000000-0005-0000-0000-0000D36D0000}"/>
    <cellStyle name="Normal 3 10 3 2" xfId="10190" xr:uid="{00000000-0005-0000-0000-0000D46D0000}"/>
    <cellStyle name="Normal 3 10 3 3" xfId="31597" xr:uid="{00000000-0005-0000-0000-0000D56D0000}"/>
    <cellStyle name="Normal 3 10 4" xfId="8680" xr:uid="{00000000-0005-0000-0000-0000D66D0000}"/>
    <cellStyle name="Normal 3 10 4 2" xfId="17305" xr:uid="{00000000-0005-0000-0000-0000D76D0000}"/>
    <cellStyle name="Normal 3 10 4 2 2" xfId="30658" xr:uid="{00000000-0005-0000-0000-0000D86D0000}"/>
    <cellStyle name="Normal 3 10 4 3" xfId="23210" xr:uid="{00000000-0005-0000-0000-0000D96D0000}"/>
    <cellStyle name="Normal 3 10 5" xfId="8789" xr:uid="{00000000-0005-0000-0000-0000DA6D0000}"/>
    <cellStyle name="Normal 3 10 5 2" xfId="23267" xr:uid="{00000000-0005-0000-0000-0000DB6D0000}"/>
    <cellStyle name="Normal 3 10 6" xfId="31595" xr:uid="{00000000-0005-0000-0000-0000DC6D0000}"/>
    <cellStyle name="Normal 3 10 7" xfId="32918" xr:uid="{00000000-0005-0000-0000-0000DD6D0000}"/>
    <cellStyle name="Normal 3 10 8" xfId="32978" xr:uid="{00000000-0005-0000-0000-0000DE6D0000}"/>
    <cellStyle name="Normal 3 11" xfId="7302" xr:uid="{00000000-0005-0000-0000-0000DF6D0000}"/>
    <cellStyle name="Normal 3 11 2" xfId="7303" xr:uid="{00000000-0005-0000-0000-0000E06D0000}"/>
    <cellStyle name="Normal 3 11 2 2" xfId="13254" xr:uid="{00000000-0005-0000-0000-0000E16D0000}"/>
    <cellStyle name="Normal 3 11 2 2 2" xfId="26890" xr:uid="{00000000-0005-0000-0000-0000E26D0000}"/>
    <cellStyle name="Normal 3 11 2 3" xfId="31599" xr:uid="{00000000-0005-0000-0000-0000E36D0000}"/>
    <cellStyle name="Normal 3 11 3" xfId="7304" xr:uid="{00000000-0005-0000-0000-0000E46D0000}"/>
    <cellStyle name="Normal 3 11 3 2" xfId="15696" xr:uid="{00000000-0005-0000-0000-0000E56D0000}"/>
    <cellStyle name="Normal 3 11 3 2 2" xfId="29182" xr:uid="{00000000-0005-0000-0000-0000E66D0000}"/>
    <cellStyle name="Normal 3 11 3 3" xfId="31600" xr:uid="{00000000-0005-0000-0000-0000E76D0000}"/>
    <cellStyle name="Normal 3 11 4" xfId="7305" xr:uid="{00000000-0005-0000-0000-0000E86D0000}"/>
    <cellStyle name="Normal 3 11 4 2" xfId="17370" xr:uid="{00000000-0005-0000-0000-0000E96D0000}"/>
    <cellStyle name="Normal 3 11 4 2 2" xfId="30687" xr:uid="{00000000-0005-0000-0000-0000EA6D0000}"/>
    <cellStyle name="Normal 3 11 4 3" xfId="31601" xr:uid="{00000000-0005-0000-0000-0000EB6D0000}"/>
    <cellStyle name="Normal 3 11 5" xfId="8724" xr:uid="{00000000-0005-0000-0000-0000EC6D0000}"/>
    <cellStyle name="Normal 3 11 6" xfId="11549" xr:uid="{00000000-0005-0000-0000-0000ED6D0000}"/>
    <cellStyle name="Normal 3 11 6 2" xfId="25380" xr:uid="{00000000-0005-0000-0000-0000EE6D0000}"/>
    <cellStyle name="Normal 3 11 7" xfId="31598" xr:uid="{00000000-0005-0000-0000-0000EF6D0000}"/>
    <cellStyle name="Normal 3 12" xfId="7306" xr:uid="{00000000-0005-0000-0000-0000F06D0000}"/>
    <cellStyle name="Normal 3 12 2" xfId="7307" xr:uid="{00000000-0005-0000-0000-0000F16D0000}"/>
    <cellStyle name="Normal 3 12 2 2" xfId="17372" xr:uid="{00000000-0005-0000-0000-0000F26D0000}"/>
    <cellStyle name="Normal 3 12 2 2 2" xfId="30688" xr:uid="{00000000-0005-0000-0000-0000F36D0000}"/>
    <cellStyle name="Normal 3 12 2 3" xfId="31603" xr:uid="{00000000-0005-0000-0000-0000F46D0000}"/>
    <cellStyle name="Normal 3 12 3" xfId="8723" xr:uid="{00000000-0005-0000-0000-0000F56D0000}"/>
    <cellStyle name="Normal 3 12 4" xfId="15805" xr:uid="{00000000-0005-0000-0000-0000F66D0000}"/>
    <cellStyle name="Normal 3 12 4 2" xfId="29212" xr:uid="{00000000-0005-0000-0000-0000F76D0000}"/>
    <cellStyle name="Normal 3 12 5" xfId="31602" xr:uid="{00000000-0005-0000-0000-0000F86D0000}"/>
    <cellStyle name="Normal 3 13" xfId="8655" xr:uid="{00000000-0005-0000-0000-0000F96D0000}"/>
    <cellStyle name="Normal 3 13 2" xfId="32948" xr:uid="{00000000-0005-0000-0000-0000FA6D0000}"/>
    <cellStyle name="Normal 3 13 3" xfId="33006" xr:uid="{00000000-0005-0000-0000-0000FB6D0000}"/>
    <cellStyle name="Normal 3 14" xfId="7298" xr:uid="{00000000-0005-0000-0000-0000FC6D0000}"/>
    <cellStyle name="Normal 3 2" xfId="7308" xr:uid="{00000000-0005-0000-0000-0000FD6D0000}"/>
    <cellStyle name="Normal 3 2 10" xfId="7309" xr:uid="{00000000-0005-0000-0000-0000FE6D0000}"/>
    <cellStyle name="Normal 3 2 10 2" xfId="13255" xr:uid="{00000000-0005-0000-0000-0000FF6D0000}"/>
    <cellStyle name="Normal 3 2 10 2 2" xfId="26891" xr:uid="{00000000-0005-0000-0000-0000006E0000}"/>
    <cellStyle name="Normal 3 2 10 3" xfId="31604" xr:uid="{00000000-0005-0000-0000-0000016E0000}"/>
    <cellStyle name="Normal 3 2 11" xfId="7310" xr:uid="{00000000-0005-0000-0000-0000026E0000}"/>
    <cellStyle name="Normal 3 2 11 2" xfId="15697" xr:uid="{00000000-0005-0000-0000-0000036E0000}"/>
    <cellStyle name="Normal 3 2 11 2 2" xfId="29183" xr:uid="{00000000-0005-0000-0000-0000046E0000}"/>
    <cellStyle name="Normal 3 2 11 3" xfId="31605" xr:uid="{00000000-0005-0000-0000-0000056E0000}"/>
    <cellStyle name="Normal 3 2 12" xfId="7311" xr:uid="{00000000-0005-0000-0000-0000066E0000}"/>
    <cellStyle name="Normal 3 2 12 2" xfId="15806" xr:uid="{00000000-0005-0000-0000-0000076E0000}"/>
    <cellStyle name="Normal 3 2 12 2 2" xfId="29213" xr:uid="{00000000-0005-0000-0000-0000086E0000}"/>
    <cellStyle name="Normal 3 2 12 3" xfId="31606" xr:uid="{00000000-0005-0000-0000-0000096E0000}"/>
    <cellStyle name="Normal 3 2 13" xfId="8683" xr:uid="{00000000-0005-0000-0000-00000A6E0000}"/>
    <cellStyle name="Normal 3 2 13 2" xfId="17308" xr:uid="{00000000-0005-0000-0000-00000B6E0000}"/>
    <cellStyle name="Normal 3 2 13 2 2" xfId="30661" xr:uid="{00000000-0005-0000-0000-00000C6E0000}"/>
    <cellStyle name="Normal 3 2 13 3" xfId="23213" xr:uid="{00000000-0005-0000-0000-00000D6E0000}"/>
    <cellStyle name="Normal 3 2 14" xfId="8792" xr:uid="{00000000-0005-0000-0000-00000E6E0000}"/>
    <cellStyle name="Normal 3 2 14 2" xfId="23270" xr:uid="{00000000-0005-0000-0000-00000F6E0000}"/>
    <cellStyle name="Normal 3 2 15" xfId="32921" xr:uid="{00000000-0005-0000-0000-0000106E0000}"/>
    <cellStyle name="Normal 3 2 16" xfId="32981" xr:uid="{00000000-0005-0000-0000-0000116E0000}"/>
    <cellStyle name="Normal 3 2 17" xfId="33039" xr:uid="{00000000-0005-0000-0000-0000126E0000}"/>
    <cellStyle name="Normal 3 2 2" xfId="7312" xr:uid="{00000000-0005-0000-0000-0000136E0000}"/>
    <cellStyle name="Normal 3 2 2 10" xfId="7313" xr:uid="{00000000-0005-0000-0000-0000146E0000}"/>
    <cellStyle name="Normal 3 2 2 10 2" xfId="16423" xr:uid="{00000000-0005-0000-0000-0000156E0000}"/>
    <cellStyle name="Normal 3 2 2 10 2 2" xfId="29830" xr:uid="{00000000-0005-0000-0000-0000166E0000}"/>
    <cellStyle name="Normal 3 2 2 10 3" xfId="31608" xr:uid="{00000000-0005-0000-0000-0000176E0000}"/>
    <cellStyle name="Normal 3 2 2 11" xfId="8687" xr:uid="{00000000-0005-0000-0000-0000186E0000}"/>
    <cellStyle name="Normal 3 2 2 11 2" xfId="17312" xr:uid="{00000000-0005-0000-0000-0000196E0000}"/>
    <cellStyle name="Normal 3 2 2 11 2 2" xfId="30665" xr:uid="{00000000-0005-0000-0000-00001A6E0000}"/>
    <cellStyle name="Normal 3 2 2 11 3" xfId="23217" xr:uid="{00000000-0005-0000-0000-00001B6E0000}"/>
    <cellStyle name="Normal 3 2 2 12" xfId="8796" xr:uid="{00000000-0005-0000-0000-00001C6E0000}"/>
    <cellStyle name="Normal 3 2 2 12 2" xfId="23274" xr:uid="{00000000-0005-0000-0000-00001D6E0000}"/>
    <cellStyle name="Normal 3 2 2 13" xfId="31607" xr:uid="{00000000-0005-0000-0000-00001E6E0000}"/>
    <cellStyle name="Normal 3 2 2 14" xfId="32925" xr:uid="{00000000-0005-0000-0000-00001F6E0000}"/>
    <cellStyle name="Normal 3 2 2 15" xfId="32985" xr:uid="{00000000-0005-0000-0000-0000206E0000}"/>
    <cellStyle name="Normal 3 2 2 2" xfId="7314" xr:uid="{00000000-0005-0000-0000-0000216E0000}"/>
    <cellStyle name="Normal 3 2 2 2 2" xfId="7315" xr:uid="{00000000-0005-0000-0000-0000226E0000}"/>
    <cellStyle name="Normal 3 2 2 2 2 2" xfId="11552" xr:uid="{00000000-0005-0000-0000-0000236E0000}"/>
    <cellStyle name="Normal 3 2 2 2 2 2 2" xfId="25383" xr:uid="{00000000-0005-0000-0000-0000246E0000}"/>
    <cellStyle name="Normal 3 2 2 2 2 3" xfId="31610" xr:uid="{00000000-0005-0000-0000-0000256E0000}"/>
    <cellStyle name="Normal 3 2 2 2 3" xfId="7316" xr:uid="{00000000-0005-0000-0000-0000266E0000}"/>
    <cellStyle name="Normal 3 2 2 2 3 2" xfId="13257" xr:uid="{00000000-0005-0000-0000-0000276E0000}"/>
    <cellStyle name="Normal 3 2 2 2 3 2 2" xfId="26893" xr:uid="{00000000-0005-0000-0000-0000286E0000}"/>
    <cellStyle name="Normal 3 2 2 2 3 3" xfId="31611" xr:uid="{00000000-0005-0000-0000-0000296E0000}"/>
    <cellStyle name="Normal 3 2 2 2 4" xfId="7317" xr:uid="{00000000-0005-0000-0000-00002A6E0000}"/>
    <cellStyle name="Normal 3 2 2 2 4 2" xfId="15699" xr:uid="{00000000-0005-0000-0000-00002B6E0000}"/>
    <cellStyle name="Normal 3 2 2 2 4 2 2" xfId="29185" xr:uid="{00000000-0005-0000-0000-00002C6E0000}"/>
    <cellStyle name="Normal 3 2 2 2 4 3" xfId="31612" xr:uid="{00000000-0005-0000-0000-00002D6E0000}"/>
    <cellStyle name="Normal 3 2 2 2 5" xfId="7318" xr:uid="{00000000-0005-0000-0000-00002E6E0000}"/>
    <cellStyle name="Normal 3 2 2 2 5 2" xfId="17041" xr:uid="{00000000-0005-0000-0000-00002F6E0000}"/>
    <cellStyle name="Normal 3 2 2 2 5 2 2" xfId="30442" xr:uid="{00000000-0005-0000-0000-0000306E0000}"/>
    <cellStyle name="Normal 3 2 2 2 5 3" xfId="31613" xr:uid="{00000000-0005-0000-0000-0000316E0000}"/>
    <cellStyle name="Normal 3 2 2 2 6" xfId="10191" xr:uid="{00000000-0005-0000-0000-0000326E0000}"/>
    <cellStyle name="Normal 3 2 2 2 6 2" xfId="24396" xr:uid="{00000000-0005-0000-0000-0000336E0000}"/>
    <cellStyle name="Normal 3 2 2 2 7" xfId="31609" xr:uid="{00000000-0005-0000-0000-0000346E0000}"/>
    <cellStyle name="Normal 3 2 2 2 8" xfId="32951" xr:uid="{00000000-0005-0000-0000-0000356E0000}"/>
    <cellStyle name="Normal 3 2 2 2 9" xfId="33009" xr:uid="{00000000-0005-0000-0000-0000366E0000}"/>
    <cellStyle name="Normal 3 2 2 3" xfId="7319" xr:uid="{00000000-0005-0000-0000-0000376E0000}"/>
    <cellStyle name="Normal 3 2 2 3 2" xfId="7320" xr:uid="{00000000-0005-0000-0000-0000386E0000}"/>
    <cellStyle name="Normal 3 2 2 3 2 2" xfId="17004" xr:uid="{00000000-0005-0000-0000-0000396E0000}"/>
    <cellStyle name="Normal 3 2 2 3 2 2 2" xfId="30411" xr:uid="{00000000-0005-0000-0000-00003A6E0000}"/>
    <cellStyle name="Normal 3 2 2 3 2 3" xfId="31615" xr:uid="{00000000-0005-0000-0000-00003B6E0000}"/>
    <cellStyle name="Normal 3 2 2 3 3" xfId="11551" xr:uid="{00000000-0005-0000-0000-00003C6E0000}"/>
    <cellStyle name="Normal 3 2 2 3 3 2" xfId="25382" xr:uid="{00000000-0005-0000-0000-00003D6E0000}"/>
    <cellStyle name="Normal 3 2 2 3 4" xfId="31614" xr:uid="{00000000-0005-0000-0000-00003E6E0000}"/>
    <cellStyle name="Normal 3 2 2 4" xfId="7321" xr:uid="{00000000-0005-0000-0000-00003F6E0000}"/>
    <cellStyle name="Normal 3 2 2 4 2" xfId="12393" xr:uid="{00000000-0005-0000-0000-0000406E0000}"/>
    <cellStyle name="Normal 3 2 2 4 2 2" xfId="26105" xr:uid="{00000000-0005-0000-0000-0000416E0000}"/>
    <cellStyle name="Normal 3 2 2 4 3" xfId="31616" xr:uid="{00000000-0005-0000-0000-0000426E0000}"/>
    <cellStyle name="Normal 3 2 2 5" xfId="7322" xr:uid="{00000000-0005-0000-0000-0000436E0000}"/>
    <cellStyle name="Normal 3 2 2 5 2" xfId="13256" xr:uid="{00000000-0005-0000-0000-0000446E0000}"/>
    <cellStyle name="Normal 3 2 2 5 2 2" xfId="26892" xr:uid="{00000000-0005-0000-0000-0000456E0000}"/>
    <cellStyle name="Normal 3 2 2 5 3" xfId="31617" xr:uid="{00000000-0005-0000-0000-0000466E0000}"/>
    <cellStyle name="Normal 3 2 2 6" xfId="7323" xr:uid="{00000000-0005-0000-0000-0000476E0000}"/>
    <cellStyle name="Normal 3 2 2 6 2" xfId="13956" xr:uid="{00000000-0005-0000-0000-0000486E0000}"/>
    <cellStyle name="Normal 3 2 2 6 2 2" xfId="27505" xr:uid="{00000000-0005-0000-0000-0000496E0000}"/>
    <cellStyle name="Normal 3 2 2 6 3" xfId="31618" xr:uid="{00000000-0005-0000-0000-00004A6E0000}"/>
    <cellStyle name="Normal 3 2 2 7" xfId="7324" xr:uid="{00000000-0005-0000-0000-00004B6E0000}"/>
    <cellStyle name="Normal 3 2 2 7 2" xfId="14537" xr:uid="{00000000-0005-0000-0000-00004C6E0000}"/>
    <cellStyle name="Normal 3 2 2 7 2 2" xfId="28086" xr:uid="{00000000-0005-0000-0000-00004D6E0000}"/>
    <cellStyle name="Normal 3 2 2 7 3" xfId="31619" xr:uid="{00000000-0005-0000-0000-00004E6E0000}"/>
    <cellStyle name="Normal 3 2 2 8" xfId="7325" xr:uid="{00000000-0005-0000-0000-00004F6E0000}"/>
    <cellStyle name="Normal 3 2 2 8 2" xfId="15698" xr:uid="{00000000-0005-0000-0000-0000506E0000}"/>
    <cellStyle name="Normal 3 2 2 8 2 2" xfId="29184" xr:uid="{00000000-0005-0000-0000-0000516E0000}"/>
    <cellStyle name="Normal 3 2 2 8 3" xfId="31620" xr:uid="{00000000-0005-0000-0000-0000526E0000}"/>
    <cellStyle name="Normal 3 2 2 9" xfId="7326" xr:uid="{00000000-0005-0000-0000-0000536E0000}"/>
    <cellStyle name="Normal 3 2 2 9 2" xfId="15807" xr:uid="{00000000-0005-0000-0000-0000546E0000}"/>
    <cellStyle name="Normal 3 2 2 9 2 2" xfId="29214" xr:uid="{00000000-0005-0000-0000-0000556E0000}"/>
    <cellStyle name="Normal 3 2 2 9 3" xfId="31621" xr:uid="{00000000-0005-0000-0000-0000566E0000}"/>
    <cellStyle name="Normal 3 2 3" xfId="7327" xr:uid="{00000000-0005-0000-0000-0000576E0000}"/>
    <cellStyle name="Normal 3 2 3 10" xfId="32989" xr:uid="{00000000-0005-0000-0000-0000586E0000}"/>
    <cellStyle name="Normal 3 2 3 2" xfId="7328" xr:uid="{00000000-0005-0000-0000-0000596E0000}"/>
    <cellStyle name="Normal 3 2 3 2 2" xfId="11553" xr:uid="{00000000-0005-0000-0000-00005A6E0000}"/>
    <cellStyle name="Normal 3 2 3 2 2 2" xfId="25384" xr:uid="{00000000-0005-0000-0000-00005B6E0000}"/>
    <cellStyle name="Normal 3 2 3 2 3" xfId="31623" xr:uid="{00000000-0005-0000-0000-00005C6E0000}"/>
    <cellStyle name="Normal 3 2 3 2 4" xfId="32952" xr:uid="{00000000-0005-0000-0000-00005D6E0000}"/>
    <cellStyle name="Normal 3 2 3 2 5" xfId="33010" xr:uid="{00000000-0005-0000-0000-00005E6E0000}"/>
    <cellStyle name="Normal 3 2 3 3" xfId="7329" xr:uid="{00000000-0005-0000-0000-00005F6E0000}"/>
    <cellStyle name="Normal 3 2 3 3 2" xfId="13258" xr:uid="{00000000-0005-0000-0000-0000606E0000}"/>
    <cellStyle name="Normal 3 2 3 3 2 2" xfId="26894" xr:uid="{00000000-0005-0000-0000-0000616E0000}"/>
    <cellStyle name="Normal 3 2 3 3 3" xfId="31624" xr:uid="{00000000-0005-0000-0000-0000626E0000}"/>
    <cellStyle name="Normal 3 2 3 4" xfId="7330" xr:uid="{00000000-0005-0000-0000-0000636E0000}"/>
    <cellStyle name="Normal 3 2 3 4 2" xfId="15700" xr:uid="{00000000-0005-0000-0000-0000646E0000}"/>
    <cellStyle name="Normal 3 2 3 4 2 2" xfId="29186" xr:uid="{00000000-0005-0000-0000-0000656E0000}"/>
    <cellStyle name="Normal 3 2 3 4 3" xfId="31625" xr:uid="{00000000-0005-0000-0000-0000666E0000}"/>
    <cellStyle name="Normal 3 2 3 5" xfId="7331" xr:uid="{00000000-0005-0000-0000-0000676E0000}"/>
    <cellStyle name="Normal 3 2 3 5 2" xfId="15808" xr:uid="{00000000-0005-0000-0000-0000686E0000}"/>
    <cellStyle name="Normal 3 2 3 5 2 2" xfId="29215" xr:uid="{00000000-0005-0000-0000-0000696E0000}"/>
    <cellStyle name="Normal 3 2 3 5 3" xfId="31626" xr:uid="{00000000-0005-0000-0000-00006A6E0000}"/>
    <cellStyle name="Normal 3 2 3 6" xfId="8691" xr:uid="{00000000-0005-0000-0000-00006B6E0000}"/>
    <cellStyle name="Normal 3 2 3 6 2" xfId="17316" xr:uid="{00000000-0005-0000-0000-00006C6E0000}"/>
    <cellStyle name="Normal 3 2 3 6 2 2" xfId="30669" xr:uid="{00000000-0005-0000-0000-00006D6E0000}"/>
    <cellStyle name="Normal 3 2 3 6 3" xfId="23221" xr:uid="{00000000-0005-0000-0000-00006E6E0000}"/>
    <cellStyle name="Normal 3 2 3 7" xfId="8800" xr:uid="{00000000-0005-0000-0000-00006F6E0000}"/>
    <cellStyle name="Normal 3 2 3 7 2" xfId="23278" xr:uid="{00000000-0005-0000-0000-0000706E0000}"/>
    <cellStyle name="Normal 3 2 3 8" xfId="31622" xr:uid="{00000000-0005-0000-0000-0000716E0000}"/>
    <cellStyle name="Normal 3 2 3 9" xfId="32929" xr:uid="{00000000-0005-0000-0000-0000726E0000}"/>
    <cellStyle name="Normal 3 2 4" xfId="7332" xr:uid="{00000000-0005-0000-0000-0000736E0000}"/>
    <cellStyle name="Normal 3 2 4 10" xfId="32997" xr:uid="{00000000-0005-0000-0000-0000746E0000}"/>
    <cellStyle name="Normal 3 2 4 2" xfId="7333" xr:uid="{00000000-0005-0000-0000-0000756E0000}"/>
    <cellStyle name="Normal 3 2 4 2 2" xfId="11554" xr:uid="{00000000-0005-0000-0000-0000766E0000}"/>
    <cellStyle name="Normal 3 2 4 2 2 2" xfId="25385" xr:uid="{00000000-0005-0000-0000-0000776E0000}"/>
    <cellStyle name="Normal 3 2 4 2 3" xfId="31628" xr:uid="{00000000-0005-0000-0000-0000786E0000}"/>
    <cellStyle name="Normal 3 2 4 2 4" xfId="32953" xr:uid="{00000000-0005-0000-0000-0000796E0000}"/>
    <cellStyle name="Normal 3 2 4 2 5" xfId="33011" xr:uid="{00000000-0005-0000-0000-00007A6E0000}"/>
    <cellStyle name="Normal 3 2 4 3" xfId="7334" xr:uid="{00000000-0005-0000-0000-00007B6E0000}"/>
    <cellStyle name="Normal 3 2 4 3 2" xfId="13259" xr:uid="{00000000-0005-0000-0000-00007C6E0000}"/>
    <cellStyle name="Normal 3 2 4 3 2 2" xfId="26895" xr:uid="{00000000-0005-0000-0000-00007D6E0000}"/>
    <cellStyle name="Normal 3 2 4 3 3" xfId="31629" xr:uid="{00000000-0005-0000-0000-00007E6E0000}"/>
    <cellStyle name="Normal 3 2 4 4" xfId="7335" xr:uid="{00000000-0005-0000-0000-00007F6E0000}"/>
    <cellStyle name="Normal 3 2 4 4 2" xfId="15701" xr:uid="{00000000-0005-0000-0000-0000806E0000}"/>
    <cellStyle name="Normal 3 2 4 4 2 2" xfId="29187" xr:uid="{00000000-0005-0000-0000-0000816E0000}"/>
    <cellStyle name="Normal 3 2 4 4 3" xfId="31630" xr:uid="{00000000-0005-0000-0000-0000826E0000}"/>
    <cellStyle name="Normal 3 2 4 5" xfId="7336" xr:uid="{00000000-0005-0000-0000-0000836E0000}"/>
    <cellStyle name="Normal 3 2 4 5 2" xfId="15809" xr:uid="{00000000-0005-0000-0000-0000846E0000}"/>
    <cellStyle name="Normal 3 2 4 5 2 2" xfId="29216" xr:uid="{00000000-0005-0000-0000-0000856E0000}"/>
    <cellStyle name="Normal 3 2 4 5 3" xfId="31631" xr:uid="{00000000-0005-0000-0000-0000866E0000}"/>
    <cellStyle name="Normal 3 2 4 6" xfId="8706" xr:uid="{00000000-0005-0000-0000-0000876E0000}"/>
    <cellStyle name="Normal 3 2 4 6 2" xfId="17324" xr:uid="{00000000-0005-0000-0000-0000886E0000}"/>
    <cellStyle name="Normal 3 2 4 6 2 2" xfId="30677" xr:uid="{00000000-0005-0000-0000-0000896E0000}"/>
    <cellStyle name="Normal 3 2 4 6 3" xfId="23229" xr:uid="{00000000-0005-0000-0000-00008A6E0000}"/>
    <cellStyle name="Normal 3 2 4 7" xfId="8808" xr:uid="{00000000-0005-0000-0000-00008B6E0000}"/>
    <cellStyle name="Normal 3 2 4 7 2" xfId="23286" xr:uid="{00000000-0005-0000-0000-00008C6E0000}"/>
    <cellStyle name="Normal 3 2 4 8" xfId="31627" xr:uid="{00000000-0005-0000-0000-00008D6E0000}"/>
    <cellStyle name="Normal 3 2 4 9" xfId="32937" xr:uid="{00000000-0005-0000-0000-00008E6E0000}"/>
    <cellStyle name="Normal 3 2 5" xfId="7337" xr:uid="{00000000-0005-0000-0000-00008F6E0000}"/>
    <cellStyle name="Normal 3 2 5 10" xfId="32992" xr:uid="{00000000-0005-0000-0000-0000906E0000}"/>
    <cellStyle name="Normal 3 2 5 2" xfId="7338" xr:uid="{00000000-0005-0000-0000-0000916E0000}"/>
    <cellStyle name="Normal 3 2 5 2 2" xfId="11555" xr:uid="{00000000-0005-0000-0000-0000926E0000}"/>
    <cellStyle name="Normal 3 2 5 2 2 2" xfId="25386" xr:uid="{00000000-0005-0000-0000-0000936E0000}"/>
    <cellStyle name="Normal 3 2 5 2 3" xfId="31633" xr:uid="{00000000-0005-0000-0000-0000946E0000}"/>
    <cellStyle name="Normal 3 2 5 2 4" xfId="32954" xr:uid="{00000000-0005-0000-0000-0000956E0000}"/>
    <cellStyle name="Normal 3 2 5 2 5" xfId="33012" xr:uid="{00000000-0005-0000-0000-0000966E0000}"/>
    <cellStyle name="Normal 3 2 5 3" xfId="7339" xr:uid="{00000000-0005-0000-0000-0000976E0000}"/>
    <cellStyle name="Normal 3 2 5 3 2" xfId="13260" xr:uid="{00000000-0005-0000-0000-0000986E0000}"/>
    <cellStyle name="Normal 3 2 5 3 2 2" xfId="26896" xr:uid="{00000000-0005-0000-0000-0000996E0000}"/>
    <cellStyle name="Normal 3 2 5 3 3" xfId="31634" xr:uid="{00000000-0005-0000-0000-00009A6E0000}"/>
    <cellStyle name="Normal 3 2 5 4" xfId="7340" xr:uid="{00000000-0005-0000-0000-00009B6E0000}"/>
    <cellStyle name="Normal 3 2 5 4 2" xfId="15702" xr:uid="{00000000-0005-0000-0000-00009C6E0000}"/>
    <cellStyle name="Normal 3 2 5 4 2 2" xfId="29188" xr:uid="{00000000-0005-0000-0000-00009D6E0000}"/>
    <cellStyle name="Normal 3 2 5 4 3" xfId="31635" xr:uid="{00000000-0005-0000-0000-00009E6E0000}"/>
    <cellStyle name="Normal 3 2 5 5" xfId="7341" xr:uid="{00000000-0005-0000-0000-00009F6E0000}"/>
    <cellStyle name="Normal 3 2 5 5 2" xfId="15810" xr:uid="{00000000-0005-0000-0000-0000A06E0000}"/>
    <cellStyle name="Normal 3 2 5 5 2 2" xfId="29217" xr:uid="{00000000-0005-0000-0000-0000A16E0000}"/>
    <cellStyle name="Normal 3 2 5 5 3" xfId="31636" xr:uid="{00000000-0005-0000-0000-0000A26E0000}"/>
    <cellStyle name="Normal 3 2 5 6" xfId="8696" xr:uid="{00000000-0005-0000-0000-0000A36E0000}"/>
    <cellStyle name="Normal 3 2 5 6 2" xfId="17319" xr:uid="{00000000-0005-0000-0000-0000A46E0000}"/>
    <cellStyle name="Normal 3 2 5 6 2 2" xfId="30672" xr:uid="{00000000-0005-0000-0000-0000A56E0000}"/>
    <cellStyle name="Normal 3 2 5 6 3" xfId="23224" xr:uid="{00000000-0005-0000-0000-0000A66E0000}"/>
    <cellStyle name="Normal 3 2 5 7" xfId="8803" xr:uid="{00000000-0005-0000-0000-0000A76E0000}"/>
    <cellStyle name="Normal 3 2 5 7 2" xfId="23281" xr:uid="{00000000-0005-0000-0000-0000A86E0000}"/>
    <cellStyle name="Normal 3 2 5 8" xfId="31632" xr:uid="{00000000-0005-0000-0000-0000A96E0000}"/>
    <cellStyle name="Normal 3 2 5 9" xfId="32932" xr:uid="{00000000-0005-0000-0000-0000AA6E0000}"/>
    <cellStyle name="Normal 3 2 6" xfId="7342" xr:uid="{00000000-0005-0000-0000-0000AB6E0000}"/>
    <cellStyle name="Normal 3 2 6 2" xfId="8718" xr:uid="{00000000-0005-0000-0000-0000AC6E0000}"/>
    <cellStyle name="Normal 3 2 7" xfId="7343" xr:uid="{00000000-0005-0000-0000-0000AD6E0000}"/>
    <cellStyle name="Normal 3 2 7 2" xfId="7344" xr:uid="{00000000-0005-0000-0000-0000AE6E0000}"/>
    <cellStyle name="Normal 3 2 7 2 2" xfId="10193" xr:uid="{00000000-0005-0000-0000-0000AF6E0000}"/>
    <cellStyle name="Normal 3 2 7 3" xfId="7345" xr:uid="{00000000-0005-0000-0000-0000B06E0000}"/>
    <cellStyle name="Normal 3 2 7 3 2" xfId="7346" xr:uid="{00000000-0005-0000-0000-0000B16E0000}"/>
    <cellStyle name="Normal 3 2 7 3 2 2" xfId="13261" xr:uid="{00000000-0005-0000-0000-0000B26E0000}"/>
    <cellStyle name="Normal 3 2 7 3 3" xfId="11736" xr:uid="{00000000-0005-0000-0000-0000B36E0000}"/>
    <cellStyle name="Normal 3 2 7 3 3 2" xfId="25452" xr:uid="{00000000-0005-0000-0000-0000B46E0000}"/>
    <cellStyle name="Normal 3 2 7 4" xfId="10192" xr:uid="{00000000-0005-0000-0000-0000B56E0000}"/>
    <cellStyle name="Normal 3 2 7 5" xfId="32950" xr:uid="{00000000-0005-0000-0000-0000B66E0000}"/>
    <cellStyle name="Normal 3 2 7 6" xfId="33008" xr:uid="{00000000-0005-0000-0000-0000B76E0000}"/>
    <cellStyle name="Normal 3 2 8" xfId="7347" xr:uid="{00000000-0005-0000-0000-0000B86E0000}"/>
    <cellStyle name="Normal 3 2 8 2" xfId="7348" xr:uid="{00000000-0005-0000-0000-0000B96E0000}"/>
    <cellStyle name="Normal 3 2 8 2 2" xfId="13262" xr:uid="{00000000-0005-0000-0000-0000BA6E0000}"/>
    <cellStyle name="Normal 3 2 8 3" xfId="10522" xr:uid="{00000000-0005-0000-0000-0000BB6E0000}"/>
    <cellStyle name="Normal 3 2 9" xfId="7349" xr:uid="{00000000-0005-0000-0000-0000BC6E0000}"/>
    <cellStyle name="Normal 3 2 9 2" xfId="7350" xr:uid="{00000000-0005-0000-0000-0000BD6E0000}"/>
    <cellStyle name="Normal 3 2 9 2 2" xfId="13263" xr:uid="{00000000-0005-0000-0000-0000BE6E0000}"/>
    <cellStyle name="Normal 3 2 9 2 2 2" xfId="26897" xr:uid="{00000000-0005-0000-0000-0000BF6E0000}"/>
    <cellStyle name="Normal 3 2 9 2 3" xfId="31638" xr:uid="{00000000-0005-0000-0000-0000C06E0000}"/>
    <cellStyle name="Normal 3 2 9 3" xfId="7351" xr:uid="{00000000-0005-0000-0000-0000C16E0000}"/>
    <cellStyle name="Normal 3 2 9 3 2" xfId="15703" xr:uid="{00000000-0005-0000-0000-0000C26E0000}"/>
    <cellStyle name="Normal 3 2 9 3 2 2" xfId="29189" xr:uid="{00000000-0005-0000-0000-0000C36E0000}"/>
    <cellStyle name="Normal 3 2 9 3 3" xfId="31639" xr:uid="{00000000-0005-0000-0000-0000C46E0000}"/>
    <cellStyle name="Normal 3 2 9 4" xfId="11550" xr:uid="{00000000-0005-0000-0000-0000C56E0000}"/>
    <cellStyle name="Normal 3 2 9 4 2" xfId="25381" xr:uid="{00000000-0005-0000-0000-0000C66E0000}"/>
    <cellStyle name="Normal 3 2 9 5" xfId="31637" xr:uid="{00000000-0005-0000-0000-0000C76E0000}"/>
    <cellStyle name="Normal 3 3" xfId="7352" xr:uid="{00000000-0005-0000-0000-0000C86E0000}"/>
    <cellStyle name="Normal 3 3 10" xfId="7353" xr:uid="{00000000-0005-0000-0000-0000C96E0000}"/>
    <cellStyle name="Normal 3 3 10 2" xfId="7354" xr:uid="{00000000-0005-0000-0000-0000CA6E0000}"/>
    <cellStyle name="Normal 3 3 10 2 2" xfId="17203" xr:uid="{00000000-0005-0000-0000-0000CB6E0000}"/>
    <cellStyle name="Normal 3 3 10 2 2 2" xfId="30562" xr:uid="{00000000-0005-0000-0000-0000CC6E0000}"/>
    <cellStyle name="Normal 3 3 10 2 3" xfId="31642" xr:uid="{00000000-0005-0000-0000-0000CD6E0000}"/>
    <cellStyle name="Normal 3 3 10 3" xfId="13430" xr:uid="{00000000-0005-0000-0000-0000CE6E0000}"/>
    <cellStyle name="Normal 3 3 10 3 2" xfId="26979" xr:uid="{00000000-0005-0000-0000-0000CF6E0000}"/>
    <cellStyle name="Normal 3 3 10 4" xfId="31641" xr:uid="{00000000-0005-0000-0000-0000D06E0000}"/>
    <cellStyle name="Normal 3 3 11" xfId="7355" xr:uid="{00000000-0005-0000-0000-0000D16E0000}"/>
    <cellStyle name="Normal 3 3 11 2" xfId="7356" xr:uid="{00000000-0005-0000-0000-0000D26E0000}"/>
    <cellStyle name="Normal 3 3 11 2 2" xfId="17292" xr:uid="{00000000-0005-0000-0000-0000D36E0000}"/>
    <cellStyle name="Normal 3 3 11 2 2 2" xfId="30651" xr:uid="{00000000-0005-0000-0000-0000D46E0000}"/>
    <cellStyle name="Normal 3 3 11 2 3" xfId="31644" xr:uid="{00000000-0005-0000-0000-0000D56E0000}"/>
    <cellStyle name="Normal 3 3 11 3" xfId="14011" xr:uid="{00000000-0005-0000-0000-0000D66E0000}"/>
    <cellStyle name="Normal 3 3 11 3 2" xfId="27560" xr:uid="{00000000-0005-0000-0000-0000D76E0000}"/>
    <cellStyle name="Normal 3 3 11 4" xfId="31643" xr:uid="{00000000-0005-0000-0000-0000D86E0000}"/>
    <cellStyle name="Normal 3 3 12" xfId="7357" xr:uid="{00000000-0005-0000-0000-0000D96E0000}"/>
    <cellStyle name="Normal 3 3 12 2" xfId="7358" xr:uid="{00000000-0005-0000-0000-0000DA6E0000}"/>
    <cellStyle name="Normal 3 3 12 2 2" xfId="16478" xr:uid="{00000000-0005-0000-0000-0000DB6E0000}"/>
    <cellStyle name="Normal 3 3 12 2 2 2" xfId="29885" xr:uid="{00000000-0005-0000-0000-0000DC6E0000}"/>
    <cellStyle name="Normal 3 3 12 2 3" xfId="31646" xr:uid="{00000000-0005-0000-0000-0000DD6E0000}"/>
    <cellStyle name="Normal 3 3 12 3" xfId="15811" xr:uid="{00000000-0005-0000-0000-0000DE6E0000}"/>
    <cellStyle name="Normal 3 3 12 3 2" xfId="29218" xr:uid="{00000000-0005-0000-0000-0000DF6E0000}"/>
    <cellStyle name="Normal 3 3 12 4" xfId="31645" xr:uid="{00000000-0005-0000-0000-0000E06E0000}"/>
    <cellStyle name="Normal 3 3 13" xfId="7359" xr:uid="{00000000-0005-0000-0000-0000E16E0000}"/>
    <cellStyle name="Normal 3 3 13 2" xfId="15897" xr:uid="{00000000-0005-0000-0000-0000E26E0000}"/>
    <cellStyle name="Normal 3 3 13 2 2" xfId="29304" xr:uid="{00000000-0005-0000-0000-0000E36E0000}"/>
    <cellStyle name="Normal 3 3 13 3" xfId="31647" xr:uid="{00000000-0005-0000-0000-0000E46E0000}"/>
    <cellStyle name="Normal 3 3 14" xfId="8684" xr:uid="{00000000-0005-0000-0000-0000E56E0000}"/>
    <cellStyle name="Normal 3 3 14 2" xfId="17309" xr:uid="{00000000-0005-0000-0000-0000E66E0000}"/>
    <cellStyle name="Normal 3 3 14 2 2" xfId="30662" xr:uid="{00000000-0005-0000-0000-0000E76E0000}"/>
    <cellStyle name="Normal 3 3 14 3" xfId="23214" xr:uid="{00000000-0005-0000-0000-0000E86E0000}"/>
    <cellStyle name="Normal 3 3 15" xfId="8793" xr:uid="{00000000-0005-0000-0000-0000E96E0000}"/>
    <cellStyle name="Normal 3 3 15 2" xfId="23271" xr:uid="{00000000-0005-0000-0000-0000EA6E0000}"/>
    <cellStyle name="Normal 3 3 16" xfId="31640" xr:uid="{00000000-0005-0000-0000-0000EB6E0000}"/>
    <cellStyle name="Normal 3 3 17" xfId="32922" xr:uid="{00000000-0005-0000-0000-0000EC6E0000}"/>
    <cellStyle name="Normal 3 3 18" xfId="32982" xr:uid="{00000000-0005-0000-0000-0000ED6E0000}"/>
    <cellStyle name="Normal 3 3 2" xfId="7360" xr:uid="{00000000-0005-0000-0000-0000EE6E0000}"/>
    <cellStyle name="Normal 3 3 2 10" xfId="10194" xr:uid="{00000000-0005-0000-0000-0000EF6E0000}"/>
    <cellStyle name="Normal 3 3 2 10 2" xfId="24397" xr:uid="{00000000-0005-0000-0000-0000F06E0000}"/>
    <cellStyle name="Normal 3 3 2 11" xfId="31648" xr:uid="{00000000-0005-0000-0000-0000F16E0000}"/>
    <cellStyle name="Normal 3 3 2 12" xfId="32955" xr:uid="{00000000-0005-0000-0000-0000F26E0000}"/>
    <cellStyle name="Normal 3 3 2 13" xfId="33013" xr:uid="{00000000-0005-0000-0000-0000F36E0000}"/>
    <cellStyle name="Normal 3 3 2 2" xfId="7361" xr:uid="{00000000-0005-0000-0000-0000F46E0000}"/>
    <cellStyle name="Normal 3 3 2 2 10" xfId="31649" xr:uid="{00000000-0005-0000-0000-0000F56E0000}"/>
    <cellStyle name="Normal 3 3 2 2 2" xfId="7362" xr:uid="{00000000-0005-0000-0000-0000F66E0000}"/>
    <cellStyle name="Normal 3 3 2 2 2 2" xfId="7363" xr:uid="{00000000-0005-0000-0000-0000F76E0000}"/>
    <cellStyle name="Normal 3 3 2 2 2 2 2" xfId="7364" xr:uid="{00000000-0005-0000-0000-0000F86E0000}"/>
    <cellStyle name="Normal 3 3 2 2 2 2 2 2" xfId="7365" xr:uid="{00000000-0005-0000-0000-0000F96E0000}"/>
    <cellStyle name="Normal 3 3 2 2 2 2 2 2 2" xfId="16979" xr:uid="{00000000-0005-0000-0000-0000FA6E0000}"/>
    <cellStyle name="Normal 3 3 2 2 2 2 2 2 2 2" xfId="30386" xr:uid="{00000000-0005-0000-0000-0000FB6E0000}"/>
    <cellStyle name="Normal 3 3 2 2 2 2 2 2 3" xfId="31653" xr:uid="{00000000-0005-0000-0000-0000FC6E0000}"/>
    <cellStyle name="Normal 3 3 2 2 2 2 2 3" xfId="11560" xr:uid="{00000000-0005-0000-0000-0000FD6E0000}"/>
    <cellStyle name="Normal 3 3 2 2 2 2 2 3 2" xfId="25391" xr:uid="{00000000-0005-0000-0000-0000FE6E0000}"/>
    <cellStyle name="Normal 3 3 2 2 2 2 2 4" xfId="31652" xr:uid="{00000000-0005-0000-0000-0000FF6E0000}"/>
    <cellStyle name="Normal 3 3 2 2 2 2 3" xfId="7366" xr:uid="{00000000-0005-0000-0000-0000006F0000}"/>
    <cellStyle name="Normal 3 3 2 2 2 2 3 2" xfId="12367" xr:uid="{00000000-0005-0000-0000-0000016F0000}"/>
    <cellStyle name="Normal 3 3 2 2 2 2 3 2 2" xfId="26079" xr:uid="{00000000-0005-0000-0000-0000026F0000}"/>
    <cellStyle name="Normal 3 3 2 2 2 2 3 3" xfId="31654" xr:uid="{00000000-0005-0000-0000-0000036F0000}"/>
    <cellStyle name="Normal 3 3 2 2 2 2 4" xfId="7367" xr:uid="{00000000-0005-0000-0000-0000046F0000}"/>
    <cellStyle name="Normal 3 3 2 2 2 2 4 2" xfId="13931" xr:uid="{00000000-0005-0000-0000-0000056F0000}"/>
    <cellStyle name="Normal 3 3 2 2 2 2 4 2 2" xfId="27480" xr:uid="{00000000-0005-0000-0000-0000066F0000}"/>
    <cellStyle name="Normal 3 3 2 2 2 2 4 3" xfId="31655" xr:uid="{00000000-0005-0000-0000-0000076F0000}"/>
    <cellStyle name="Normal 3 3 2 2 2 2 5" xfId="7368" xr:uid="{00000000-0005-0000-0000-0000086F0000}"/>
    <cellStyle name="Normal 3 3 2 2 2 2 5 2" xfId="14512" xr:uid="{00000000-0005-0000-0000-0000096F0000}"/>
    <cellStyle name="Normal 3 3 2 2 2 2 5 2 2" xfId="28061" xr:uid="{00000000-0005-0000-0000-00000A6F0000}"/>
    <cellStyle name="Normal 3 3 2 2 2 2 5 3" xfId="31656" xr:uid="{00000000-0005-0000-0000-00000B6F0000}"/>
    <cellStyle name="Normal 3 3 2 2 2 2 6" xfId="7369" xr:uid="{00000000-0005-0000-0000-00000C6F0000}"/>
    <cellStyle name="Normal 3 3 2 2 2 2 6 2" xfId="16398" xr:uid="{00000000-0005-0000-0000-00000D6F0000}"/>
    <cellStyle name="Normal 3 3 2 2 2 2 6 2 2" xfId="29805" xr:uid="{00000000-0005-0000-0000-00000E6F0000}"/>
    <cellStyle name="Normal 3 3 2 2 2 2 6 3" xfId="31657" xr:uid="{00000000-0005-0000-0000-00000F6F0000}"/>
    <cellStyle name="Normal 3 3 2 2 2 2 7" xfId="10197" xr:uid="{00000000-0005-0000-0000-0000106F0000}"/>
    <cellStyle name="Normal 3 3 2 2 2 2 7 2" xfId="24400" xr:uid="{00000000-0005-0000-0000-0000116F0000}"/>
    <cellStyle name="Normal 3 3 2 2 2 2 8" xfId="31651" xr:uid="{00000000-0005-0000-0000-0000126F0000}"/>
    <cellStyle name="Normal 3 3 2 2 2 3" xfId="7370" xr:uid="{00000000-0005-0000-0000-0000136F0000}"/>
    <cellStyle name="Normal 3 3 2 2 2 3 2" xfId="7371" xr:uid="{00000000-0005-0000-0000-0000146F0000}"/>
    <cellStyle name="Normal 3 3 2 2 2 3 2 2" xfId="16690" xr:uid="{00000000-0005-0000-0000-0000156F0000}"/>
    <cellStyle name="Normal 3 3 2 2 2 3 2 2 2" xfId="30097" xr:uid="{00000000-0005-0000-0000-0000166F0000}"/>
    <cellStyle name="Normal 3 3 2 2 2 3 2 3" xfId="31659" xr:uid="{00000000-0005-0000-0000-0000176F0000}"/>
    <cellStyle name="Normal 3 3 2 2 2 3 3" xfId="11559" xr:uid="{00000000-0005-0000-0000-0000186F0000}"/>
    <cellStyle name="Normal 3 3 2 2 2 3 3 2" xfId="25390" xr:uid="{00000000-0005-0000-0000-0000196F0000}"/>
    <cellStyle name="Normal 3 3 2 2 2 3 4" xfId="31658" xr:uid="{00000000-0005-0000-0000-00001A6F0000}"/>
    <cellStyle name="Normal 3 3 2 2 2 4" xfId="7372" xr:uid="{00000000-0005-0000-0000-00001B6F0000}"/>
    <cellStyle name="Normal 3 3 2 2 2 4 2" xfId="12067" xr:uid="{00000000-0005-0000-0000-00001C6F0000}"/>
    <cellStyle name="Normal 3 3 2 2 2 4 2 2" xfId="25782" xr:uid="{00000000-0005-0000-0000-00001D6F0000}"/>
    <cellStyle name="Normal 3 3 2 2 2 4 3" xfId="31660" xr:uid="{00000000-0005-0000-0000-00001E6F0000}"/>
    <cellStyle name="Normal 3 3 2 2 2 5" xfId="7373" xr:uid="{00000000-0005-0000-0000-00001F6F0000}"/>
    <cellStyle name="Normal 3 3 2 2 2 5 2" xfId="13642" xr:uid="{00000000-0005-0000-0000-0000206F0000}"/>
    <cellStyle name="Normal 3 3 2 2 2 5 2 2" xfId="27191" xr:uid="{00000000-0005-0000-0000-0000216F0000}"/>
    <cellStyle name="Normal 3 3 2 2 2 5 3" xfId="31661" xr:uid="{00000000-0005-0000-0000-0000226F0000}"/>
    <cellStyle name="Normal 3 3 2 2 2 6" xfId="7374" xr:uid="{00000000-0005-0000-0000-0000236F0000}"/>
    <cellStyle name="Normal 3 3 2 2 2 6 2" xfId="14223" xr:uid="{00000000-0005-0000-0000-0000246F0000}"/>
    <cellStyle name="Normal 3 3 2 2 2 6 2 2" xfId="27772" xr:uid="{00000000-0005-0000-0000-0000256F0000}"/>
    <cellStyle name="Normal 3 3 2 2 2 6 3" xfId="31662" xr:uid="{00000000-0005-0000-0000-0000266F0000}"/>
    <cellStyle name="Normal 3 3 2 2 2 7" xfId="7375" xr:uid="{00000000-0005-0000-0000-0000276F0000}"/>
    <cellStyle name="Normal 3 3 2 2 2 7 2" xfId="16109" xr:uid="{00000000-0005-0000-0000-0000286F0000}"/>
    <cellStyle name="Normal 3 3 2 2 2 7 2 2" xfId="29516" xr:uid="{00000000-0005-0000-0000-0000296F0000}"/>
    <cellStyle name="Normal 3 3 2 2 2 7 3" xfId="31663" xr:uid="{00000000-0005-0000-0000-00002A6F0000}"/>
    <cellStyle name="Normal 3 3 2 2 2 8" xfId="10196" xr:uid="{00000000-0005-0000-0000-00002B6F0000}"/>
    <cellStyle name="Normal 3 3 2 2 2 8 2" xfId="24399" xr:uid="{00000000-0005-0000-0000-00002C6F0000}"/>
    <cellStyle name="Normal 3 3 2 2 2 9" xfId="31650" xr:uid="{00000000-0005-0000-0000-00002D6F0000}"/>
    <cellStyle name="Normal 3 3 2 2 3" xfId="7376" xr:uid="{00000000-0005-0000-0000-00002E6F0000}"/>
    <cellStyle name="Normal 3 3 2 2 3 2" xfId="7377" xr:uid="{00000000-0005-0000-0000-00002F6F0000}"/>
    <cellStyle name="Normal 3 3 2 2 3 2 2" xfId="7378" xr:uid="{00000000-0005-0000-0000-0000306F0000}"/>
    <cellStyle name="Normal 3 3 2 2 3 2 2 2" xfId="16836" xr:uid="{00000000-0005-0000-0000-0000316F0000}"/>
    <cellStyle name="Normal 3 3 2 2 3 2 2 2 2" xfId="30243" xr:uid="{00000000-0005-0000-0000-0000326F0000}"/>
    <cellStyle name="Normal 3 3 2 2 3 2 2 3" xfId="31666" xr:uid="{00000000-0005-0000-0000-0000336F0000}"/>
    <cellStyle name="Normal 3 3 2 2 3 2 3" xfId="11561" xr:uid="{00000000-0005-0000-0000-0000346F0000}"/>
    <cellStyle name="Normal 3 3 2 2 3 2 3 2" xfId="25392" xr:uid="{00000000-0005-0000-0000-0000356F0000}"/>
    <cellStyle name="Normal 3 3 2 2 3 2 4" xfId="31665" xr:uid="{00000000-0005-0000-0000-0000366F0000}"/>
    <cellStyle name="Normal 3 3 2 2 3 3" xfId="7379" xr:uid="{00000000-0005-0000-0000-0000376F0000}"/>
    <cellStyle name="Normal 3 3 2 2 3 3 2" xfId="12224" xr:uid="{00000000-0005-0000-0000-0000386F0000}"/>
    <cellStyle name="Normal 3 3 2 2 3 3 2 2" xfId="25936" xr:uid="{00000000-0005-0000-0000-0000396F0000}"/>
    <cellStyle name="Normal 3 3 2 2 3 3 3" xfId="31667" xr:uid="{00000000-0005-0000-0000-00003A6F0000}"/>
    <cellStyle name="Normal 3 3 2 2 3 4" xfId="7380" xr:uid="{00000000-0005-0000-0000-00003B6F0000}"/>
    <cellStyle name="Normal 3 3 2 2 3 4 2" xfId="13788" xr:uid="{00000000-0005-0000-0000-00003C6F0000}"/>
    <cellStyle name="Normal 3 3 2 2 3 4 2 2" xfId="27337" xr:uid="{00000000-0005-0000-0000-00003D6F0000}"/>
    <cellStyle name="Normal 3 3 2 2 3 4 3" xfId="31668" xr:uid="{00000000-0005-0000-0000-00003E6F0000}"/>
    <cellStyle name="Normal 3 3 2 2 3 5" xfId="7381" xr:uid="{00000000-0005-0000-0000-00003F6F0000}"/>
    <cellStyle name="Normal 3 3 2 2 3 5 2" xfId="14369" xr:uid="{00000000-0005-0000-0000-0000406F0000}"/>
    <cellStyle name="Normal 3 3 2 2 3 5 2 2" xfId="27918" xr:uid="{00000000-0005-0000-0000-0000416F0000}"/>
    <cellStyle name="Normal 3 3 2 2 3 5 3" xfId="31669" xr:uid="{00000000-0005-0000-0000-0000426F0000}"/>
    <cellStyle name="Normal 3 3 2 2 3 6" xfId="7382" xr:uid="{00000000-0005-0000-0000-0000436F0000}"/>
    <cellStyle name="Normal 3 3 2 2 3 6 2" xfId="16255" xr:uid="{00000000-0005-0000-0000-0000446F0000}"/>
    <cellStyle name="Normal 3 3 2 2 3 6 2 2" xfId="29662" xr:uid="{00000000-0005-0000-0000-0000456F0000}"/>
    <cellStyle name="Normal 3 3 2 2 3 6 3" xfId="31670" xr:uid="{00000000-0005-0000-0000-0000466F0000}"/>
    <cellStyle name="Normal 3 3 2 2 3 7" xfId="10198" xr:uid="{00000000-0005-0000-0000-0000476F0000}"/>
    <cellStyle name="Normal 3 3 2 2 3 7 2" xfId="24401" xr:uid="{00000000-0005-0000-0000-0000486F0000}"/>
    <cellStyle name="Normal 3 3 2 2 3 8" xfId="31664" xr:uid="{00000000-0005-0000-0000-0000496F0000}"/>
    <cellStyle name="Normal 3 3 2 2 4" xfId="7383" xr:uid="{00000000-0005-0000-0000-00004A6F0000}"/>
    <cellStyle name="Normal 3 3 2 2 4 2" xfId="7384" xr:uid="{00000000-0005-0000-0000-00004B6F0000}"/>
    <cellStyle name="Normal 3 3 2 2 4 2 2" xfId="17183" xr:uid="{00000000-0005-0000-0000-00004C6F0000}"/>
    <cellStyle name="Normal 3 3 2 2 4 2 2 2" xfId="30542" xr:uid="{00000000-0005-0000-0000-00004D6F0000}"/>
    <cellStyle name="Normal 3 3 2 2 4 2 3" xfId="31672" xr:uid="{00000000-0005-0000-0000-00004E6F0000}"/>
    <cellStyle name="Normal 3 3 2 2 4 3" xfId="11558" xr:uid="{00000000-0005-0000-0000-00004F6F0000}"/>
    <cellStyle name="Normal 3 3 2 2 4 3 2" xfId="25389" xr:uid="{00000000-0005-0000-0000-0000506F0000}"/>
    <cellStyle name="Normal 3 3 2 2 4 4" xfId="31671" xr:uid="{00000000-0005-0000-0000-0000516F0000}"/>
    <cellStyle name="Normal 3 3 2 2 5" xfId="7385" xr:uid="{00000000-0005-0000-0000-0000526F0000}"/>
    <cellStyle name="Normal 3 3 2 2 5 2" xfId="7386" xr:uid="{00000000-0005-0000-0000-0000536F0000}"/>
    <cellStyle name="Normal 3 3 2 2 5 2 2" xfId="17272" xr:uid="{00000000-0005-0000-0000-0000546F0000}"/>
    <cellStyle name="Normal 3 3 2 2 5 2 2 2" xfId="30631" xr:uid="{00000000-0005-0000-0000-0000556F0000}"/>
    <cellStyle name="Normal 3 3 2 2 5 2 3" xfId="31674" xr:uid="{00000000-0005-0000-0000-0000566F0000}"/>
    <cellStyle name="Normal 3 3 2 2 5 3" xfId="11922" xr:uid="{00000000-0005-0000-0000-0000576F0000}"/>
    <cellStyle name="Normal 3 3 2 2 5 3 2" xfId="25637" xr:uid="{00000000-0005-0000-0000-0000586F0000}"/>
    <cellStyle name="Normal 3 3 2 2 5 4" xfId="31673" xr:uid="{00000000-0005-0000-0000-0000596F0000}"/>
    <cellStyle name="Normal 3 3 2 2 6" xfId="7387" xr:uid="{00000000-0005-0000-0000-00005A6F0000}"/>
    <cellStyle name="Normal 3 3 2 2 6 2" xfId="7388" xr:uid="{00000000-0005-0000-0000-00005B6F0000}"/>
    <cellStyle name="Normal 3 3 2 2 6 2 2" xfId="16547" xr:uid="{00000000-0005-0000-0000-00005C6F0000}"/>
    <cellStyle name="Normal 3 3 2 2 6 2 2 2" xfId="29954" xr:uid="{00000000-0005-0000-0000-00005D6F0000}"/>
    <cellStyle name="Normal 3 3 2 2 6 2 3" xfId="31676" xr:uid="{00000000-0005-0000-0000-00005E6F0000}"/>
    <cellStyle name="Normal 3 3 2 2 6 3" xfId="13499" xr:uid="{00000000-0005-0000-0000-00005F6F0000}"/>
    <cellStyle name="Normal 3 3 2 2 6 3 2" xfId="27048" xr:uid="{00000000-0005-0000-0000-0000606F0000}"/>
    <cellStyle name="Normal 3 3 2 2 6 4" xfId="31675" xr:uid="{00000000-0005-0000-0000-0000616F0000}"/>
    <cellStyle name="Normal 3 3 2 2 7" xfId="7389" xr:uid="{00000000-0005-0000-0000-0000626F0000}"/>
    <cellStyle name="Normal 3 3 2 2 7 2" xfId="14080" xr:uid="{00000000-0005-0000-0000-0000636F0000}"/>
    <cellStyle name="Normal 3 3 2 2 7 2 2" xfId="27629" xr:uid="{00000000-0005-0000-0000-0000646F0000}"/>
    <cellStyle name="Normal 3 3 2 2 7 3" xfId="31677" xr:uid="{00000000-0005-0000-0000-0000656F0000}"/>
    <cellStyle name="Normal 3 3 2 2 8" xfId="7390" xr:uid="{00000000-0005-0000-0000-0000666F0000}"/>
    <cellStyle name="Normal 3 3 2 2 8 2" xfId="15966" xr:uid="{00000000-0005-0000-0000-0000676F0000}"/>
    <cellStyle name="Normal 3 3 2 2 8 2 2" xfId="29373" xr:uid="{00000000-0005-0000-0000-0000686F0000}"/>
    <cellStyle name="Normal 3 3 2 2 8 3" xfId="31678" xr:uid="{00000000-0005-0000-0000-0000696F0000}"/>
    <cellStyle name="Normal 3 3 2 2 9" xfId="10195" xr:uid="{00000000-0005-0000-0000-00006A6F0000}"/>
    <cellStyle name="Normal 3 3 2 2 9 2" xfId="24398" xr:uid="{00000000-0005-0000-0000-00006B6F0000}"/>
    <cellStyle name="Normal 3 3 2 3" xfId="7391" xr:uid="{00000000-0005-0000-0000-00006C6F0000}"/>
    <cellStyle name="Normal 3 3 2 3 2" xfId="7392" xr:uid="{00000000-0005-0000-0000-00006D6F0000}"/>
    <cellStyle name="Normal 3 3 2 3 2 2" xfId="7393" xr:uid="{00000000-0005-0000-0000-00006E6F0000}"/>
    <cellStyle name="Normal 3 3 2 3 2 2 2" xfId="7394" xr:uid="{00000000-0005-0000-0000-00006F6F0000}"/>
    <cellStyle name="Normal 3 3 2 3 2 2 2 2" xfId="16933" xr:uid="{00000000-0005-0000-0000-0000706F0000}"/>
    <cellStyle name="Normal 3 3 2 3 2 2 2 2 2" xfId="30340" xr:uid="{00000000-0005-0000-0000-0000716F0000}"/>
    <cellStyle name="Normal 3 3 2 3 2 2 2 3" xfId="31682" xr:uid="{00000000-0005-0000-0000-0000726F0000}"/>
    <cellStyle name="Normal 3 3 2 3 2 2 3" xfId="11563" xr:uid="{00000000-0005-0000-0000-0000736F0000}"/>
    <cellStyle name="Normal 3 3 2 3 2 2 3 2" xfId="25394" xr:uid="{00000000-0005-0000-0000-0000746F0000}"/>
    <cellStyle name="Normal 3 3 2 3 2 2 4" xfId="31681" xr:uid="{00000000-0005-0000-0000-0000756F0000}"/>
    <cellStyle name="Normal 3 3 2 3 2 3" xfId="7395" xr:uid="{00000000-0005-0000-0000-0000766F0000}"/>
    <cellStyle name="Normal 3 3 2 3 2 3 2" xfId="12321" xr:uid="{00000000-0005-0000-0000-0000776F0000}"/>
    <cellStyle name="Normal 3 3 2 3 2 3 2 2" xfId="26033" xr:uid="{00000000-0005-0000-0000-0000786F0000}"/>
    <cellStyle name="Normal 3 3 2 3 2 3 3" xfId="31683" xr:uid="{00000000-0005-0000-0000-0000796F0000}"/>
    <cellStyle name="Normal 3 3 2 3 2 4" xfId="7396" xr:uid="{00000000-0005-0000-0000-00007A6F0000}"/>
    <cellStyle name="Normal 3 3 2 3 2 4 2" xfId="13885" xr:uid="{00000000-0005-0000-0000-00007B6F0000}"/>
    <cellStyle name="Normal 3 3 2 3 2 4 2 2" xfId="27434" xr:uid="{00000000-0005-0000-0000-00007C6F0000}"/>
    <cellStyle name="Normal 3 3 2 3 2 4 3" xfId="31684" xr:uid="{00000000-0005-0000-0000-00007D6F0000}"/>
    <cellStyle name="Normal 3 3 2 3 2 5" xfId="7397" xr:uid="{00000000-0005-0000-0000-00007E6F0000}"/>
    <cellStyle name="Normal 3 3 2 3 2 5 2" xfId="14466" xr:uid="{00000000-0005-0000-0000-00007F6F0000}"/>
    <cellStyle name="Normal 3 3 2 3 2 5 2 2" xfId="28015" xr:uid="{00000000-0005-0000-0000-0000806F0000}"/>
    <cellStyle name="Normal 3 3 2 3 2 5 3" xfId="31685" xr:uid="{00000000-0005-0000-0000-0000816F0000}"/>
    <cellStyle name="Normal 3 3 2 3 2 6" xfId="7398" xr:uid="{00000000-0005-0000-0000-0000826F0000}"/>
    <cellStyle name="Normal 3 3 2 3 2 6 2" xfId="16352" xr:uid="{00000000-0005-0000-0000-0000836F0000}"/>
    <cellStyle name="Normal 3 3 2 3 2 6 2 2" xfId="29759" xr:uid="{00000000-0005-0000-0000-0000846F0000}"/>
    <cellStyle name="Normal 3 3 2 3 2 6 3" xfId="31686" xr:uid="{00000000-0005-0000-0000-0000856F0000}"/>
    <cellStyle name="Normal 3 3 2 3 2 7" xfId="10200" xr:uid="{00000000-0005-0000-0000-0000866F0000}"/>
    <cellStyle name="Normal 3 3 2 3 2 7 2" xfId="24403" xr:uid="{00000000-0005-0000-0000-0000876F0000}"/>
    <cellStyle name="Normal 3 3 2 3 2 8" xfId="31680" xr:uid="{00000000-0005-0000-0000-0000886F0000}"/>
    <cellStyle name="Normal 3 3 2 3 3" xfId="7399" xr:uid="{00000000-0005-0000-0000-0000896F0000}"/>
    <cellStyle name="Normal 3 3 2 3 3 2" xfId="7400" xr:uid="{00000000-0005-0000-0000-00008A6F0000}"/>
    <cellStyle name="Normal 3 3 2 3 3 2 2" xfId="16644" xr:uid="{00000000-0005-0000-0000-00008B6F0000}"/>
    <cellStyle name="Normal 3 3 2 3 3 2 2 2" xfId="30051" xr:uid="{00000000-0005-0000-0000-00008C6F0000}"/>
    <cellStyle name="Normal 3 3 2 3 3 2 3" xfId="31688" xr:uid="{00000000-0005-0000-0000-00008D6F0000}"/>
    <cellStyle name="Normal 3 3 2 3 3 3" xfId="11562" xr:uid="{00000000-0005-0000-0000-00008E6F0000}"/>
    <cellStyle name="Normal 3 3 2 3 3 3 2" xfId="25393" xr:uid="{00000000-0005-0000-0000-00008F6F0000}"/>
    <cellStyle name="Normal 3 3 2 3 3 4" xfId="31687" xr:uid="{00000000-0005-0000-0000-0000906F0000}"/>
    <cellStyle name="Normal 3 3 2 3 4" xfId="7401" xr:uid="{00000000-0005-0000-0000-0000916F0000}"/>
    <cellStyle name="Normal 3 3 2 3 4 2" xfId="12021" xr:uid="{00000000-0005-0000-0000-0000926F0000}"/>
    <cellStyle name="Normal 3 3 2 3 4 2 2" xfId="25736" xr:uid="{00000000-0005-0000-0000-0000936F0000}"/>
    <cellStyle name="Normal 3 3 2 3 4 3" xfId="31689" xr:uid="{00000000-0005-0000-0000-0000946F0000}"/>
    <cellStyle name="Normal 3 3 2 3 5" xfId="7402" xr:uid="{00000000-0005-0000-0000-0000956F0000}"/>
    <cellStyle name="Normal 3 3 2 3 5 2" xfId="13596" xr:uid="{00000000-0005-0000-0000-0000966F0000}"/>
    <cellStyle name="Normal 3 3 2 3 5 2 2" xfId="27145" xr:uid="{00000000-0005-0000-0000-0000976F0000}"/>
    <cellStyle name="Normal 3 3 2 3 5 3" xfId="31690" xr:uid="{00000000-0005-0000-0000-0000986F0000}"/>
    <cellStyle name="Normal 3 3 2 3 6" xfId="7403" xr:uid="{00000000-0005-0000-0000-0000996F0000}"/>
    <cellStyle name="Normal 3 3 2 3 6 2" xfId="14177" xr:uid="{00000000-0005-0000-0000-00009A6F0000}"/>
    <cellStyle name="Normal 3 3 2 3 6 2 2" xfId="27726" xr:uid="{00000000-0005-0000-0000-00009B6F0000}"/>
    <cellStyle name="Normal 3 3 2 3 6 3" xfId="31691" xr:uid="{00000000-0005-0000-0000-00009C6F0000}"/>
    <cellStyle name="Normal 3 3 2 3 7" xfId="7404" xr:uid="{00000000-0005-0000-0000-00009D6F0000}"/>
    <cellStyle name="Normal 3 3 2 3 7 2" xfId="16063" xr:uid="{00000000-0005-0000-0000-00009E6F0000}"/>
    <cellStyle name="Normal 3 3 2 3 7 2 2" xfId="29470" xr:uid="{00000000-0005-0000-0000-00009F6F0000}"/>
    <cellStyle name="Normal 3 3 2 3 7 3" xfId="31692" xr:uid="{00000000-0005-0000-0000-0000A06F0000}"/>
    <cellStyle name="Normal 3 3 2 3 8" xfId="10199" xr:uid="{00000000-0005-0000-0000-0000A16F0000}"/>
    <cellStyle name="Normal 3 3 2 3 8 2" xfId="24402" xr:uid="{00000000-0005-0000-0000-0000A26F0000}"/>
    <cellStyle name="Normal 3 3 2 3 9" xfId="31679" xr:uid="{00000000-0005-0000-0000-0000A36F0000}"/>
    <cellStyle name="Normal 3 3 2 4" xfId="7405" xr:uid="{00000000-0005-0000-0000-0000A46F0000}"/>
    <cellStyle name="Normal 3 3 2 4 2" xfId="7406" xr:uid="{00000000-0005-0000-0000-0000A56F0000}"/>
    <cellStyle name="Normal 3 3 2 4 2 2" xfId="7407" xr:uid="{00000000-0005-0000-0000-0000A66F0000}"/>
    <cellStyle name="Normal 3 3 2 4 2 2 2" xfId="16790" xr:uid="{00000000-0005-0000-0000-0000A76F0000}"/>
    <cellStyle name="Normal 3 3 2 4 2 2 2 2" xfId="30197" xr:uid="{00000000-0005-0000-0000-0000A86F0000}"/>
    <cellStyle name="Normal 3 3 2 4 2 2 3" xfId="31695" xr:uid="{00000000-0005-0000-0000-0000A96F0000}"/>
    <cellStyle name="Normal 3 3 2 4 2 3" xfId="11564" xr:uid="{00000000-0005-0000-0000-0000AA6F0000}"/>
    <cellStyle name="Normal 3 3 2 4 2 3 2" xfId="25395" xr:uid="{00000000-0005-0000-0000-0000AB6F0000}"/>
    <cellStyle name="Normal 3 3 2 4 2 4" xfId="31694" xr:uid="{00000000-0005-0000-0000-0000AC6F0000}"/>
    <cellStyle name="Normal 3 3 2 4 3" xfId="7408" xr:uid="{00000000-0005-0000-0000-0000AD6F0000}"/>
    <cellStyle name="Normal 3 3 2 4 3 2" xfId="12178" xr:uid="{00000000-0005-0000-0000-0000AE6F0000}"/>
    <cellStyle name="Normal 3 3 2 4 3 2 2" xfId="25890" xr:uid="{00000000-0005-0000-0000-0000AF6F0000}"/>
    <cellStyle name="Normal 3 3 2 4 3 3" xfId="31696" xr:uid="{00000000-0005-0000-0000-0000B06F0000}"/>
    <cellStyle name="Normal 3 3 2 4 4" xfId="7409" xr:uid="{00000000-0005-0000-0000-0000B16F0000}"/>
    <cellStyle name="Normal 3 3 2 4 4 2" xfId="13742" xr:uid="{00000000-0005-0000-0000-0000B26F0000}"/>
    <cellStyle name="Normal 3 3 2 4 4 2 2" xfId="27291" xr:uid="{00000000-0005-0000-0000-0000B36F0000}"/>
    <cellStyle name="Normal 3 3 2 4 4 3" xfId="31697" xr:uid="{00000000-0005-0000-0000-0000B46F0000}"/>
    <cellStyle name="Normal 3 3 2 4 5" xfId="7410" xr:uid="{00000000-0005-0000-0000-0000B56F0000}"/>
    <cellStyle name="Normal 3 3 2 4 5 2" xfId="14323" xr:uid="{00000000-0005-0000-0000-0000B66F0000}"/>
    <cellStyle name="Normal 3 3 2 4 5 2 2" xfId="27872" xr:uid="{00000000-0005-0000-0000-0000B76F0000}"/>
    <cellStyle name="Normal 3 3 2 4 5 3" xfId="31698" xr:uid="{00000000-0005-0000-0000-0000B86F0000}"/>
    <cellStyle name="Normal 3 3 2 4 6" xfId="7411" xr:uid="{00000000-0005-0000-0000-0000B96F0000}"/>
    <cellStyle name="Normal 3 3 2 4 6 2" xfId="16209" xr:uid="{00000000-0005-0000-0000-0000BA6F0000}"/>
    <cellStyle name="Normal 3 3 2 4 6 2 2" xfId="29616" xr:uid="{00000000-0005-0000-0000-0000BB6F0000}"/>
    <cellStyle name="Normal 3 3 2 4 6 3" xfId="31699" xr:uid="{00000000-0005-0000-0000-0000BC6F0000}"/>
    <cellStyle name="Normal 3 3 2 4 7" xfId="10201" xr:uid="{00000000-0005-0000-0000-0000BD6F0000}"/>
    <cellStyle name="Normal 3 3 2 4 7 2" xfId="24404" xr:uid="{00000000-0005-0000-0000-0000BE6F0000}"/>
    <cellStyle name="Normal 3 3 2 4 8" xfId="31693" xr:uid="{00000000-0005-0000-0000-0000BF6F0000}"/>
    <cellStyle name="Normal 3 3 2 5" xfId="7412" xr:uid="{00000000-0005-0000-0000-0000C06F0000}"/>
    <cellStyle name="Normal 3 3 2 5 2" xfId="7413" xr:uid="{00000000-0005-0000-0000-0000C16F0000}"/>
    <cellStyle name="Normal 3 3 2 5 2 2" xfId="17043" xr:uid="{00000000-0005-0000-0000-0000C26F0000}"/>
    <cellStyle name="Normal 3 3 2 5 2 2 2" xfId="30444" xr:uid="{00000000-0005-0000-0000-0000C36F0000}"/>
    <cellStyle name="Normal 3 3 2 5 2 3" xfId="31701" xr:uid="{00000000-0005-0000-0000-0000C46F0000}"/>
    <cellStyle name="Normal 3 3 2 5 3" xfId="11557" xr:uid="{00000000-0005-0000-0000-0000C56F0000}"/>
    <cellStyle name="Normal 3 3 2 5 3 2" xfId="25388" xr:uid="{00000000-0005-0000-0000-0000C66F0000}"/>
    <cellStyle name="Normal 3 3 2 5 4" xfId="31700" xr:uid="{00000000-0005-0000-0000-0000C76F0000}"/>
    <cellStyle name="Normal 3 3 2 6" xfId="7414" xr:uid="{00000000-0005-0000-0000-0000C86F0000}"/>
    <cellStyle name="Normal 3 3 2 6 2" xfId="7415" xr:uid="{00000000-0005-0000-0000-0000C96F0000}"/>
    <cellStyle name="Normal 3 3 2 6 2 2" xfId="17137" xr:uid="{00000000-0005-0000-0000-0000CA6F0000}"/>
    <cellStyle name="Normal 3 3 2 6 2 2 2" xfId="30496" xr:uid="{00000000-0005-0000-0000-0000CB6F0000}"/>
    <cellStyle name="Normal 3 3 2 6 2 3" xfId="31703" xr:uid="{00000000-0005-0000-0000-0000CC6F0000}"/>
    <cellStyle name="Normal 3 3 2 6 3" xfId="11865" xr:uid="{00000000-0005-0000-0000-0000CD6F0000}"/>
    <cellStyle name="Normal 3 3 2 6 3 2" xfId="25580" xr:uid="{00000000-0005-0000-0000-0000CE6F0000}"/>
    <cellStyle name="Normal 3 3 2 6 4" xfId="31702" xr:uid="{00000000-0005-0000-0000-0000CF6F0000}"/>
    <cellStyle name="Normal 3 3 2 7" xfId="7416" xr:uid="{00000000-0005-0000-0000-0000D06F0000}"/>
    <cellStyle name="Normal 3 3 2 7 2" xfId="7417" xr:uid="{00000000-0005-0000-0000-0000D16F0000}"/>
    <cellStyle name="Normal 3 3 2 7 2 2" xfId="17226" xr:uid="{00000000-0005-0000-0000-0000D26F0000}"/>
    <cellStyle name="Normal 3 3 2 7 2 2 2" xfId="30585" xr:uid="{00000000-0005-0000-0000-0000D36F0000}"/>
    <cellStyle name="Normal 3 3 2 7 2 3" xfId="31705" xr:uid="{00000000-0005-0000-0000-0000D46F0000}"/>
    <cellStyle name="Normal 3 3 2 7 3" xfId="13453" xr:uid="{00000000-0005-0000-0000-0000D56F0000}"/>
    <cellStyle name="Normal 3 3 2 7 3 2" xfId="27002" xr:uid="{00000000-0005-0000-0000-0000D66F0000}"/>
    <cellStyle name="Normal 3 3 2 7 4" xfId="31704" xr:uid="{00000000-0005-0000-0000-0000D76F0000}"/>
    <cellStyle name="Normal 3 3 2 8" xfId="7418" xr:uid="{00000000-0005-0000-0000-0000D86F0000}"/>
    <cellStyle name="Normal 3 3 2 8 2" xfId="7419" xr:uid="{00000000-0005-0000-0000-0000D96F0000}"/>
    <cellStyle name="Normal 3 3 2 8 2 2" xfId="16501" xr:uid="{00000000-0005-0000-0000-0000DA6F0000}"/>
    <cellStyle name="Normal 3 3 2 8 2 2 2" xfId="29908" xr:uid="{00000000-0005-0000-0000-0000DB6F0000}"/>
    <cellStyle name="Normal 3 3 2 8 2 3" xfId="31707" xr:uid="{00000000-0005-0000-0000-0000DC6F0000}"/>
    <cellStyle name="Normal 3 3 2 8 3" xfId="14034" xr:uid="{00000000-0005-0000-0000-0000DD6F0000}"/>
    <cellStyle name="Normal 3 3 2 8 3 2" xfId="27583" xr:uid="{00000000-0005-0000-0000-0000DE6F0000}"/>
    <cellStyle name="Normal 3 3 2 8 4" xfId="31706" xr:uid="{00000000-0005-0000-0000-0000DF6F0000}"/>
    <cellStyle name="Normal 3 3 2 9" xfId="7420" xr:uid="{00000000-0005-0000-0000-0000E06F0000}"/>
    <cellStyle name="Normal 3 3 2 9 2" xfId="15920" xr:uid="{00000000-0005-0000-0000-0000E16F0000}"/>
    <cellStyle name="Normal 3 3 2 9 2 2" xfId="29327" xr:uid="{00000000-0005-0000-0000-0000E26F0000}"/>
    <cellStyle name="Normal 3 3 2 9 3" xfId="31708" xr:uid="{00000000-0005-0000-0000-0000E36F0000}"/>
    <cellStyle name="Normal 3 3 3" xfId="7421" xr:uid="{00000000-0005-0000-0000-0000E46F0000}"/>
    <cellStyle name="Normal 3 3 3 10" xfId="31709" xr:uid="{00000000-0005-0000-0000-0000E56F0000}"/>
    <cellStyle name="Normal 3 3 3 2" xfId="7422" xr:uid="{00000000-0005-0000-0000-0000E66F0000}"/>
    <cellStyle name="Normal 3 3 3 2 2" xfId="7423" xr:uid="{00000000-0005-0000-0000-0000E76F0000}"/>
    <cellStyle name="Normal 3 3 3 2 2 2" xfId="7424" xr:uid="{00000000-0005-0000-0000-0000E86F0000}"/>
    <cellStyle name="Normal 3 3 3 2 2 2 2" xfId="7425" xr:uid="{00000000-0005-0000-0000-0000E96F0000}"/>
    <cellStyle name="Normal 3 3 3 2 2 2 2 2" xfId="16956" xr:uid="{00000000-0005-0000-0000-0000EA6F0000}"/>
    <cellStyle name="Normal 3 3 3 2 2 2 2 2 2" xfId="30363" xr:uid="{00000000-0005-0000-0000-0000EB6F0000}"/>
    <cellStyle name="Normal 3 3 3 2 2 2 2 3" xfId="31713" xr:uid="{00000000-0005-0000-0000-0000EC6F0000}"/>
    <cellStyle name="Normal 3 3 3 2 2 2 3" xfId="11567" xr:uid="{00000000-0005-0000-0000-0000ED6F0000}"/>
    <cellStyle name="Normal 3 3 3 2 2 2 3 2" xfId="25398" xr:uid="{00000000-0005-0000-0000-0000EE6F0000}"/>
    <cellStyle name="Normal 3 3 3 2 2 2 4" xfId="31712" xr:uid="{00000000-0005-0000-0000-0000EF6F0000}"/>
    <cellStyle name="Normal 3 3 3 2 2 3" xfId="7426" xr:uid="{00000000-0005-0000-0000-0000F06F0000}"/>
    <cellStyle name="Normal 3 3 3 2 2 3 2" xfId="12344" xr:uid="{00000000-0005-0000-0000-0000F16F0000}"/>
    <cellStyle name="Normal 3 3 3 2 2 3 2 2" xfId="26056" xr:uid="{00000000-0005-0000-0000-0000F26F0000}"/>
    <cellStyle name="Normal 3 3 3 2 2 3 3" xfId="31714" xr:uid="{00000000-0005-0000-0000-0000F36F0000}"/>
    <cellStyle name="Normal 3 3 3 2 2 4" xfId="7427" xr:uid="{00000000-0005-0000-0000-0000F46F0000}"/>
    <cellStyle name="Normal 3 3 3 2 2 4 2" xfId="13908" xr:uid="{00000000-0005-0000-0000-0000F56F0000}"/>
    <cellStyle name="Normal 3 3 3 2 2 4 2 2" xfId="27457" xr:uid="{00000000-0005-0000-0000-0000F66F0000}"/>
    <cellStyle name="Normal 3 3 3 2 2 4 3" xfId="31715" xr:uid="{00000000-0005-0000-0000-0000F76F0000}"/>
    <cellStyle name="Normal 3 3 3 2 2 5" xfId="7428" xr:uid="{00000000-0005-0000-0000-0000F86F0000}"/>
    <cellStyle name="Normal 3 3 3 2 2 5 2" xfId="14489" xr:uid="{00000000-0005-0000-0000-0000F96F0000}"/>
    <cellStyle name="Normal 3 3 3 2 2 5 2 2" xfId="28038" xr:uid="{00000000-0005-0000-0000-0000FA6F0000}"/>
    <cellStyle name="Normal 3 3 3 2 2 5 3" xfId="31716" xr:uid="{00000000-0005-0000-0000-0000FB6F0000}"/>
    <cellStyle name="Normal 3 3 3 2 2 6" xfId="7429" xr:uid="{00000000-0005-0000-0000-0000FC6F0000}"/>
    <cellStyle name="Normal 3 3 3 2 2 6 2" xfId="16375" xr:uid="{00000000-0005-0000-0000-0000FD6F0000}"/>
    <cellStyle name="Normal 3 3 3 2 2 6 2 2" xfId="29782" xr:uid="{00000000-0005-0000-0000-0000FE6F0000}"/>
    <cellStyle name="Normal 3 3 3 2 2 6 3" xfId="31717" xr:uid="{00000000-0005-0000-0000-0000FF6F0000}"/>
    <cellStyle name="Normal 3 3 3 2 2 7" xfId="10204" xr:uid="{00000000-0005-0000-0000-000000700000}"/>
    <cellStyle name="Normal 3 3 3 2 2 7 2" xfId="24407" xr:uid="{00000000-0005-0000-0000-000001700000}"/>
    <cellStyle name="Normal 3 3 3 2 2 8" xfId="31711" xr:uid="{00000000-0005-0000-0000-000002700000}"/>
    <cellStyle name="Normal 3 3 3 2 3" xfId="7430" xr:uid="{00000000-0005-0000-0000-000003700000}"/>
    <cellStyle name="Normal 3 3 3 2 3 2" xfId="7431" xr:uid="{00000000-0005-0000-0000-000004700000}"/>
    <cellStyle name="Normal 3 3 3 2 3 2 2" xfId="16667" xr:uid="{00000000-0005-0000-0000-000005700000}"/>
    <cellStyle name="Normal 3 3 3 2 3 2 2 2" xfId="30074" xr:uid="{00000000-0005-0000-0000-000006700000}"/>
    <cellStyle name="Normal 3 3 3 2 3 2 3" xfId="31719" xr:uid="{00000000-0005-0000-0000-000007700000}"/>
    <cellStyle name="Normal 3 3 3 2 3 3" xfId="11566" xr:uid="{00000000-0005-0000-0000-000008700000}"/>
    <cellStyle name="Normal 3 3 3 2 3 3 2" xfId="25397" xr:uid="{00000000-0005-0000-0000-000009700000}"/>
    <cellStyle name="Normal 3 3 3 2 3 4" xfId="31718" xr:uid="{00000000-0005-0000-0000-00000A700000}"/>
    <cellStyle name="Normal 3 3 3 2 4" xfId="7432" xr:uid="{00000000-0005-0000-0000-00000B700000}"/>
    <cellStyle name="Normal 3 3 3 2 4 2" xfId="12044" xr:uid="{00000000-0005-0000-0000-00000C700000}"/>
    <cellStyle name="Normal 3 3 3 2 4 2 2" xfId="25759" xr:uid="{00000000-0005-0000-0000-00000D700000}"/>
    <cellStyle name="Normal 3 3 3 2 4 3" xfId="31720" xr:uid="{00000000-0005-0000-0000-00000E700000}"/>
    <cellStyle name="Normal 3 3 3 2 5" xfId="7433" xr:uid="{00000000-0005-0000-0000-00000F700000}"/>
    <cellStyle name="Normal 3 3 3 2 5 2" xfId="13619" xr:uid="{00000000-0005-0000-0000-000010700000}"/>
    <cellStyle name="Normal 3 3 3 2 5 2 2" xfId="27168" xr:uid="{00000000-0005-0000-0000-000011700000}"/>
    <cellStyle name="Normal 3 3 3 2 5 3" xfId="31721" xr:uid="{00000000-0005-0000-0000-000012700000}"/>
    <cellStyle name="Normal 3 3 3 2 6" xfId="7434" xr:uid="{00000000-0005-0000-0000-000013700000}"/>
    <cellStyle name="Normal 3 3 3 2 6 2" xfId="14200" xr:uid="{00000000-0005-0000-0000-000014700000}"/>
    <cellStyle name="Normal 3 3 3 2 6 2 2" xfId="27749" xr:uid="{00000000-0005-0000-0000-000015700000}"/>
    <cellStyle name="Normal 3 3 3 2 6 3" xfId="31722" xr:uid="{00000000-0005-0000-0000-000016700000}"/>
    <cellStyle name="Normal 3 3 3 2 7" xfId="7435" xr:uid="{00000000-0005-0000-0000-000017700000}"/>
    <cellStyle name="Normal 3 3 3 2 7 2" xfId="16086" xr:uid="{00000000-0005-0000-0000-000018700000}"/>
    <cellStyle name="Normal 3 3 3 2 7 2 2" xfId="29493" xr:uid="{00000000-0005-0000-0000-000019700000}"/>
    <cellStyle name="Normal 3 3 3 2 7 3" xfId="31723" xr:uid="{00000000-0005-0000-0000-00001A700000}"/>
    <cellStyle name="Normal 3 3 3 2 8" xfId="10203" xr:uid="{00000000-0005-0000-0000-00001B700000}"/>
    <cellStyle name="Normal 3 3 3 2 8 2" xfId="24406" xr:uid="{00000000-0005-0000-0000-00001C700000}"/>
    <cellStyle name="Normal 3 3 3 2 9" xfId="31710" xr:uid="{00000000-0005-0000-0000-00001D700000}"/>
    <cellStyle name="Normal 3 3 3 3" xfId="7436" xr:uid="{00000000-0005-0000-0000-00001E700000}"/>
    <cellStyle name="Normal 3 3 3 3 2" xfId="7437" xr:uid="{00000000-0005-0000-0000-00001F700000}"/>
    <cellStyle name="Normal 3 3 3 3 2 2" xfId="7438" xr:uid="{00000000-0005-0000-0000-000020700000}"/>
    <cellStyle name="Normal 3 3 3 3 2 2 2" xfId="16813" xr:uid="{00000000-0005-0000-0000-000021700000}"/>
    <cellStyle name="Normal 3 3 3 3 2 2 2 2" xfId="30220" xr:uid="{00000000-0005-0000-0000-000022700000}"/>
    <cellStyle name="Normal 3 3 3 3 2 2 3" xfId="31726" xr:uid="{00000000-0005-0000-0000-000023700000}"/>
    <cellStyle name="Normal 3 3 3 3 2 3" xfId="11568" xr:uid="{00000000-0005-0000-0000-000024700000}"/>
    <cellStyle name="Normal 3 3 3 3 2 3 2" xfId="25399" xr:uid="{00000000-0005-0000-0000-000025700000}"/>
    <cellStyle name="Normal 3 3 3 3 2 4" xfId="31725" xr:uid="{00000000-0005-0000-0000-000026700000}"/>
    <cellStyle name="Normal 3 3 3 3 3" xfId="7439" xr:uid="{00000000-0005-0000-0000-000027700000}"/>
    <cellStyle name="Normal 3 3 3 3 3 2" xfId="12201" xr:uid="{00000000-0005-0000-0000-000028700000}"/>
    <cellStyle name="Normal 3 3 3 3 3 2 2" xfId="25913" xr:uid="{00000000-0005-0000-0000-000029700000}"/>
    <cellStyle name="Normal 3 3 3 3 3 3" xfId="31727" xr:uid="{00000000-0005-0000-0000-00002A700000}"/>
    <cellStyle name="Normal 3 3 3 3 4" xfId="7440" xr:uid="{00000000-0005-0000-0000-00002B700000}"/>
    <cellStyle name="Normal 3 3 3 3 4 2" xfId="13765" xr:uid="{00000000-0005-0000-0000-00002C700000}"/>
    <cellStyle name="Normal 3 3 3 3 4 2 2" xfId="27314" xr:uid="{00000000-0005-0000-0000-00002D700000}"/>
    <cellStyle name="Normal 3 3 3 3 4 3" xfId="31728" xr:uid="{00000000-0005-0000-0000-00002E700000}"/>
    <cellStyle name="Normal 3 3 3 3 5" xfId="7441" xr:uid="{00000000-0005-0000-0000-00002F700000}"/>
    <cellStyle name="Normal 3 3 3 3 5 2" xfId="14346" xr:uid="{00000000-0005-0000-0000-000030700000}"/>
    <cellStyle name="Normal 3 3 3 3 5 2 2" xfId="27895" xr:uid="{00000000-0005-0000-0000-000031700000}"/>
    <cellStyle name="Normal 3 3 3 3 5 3" xfId="31729" xr:uid="{00000000-0005-0000-0000-000032700000}"/>
    <cellStyle name="Normal 3 3 3 3 6" xfId="7442" xr:uid="{00000000-0005-0000-0000-000033700000}"/>
    <cellStyle name="Normal 3 3 3 3 6 2" xfId="16232" xr:uid="{00000000-0005-0000-0000-000034700000}"/>
    <cellStyle name="Normal 3 3 3 3 6 2 2" xfId="29639" xr:uid="{00000000-0005-0000-0000-000035700000}"/>
    <cellStyle name="Normal 3 3 3 3 6 3" xfId="31730" xr:uid="{00000000-0005-0000-0000-000036700000}"/>
    <cellStyle name="Normal 3 3 3 3 7" xfId="10205" xr:uid="{00000000-0005-0000-0000-000037700000}"/>
    <cellStyle name="Normal 3 3 3 3 7 2" xfId="24408" xr:uid="{00000000-0005-0000-0000-000038700000}"/>
    <cellStyle name="Normal 3 3 3 3 8" xfId="31724" xr:uid="{00000000-0005-0000-0000-000039700000}"/>
    <cellStyle name="Normal 3 3 3 4" xfId="7443" xr:uid="{00000000-0005-0000-0000-00003A700000}"/>
    <cellStyle name="Normal 3 3 3 4 2" xfId="7444" xr:uid="{00000000-0005-0000-0000-00003B700000}"/>
    <cellStyle name="Normal 3 3 3 4 2 2" xfId="17160" xr:uid="{00000000-0005-0000-0000-00003C700000}"/>
    <cellStyle name="Normal 3 3 3 4 2 2 2" xfId="30519" xr:uid="{00000000-0005-0000-0000-00003D700000}"/>
    <cellStyle name="Normal 3 3 3 4 2 3" xfId="31732" xr:uid="{00000000-0005-0000-0000-00003E700000}"/>
    <cellStyle name="Normal 3 3 3 4 3" xfId="11565" xr:uid="{00000000-0005-0000-0000-00003F700000}"/>
    <cellStyle name="Normal 3 3 3 4 3 2" xfId="25396" xr:uid="{00000000-0005-0000-0000-000040700000}"/>
    <cellStyle name="Normal 3 3 3 4 4" xfId="31731" xr:uid="{00000000-0005-0000-0000-000041700000}"/>
    <cellStyle name="Normal 3 3 3 5" xfId="7445" xr:uid="{00000000-0005-0000-0000-000042700000}"/>
    <cellStyle name="Normal 3 3 3 5 2" xfId="7446" xr:uid="{00000000-0005-0000-0000-000043700000}"/>
    <cellStyle name="Normal 3 3 3 5 2 2" xfId="17249" xr:uid="{00000000-0005-0000-0000-000044700000}"/>
    <cellStyle name="Normal 3 3 3 5 2 2 2" xfId="30608" xr:uid="{00000000-0005-0000-0000-000045700000}"/>
    <cellStyle name="Normal 3 3 3 5 2 3" xfId="31734" xr:uid="{00000000-0005-0000-0000-000046700000}"/>
    <cellStyle name="Normal 3 3 3 5 3" xfId="11899" xr:uid="{00000000-0005-0000-0000-000047700000}"/>
    <cellStyle name="Normal 3 3 3 5 3 2" xfId="25614" xr:uid="{00000000-0005-0000-0000-000048700000}"/>
    <cellStyle name="Normal 3 3 3 5 4" xfId="31733" xr:uid="{00000000-0005-0000-0000-000049700000}"/>
    <cellStyle name="Normal 3 3 3 6" xfId="7447" xr:uid="{00000000-0005-0000-0000-00004A700000}"/>
    <cellStyle name="Normal 3 3 3 6 2" xfId="7448" xr:uid="{00000000-0005-0000-0000-00004B700000}"/>
    <cellStyle name="Normal 3 3 3 6 2 2" xfId="16524" xr:uid="{00000000-0005-0000-0000-00004C700000}"/>
    <cellStyle name="Normal 3 3 3 6 2 2 2" xfId="29931" xr:uid="{00000000-0005-0000-0000-00004D700000}"/>
    <cellStyle name="Normal 3 3 3 6 2 3" xfId="31736" xr:uid="{00000000-0005-0000-0000-00004E700000}"/>
    <cellStyle name="Normal 3 3 3 6 3" xfId="13476" xr:uid="{00000000-0005-0000-0000-00004F700000}"/>
    <cellStyle name="Normal 3 3 3 6 3 2" xfId="27025" xr:uid="{00000000-0005-0000-0000-000050700000}"/>
    <cellStyle name="Normal 3 3 3 6 4" xfId="31735" xr:uid="{00000000-0005-0000-0000-000051700000}"/>
    <cellStyle name="Normal 3 3 3 7" xfId="7449" xr:uid="{00000000-0005-0000-0000-000052700000}"/>
    <cellStyle name="Normal 3 3 3 7 2" xfId="14057" xr:uid="{00000000-0005-0000-0000-000053700000}"/>
    <cellStyle name="Normal 3 3 3 7 2 2" xfId="27606" xr:uid="{00000000-0005-0000-0000-000054700000}"/>
    <cellStyle name="Normal 3 3 3 7 3" xfId="31737" xr:uid="{00000000-0005-0000-0000-000055700000}"/>
    <cellStyle name="Normal 3 3 3 8" xfId="7450" xr:uid="{00000000-0005-0000-0000-000056700000}"/>
    <cellStyle name="Normal 3 3 3 8 2" xfId="15943" xr:uid="{00000000-0005-0000-0000-000057700000}"/>
    <cellStyle name="Normal 3 3 3 8 2 2" xfId="29350" xr:uid="{00000000-0005-0000-0000-000058700000}"/>
    <cellStyle name="Normal 3 3 3 8 3" xfId="31738" xr:uid="{00000000-0005-0000-0000-000059700000}"/>
    <cellStyle name="Normal 3 3 3 9" xfId="10202" xr:uid="{00000000-0005-0000-0000-00005A700000}"/>
    <cellStyle name="Normal 3 3 3 9 2" xfId="24405" xr:uid="{00000000-0005-0000-0000-00005B700000}"/>
    <cellStyle name="Normal 3 3 4" xfId="7451" xr:uid="{00000000-0005-0000-0000-00005C700000}"/>
    <cellStyle name="Normal 3 3 4 10" xfId="31739" xr:uid="{00000000-0005-0000-0000-00005D700000}"/>
    <cellStyle name="Normal 3 3 4 2" xfId="7452" xr:uid="{00000000-0005-0000-0000-00005E700000}"/>
    <cellStyle name="Normal 3 3 4 2 2" xfId="7453" xr:uid="{00000000-0005-0000-0000-00005F700000}"/>
    <cellStyle name="Normal 3 3 4 2 2 2" xfId="7454" xr:uid="{00000000-0005-0000-0000-000060700000}"/>
    <cellStyle name="Normal 3 3 4 2 2 2 2" xfId="7455" xr:uid="{00000000-0005-0000-0000-000061700000}"/>
    <cellStyle name="Normal 3 3 4 2 2 2 2 2" xfId="16999" xr:uid="{00000000-0005-0000-0000-000062700000}"/>
    <cellStyle name="Normal 3 3 4 2 2 2 2 2 2" xfId="30406" xr:uid="{00000000-0005-0000-0000-000063700000}"/>
    <cellStyle name="Normal 3 3 4 2 2 2 2 3" xfId="31743" xr:uid="{00000000-0005-0000-0000-000064700000}"/>
    <cellStyle name="Normal 3 3 4 2 2 2 3" xfId="11571" xr:uid="{00000000-0005-0000-0000-000065700000}"/>
    <cellStyle name="Normal 3 3 4 2 2 2 3 2" xfId="25402" xr:uid="{00000000-0005-0000-0000-000066700000}"/>
    <cellStyle name="Normal 3 3 4 2 2 2 4" xfId="31742" xr:uid="{00000000-0005-0000-0000-000067700000}"/>
    <cellStyle name="Normal 3 3 4 2 2 3" xfId="7456" xr:uid="{00000000-0005-0000-0000-000068700000}"/>
    <cellStyle name="Normal 3 3 4 2 2 3 2" xfId="12387" xr:uid="{00000000-0005-0000-0000-000069700000}"/>
    <cellStyle name="Normal 3 3 4 2 2 3 2 2" xfId="26099" xr:uid="{00000000-0005-0000-0000-00006A700000}"/>
    <cellStyle name="Normal 3 3 4 2 2 3 3" xfId="31744" xr:uid="{00000000-0005-0000-0000-00006B700000}"/>
    <cellStyle name="Normal 3 3 4 2 2 4" xfId="7457" xr:uid="{00000000-0005-0000-0000-00006C700000}"/>
    <cellStyle name="Normal 3 3 4 2 2 4 2" xfId="13951" xr:uid="{00000000-0005-0000-0000-00006D700000}"/>
    <cellStyle name="Normal 3 3 4 2 2 4 2 2" xfId="27500" xr:uid="{00000000-0005-0000-0000-00006E700000}"/>
    <cellStyle name="Normal 3 3 4 2 2 4 3" xfId="31745" xr:uid="{00000000-0005-0000-0000-00006F700000}"/>
    <cellStyle name="Normal 3 3 4 2 2 5" xfId="7458" xr:uid="{00000000-0005-0000-0000-000070700000}"/>
    <cellStyle name="Normal 3 3 4 2 2 5 2" xfId="14532" xr:uid="{00000000-0005-0000-0000-000071700000}"/>
    <cellStyle name="Normal 3 3 4 2 2 5 2 2" xfId="28081" xr:uid="{00000000-0005-0000-0000-000072700000}"/>
    <cellStyle name="Normal 3 3 4 2 2 5 3" xfId="31746" xr:uid="{00000000-0005-0000-0000-000073700000}"/>
    <cellStyle name="Normal 3 3 4 2 2 6" xfId="7459" xr:uid="{00000000-0005-0000-0000-000074700000}"/>
    <cellStyle name="Normal 3 3 4 2 2 6 2" xfId="16418" xr:uid="{00000000-0005-0000-0000-000075700000}"/>
    <cellStyle name="Normal 3 3 4 2 2 6 2 2" xfId="29825" xr:uid="{00000000-0005-0000-0000-000076700000}"/>
    <cellStyle name="Normal 3 3 4 2 2 6 3" xfId="31747" xr:uid="{00000000-0005-0000-0000-000077700000}"/>
    <cellStyle name="Normal 3 3 4 2 2 7" xfId="10208" xr:uid="{00000000-0005-0000-0000-000078700000}"/>
    <cellStyle name="Normal 3 3 4 2 2 7 2" xfId="24411" xr:uid="{00000000-0005-0000-0000-000079700000}"/>
    <cellStyle name="Normal 3 3 4 2 2 8" xfId="31741" xr:uid="{00000000-0005-0000-0000-00007A700000}"/>
    <cellStyle name="Normal 3 3 4 2 3" xfId="7460" xr:uid="{00000000-0005-0000-0000-00007B700000}"/>
    <cellStyle name="Normal 3 3 4 2 3 2" xfId="7461" xr:uid="{00000000-0005-0000-0000-00007C700000}"/>
    <cellStyle name="Normal 3 3 4 2 3 2 2" xfId="16710" xr:uid="{00000000-0005-0000-0000-00007D700000}"/>
    <cellStyle name="Normal 3 3 4 2 3 2 2 2" xfId="30117" xr:uid="{00000000-0005-0000-0000-00007E700000}"/>
    <cellStyle name="Normal 3 3 4 2 3 2 3" xfId="31749" xr:uid="{00000000-0005-0000-0000-00007F700000}"/>
    <cellStyle name="Normal 3 3 4 2 3 3" xfId="11570" xr:uid="{00000000-0005-0000-0000-000080700000}"/>
    <cellStyle name="Normal 3 3 4 2 3 3 2" xfId="25401" xr:uid="{00000000-0005-0000-0000-000081700000}"/>
    <cellStyle name="Normal 3 3 4 2 3 4" xfId="31748" xr:uid="{00000000-0005-0000-0000-000082700000}"/>
    <cellStyle name="Normal 3 3 4 2 4" xfId="7462" xr:uid="{00000000-0005-0000-0000-000083700000}"/>
    <cellStyle name="Normal 3 3 4 2 4 2" xfId="12087" xr:uid="{00000000-0005-0000-0000-000084700000}"/>
    <cellStyle name="Normal 3 3 4 2 4 2 2" xfId="25802" xr:uid="{00000000-0005-0000-0000-000085700000}"/>
    <cellStyle name="Normal 3 3 4 2 4 3" xfId="31750" xr:uid="{00000000-0005-0000-0000-000086700000}"/>
    <cellStyle name="Normal 3 3 4 2 5" xfId="7463" xr:uid="{00000000-0005-0000-0000-000087700000}"/>
    <cellStyle name="Normal 3 3 4 2 5 2" xfId="13662" xr:uid="{00000000-0005-0000-0000-000088700000}"/>
    <cellStyle name="Normal 3 3 4 2 5 2 2" xfId="27211" xr:uid="{00000000-0005-0000-0000-000089700000}"/>
    <cellStyle name="Normal 3 3 4 2 5 3" xfId="31751" xr:uid="{00000000-0005-0000-0000-00008A700000}"/>
    <cellStyle name="Normal 3 3 4 2 6" xfId="7464" xr:uid="{00000000-0005-0000-0000-00008B700000}"/>
    <cellStyle name="Normal 3 3 4 2 6 2" xfId="14243" xr:uid="{00000000-0005-0000-0000-00008C700000}"/>
    <cellStyle name="Normal 3 3 4 2 6 2 2" xfId="27792" xr:uid="{00000000-0005-0000-0000-00008D700000}"/>
    <cellStyle name="Normal 3 3 4 2 6 3" xfId="31752" xr:uid="{00000000-0005-0000-0000-00008E700000}"/>
    <cellStyle name="Normal 3 3 4 2 7" xfId="7465" xr:uid="{00000000-0005-0000-0000-00008F700000}"/>
    <cellStyle name="Normal 3 3 4 2 7 2" xfId="16129" xr:uid="{00000000-0005-0000-0000-000090700000}"/>
    <cellStyle name="Normal 3 3 4 2 7 2 2" xfId="29536" xr:uid="{00000000-0005-0000-0000-000091700000}"/>
    <cellStyle name="Normal 3 3 4 2 7 3" xfId="31753" xr:uid="{00000000-0005-0000-0000-000092700000}"/>
    <cellStyle name="Normal 3 3 4 2 8" xfId="10207" xr:uid="{00000000-0005-0000-0000-000093700000}"/>
    <cellStyle name="Normal 3 3 4 2 8 2" xfId="24410" xr:uid="{00000000-0005-0000-0000-000094700000}"/>
    <cellStyle name="Normal 3 3 4 2 9" xfId="31740" xr:uid="{00000000-0005-0000-0000-000095700000}"/>
    <cellStyle name="Normal 3 3 4 3" xfId="7466" xr:uid="{00000000-0005-0000-0000-000096700000}"/>
    <cellStyle name="Normal 3 3 4 3 2" xfId="7467" xr:uid="{00000000-0005-0000-0000-000097700000}"/>
    <cellStyle name="Normal 3 3 4 3 2 2" xfId="7468" xr:uid="{00000000-0005-0000-0000-000098700000}"/>
    <cellStyle name="Normal 3 3 4 3 2 2 2" xfId="16856" xr:uid="{00000000-0005-0000-0000-000099700000}"/>
    <cellStyle name="Normal 3 3 4 3 2 2 2 2" xfId="30263" xr:uid="{00000000-0005-0000-0000-00009A700000}"/>
    <cellStyle name="Normal 3 3 4 3 2 2 3" xfId="31756" xr:uid="{00000000-0005-0000-0000-00009B700000}"/>
    <cellStyle name="Normal 3 3 4 3 2 3" xfId="11572" xr:uid="{00000000-0005-0000-0000-00009C700000}"/>
    <cellStyle name="Normal 3 3 4 3 2 3 2" xfId="25403" xr:uid="{00000000-0005-0000-0000-00009D700000}"/>
    <cellStyle name="Normal 3 3 4 3 2 4" xfId="31755" xr:uid="{00000000-0005-0000-0000-00009E700000}"/>
    <cellStyle name="Normal 3 3 4 3 3" xfId="7469" xr:uid="{00000000-0005-0000-0000-00009F700000}"/>
    <cellStyle name="Normal 3 3 4 3 3 2" xfId="12244" xr:uid="{00000000-0005-0000-0000-0000A0700000}"/>
    <cellStyle name="Normal 3 3 4 3 3 2 2" xfId="25956" xr:uid="{00000000-0005-0000-0000-0000A1700000}"/>
    <cellStyle name="Normal 3 3 4 3 3 3" xfId="31757" xr:uid="{00000000-0005-0000-0000-0000A2700000}"/>
    <cellStyle name="Normal 3 3 4 3 4" xfId="7470" xr:uid="{00000000-0005-0000-0000-0000A3700000}"/>
    <cellStyle name="Normal 3 3 4 3 4 2" xfId="13808" xr:uid="{00000000-0005-0000-0000-0000A4700000}"/>
    <cellStyle name="Normal 3 3 4 3 4 2 2" xfId="27357" xr:uid="{00000000-0005-0000-0000-0000A5700000}"/>
    <cellStyle name="Normal 3 3 4 3 4 3" xfId="31758" xr:uid="{00000000-0005-0000-0000-0000A6700000}"/>
    <cellStyle name="Normal 3 3 4 3 5" xfId="7471" xr:uid="{00000000-0005-0000-0000-0000A7700000}"/>
    <cellStyle name="Normal 3 3 4 3 5 2" xfId="14389" xr:uid="{00000000-0005-0000-0000-0000A8700000}"/>
    <cellStyle name="Normal 3 3 4 3 5 2 2" xfId="27938" xr:uid="{00000000-0005-0000-0000-0000A9700000}"/>
    <cellStyle name="Normal 3 3 4 3 5 3" xfId="31759" xr:uid="{00000000-0005-0000-0000-0000AA700000}"/>
    <cellStyle name="Normal 3 3 4 3 6" xfId="7472" xr:uid="{00000000-0005-0000-0000-0000AB700000}"/>
    <cellStyle name="Normal 3 3 4 3 6 2" xfId="16275" xr:uid="{00000000-0005-0000-0000-0000AC700000}"/>
    <cellStyle name="Normal 3 3 4 3 6 2 2" xfId="29682" xr:uid="{00000000-0005-0000-0000-0000AD700000}"/>
    <cellStyle name="Normal 3 3 4 3 6 3" xfId="31760" xr:uid="{00000000-0005-0000-0000-0000AE700000}"/>
    <cellStyle name="Normal 3 3 4 3 7" xfId="10209" xr:uid="{00000000-0005-0000-0000-0000AF700000}"/>
    <cellStyle name="Normal 3 3 4 3 7 2" xfId="24412" xr:uid="{00000000-0005-0000-0000-0000B0700000}"/>
    <cellStyle name="Normal 3 3 4 3 8" xfId="31754" xr:uid="{00000000-0005-0000-0000-0000B1700000}"/>
    <cellStyle name="Normal 3 3 4 4" xfId="7473" xr:uid="{00000000-0005-0000-0000-0000B2700000}"/>
    <cellStyle name="Normal 3 3 4 4 2" xfId="7474" xr:uid="{00000000-0005-0000-0000-0000B3700000}"/>
    <cellStyle name="Normal 3 3 4 4 2 2" xfId="16567" xr:uid="{00000000-0005-0000-0000-0000B4700000}"/>
    <cellStyle name="Normal 3 3 4 4 2 2 2" xfId="29974" xr:uid="{00000000-0005-0000-0000-0000B5700000}"/>
    <cellStyle name="Normal 3 3 4 4 2 3" xfId="31762" xr:uid="{00000000-0005-0000-0000-0000B6700000}"/>
    <cellStyle name="Normal 3 3 4 4 3" xfId="11569" xr:uid="{00000000-0005-0000-0000-0000B7700000}"/>
    <cellStyle name="Normal 3 3 4 4 3 2" xfId="25400" xr:uid="{00000000-0005-0000-0000-0000B8700000}"/>
    <cellStyle name="Normal 3 3 4 4 4" xfId="31761" xr:uid="{00000000-0005-0000-0000-0000B9700000}"/>
    <cellStyle name="Normal 3 3 4 5" xfId="7475" xr:uid="{00000000-0005-0000-0000-0000BA700000}"/>
    <cellStyle name="Normal 3 3 4 5 2" xfId="11942" xr:uid="{00000000-0005-0000-0000-0000BB700000}"/>
    <cellStyle name="Normal 3 3 4 5 2 2" xfId="25657" xr:uid="{00000000-0005-0000-0000-0000BC700000}"/>
    <cellStyle name="Normal 3 3 4 5 3" xfId="31763" xr:uid="{00000000-0005-0000-0000-0000BD700000}"/>
    <cellStyle name="Normal 3 3 4 6" xfId="7476" xr:uid="{00000000-0005-0000-0000-0000BE700000}"/>
    <cellStyle name="Normal 3 3 4 6 2" xfId="13519" xr:uid="{00000000-0005-0000-0000-0000BF700000}"/>
    <cellStyle name="Normal 3 3 4 6 2 2" xfId="27068" xr:uid="{00000000-0005-0000-0000-0000C0700000}"/>
    <cellStyle name="Normal 3 3 4 6 3" xfId="31764" xr:uid="{00000000-0005-0000-0000-0000C1700000}"/>
    <cellStyle name="Normal 3 3 4 7" xfId="7477" xr:uid="{00000000-0005-0000-0000-0000C2700000}"/>
    <cellStyle name="Normal 3 3 4 7 2" xfId="14100" xr:uid="{00000000-0005-0000-0000-0000C3700000}"/>
    <cellStyle name="Normal 3 3 4 7 2 2" xfId="27649" xr:uid="{00000000-0005-0000-0000-0000C4700000}"/>
    <cellStyle name="Normal 3 3 4 7 3" xfId="31765" xr:uid="{00000000-0005-0000-0000-0000C5700000}"/>
    <cellStyle name="Normal 3 3 4 8" xfId="7478" xr:uid="{00000000-0005-0000-0000-0000C6700000}"/>
    <cellStyle name="Normal 3 3 4 8 2" xfId="15986" xr:uid="{00000000-0005-0000-0000-0000C7700000}"/>
    <cellStyle name="Normal 3 3 4 8 2 2" xfId="29393" xr:uid="{00000000-0005-0000-0000-0000C8700000}"/>
    <cellStyle name="Normal 3 3 4 8 3" xfId="31766" xr:uid="{00000000-0005-0000-0000-0000C9700000}"/>
    <cellStyle name="Normal 3 3 4 9" xfId="10206" xr:uid="{00000000-0005-0000-0000-0000CA700000}"/>
    <cellStyle name="Normal 3 3 4 9 2" xfId="24409" xr:uid="{00000000-0005-0000-0000-0000CB700000}"/>
    <cellStyle name="Normal 3 3 5" xfId="7479" xr:uid="{00000000-0005-0000-0000-0000CC700000}"/>
    <cellStyle name="Normal 3 3 5 2" xfId="7480" xr:uid="{00000000-0005-0000-0000-0000CD700000}"/>
    <cellStyle name="Normal 3 3 5 2 2" xfId="7481" xr:uid="{00000000-0005-0000-0000-0000CE700000}"/>
    <cellStyle name="Normal 3 3 5 2 2 2" xfId="7482" xr:uid="{00000000-0005-0000-0000-0000CF700000}"/>
    <cellStyle name="Normal 3 3 5 2 2 2 2" xfId="16910" xr:uid="{00000000-0005-0000-0000-0000D0700000}"/>
    <cellStyle name="Normal 3 3 5 2 2 2 2 2" xfId="30317" xr:uid="{00000000-0005-0000-0000-0000D1700000}"/>
    <cellStyle name="Normal 3 3 5 2 2 2 3" xfId="31770" xr:uid="{00000000-0005-0000-0000-0000D2700000}"/>
    <cellStyle name="Normal 3 3 5 2 2 3" xfId="11574" xr:uid="{00000000-0005-0000-0000-0000D3700000}"/>
    <cellStyle name="Normal 3 3 5 2 2 3 2" xfId="25405" xr:uid="{00000000-0005-0000-0000-0000D4700000}"/>
    <cellStyle name="Normal 3 3 5 2 2 4" xfId="31769" xr:uid="{00000000-0005-0000-0000-0000D5700000}"/>
    <cellStyle name="Normal 3 3 5 2 3" xfId="7483" xr:uid="{00000000-0005-0000-0000-0000D6700000}"/>
    <cellStyle name="Normal 3 3 5 2 3 2" xfId="12298" xr:uid="{00000000-0005-0000-0000-0000D7700000}"/>
    <cellStyle name="Normal 3 3 5 2 3 2 2" xfId="26010" xr:uid="{00000000-0005-0000-0000-0000D8700000}"/>
    <cellStyle name="Normal 3 3 5 2 3 3" xfId="31771" xr:uid="{00000000-0005-0000-0000-0000D9700000}"/>
    <cellStyle name="Normal 3 3 5 2 4" xfId="7484" xr:uid="{00000000-0005-0000-0000-0000DA700000}"/>
    <cellStyle name="Normal 3 3 5 2 4 2" xfId="13862" xr:uid="{00000000-0005-0000-0000-0000DB700000}"/>
    <cellStyle name="Normal 3 3 5 2 4 2 2" xfId="27411" xr:uid="{00000000-0005-0000-0000-0000DC700000}"/>
    <cellStyle name="Normal 3 3 5 2 4 3" xfId="31772" xr:uid="{00000000-0005-0000-0000-0000DD700000}"/>
    <cellStyle name="Normal 3 3 5 2 5" xfId="7485" xr:uid="{00000000-0005-0000-0000-0000DE700000}"/>
    <cellStyle name="Normal 3 3 5 2 5 2" xfId="14443" xr:uid="{00000000-0005-0000-0000-0000DF700000}"/>
    <cellStyle name="Normal 3 3 5 2 5 2 2" xfId="27992" xr:uid="{00000000-0005-0000-0000-0000E0700000}"/>
    <cellStyle name="Normal 3 3 5 2 5 3" xfId="31773" xr:uid="{00000000-0005-0000-0000-0000E1700000}"/>
    <cellStyle name="Normal 3 3 5 2 6" xfId="7486" xr:uid="{00000000-0005-0000-0000-0000E2700000}"/>
    <cellStyle name="Normal 3 3 5 2 6 2" xfId="16329" xr:uid="{00000000-0005-0000-0000-0000E3700000}"/>
    <cellStyle name="Normal 3 3 5 2 6 2 2" xfId="29736" xr:uid="{00000000-0005-0000-0000-0000E4700000}"/>
    <cellStyle name="Normal 3 3 5 2 6 3" xfId="31774" xr:uid="{00000000-0005-0000-0000-0000E5700000}"/>
    <cellStyle name="Normal 3 3 5 2 7" xfId="10211" xr:uid="{00000000-0005-0000-0000-0000E6700000}"/>
    <cellStyle name="Normal 3 3 5 2 7 2" xfId="24414" xr:uid="{00000000-0005-0000-0000-0000E7700000}"/>
    <cellStyle name="Normal 3 3 5 2 8" xfId="31768" xr:uid="{00000000-0005-0000-0000-0000E8700000}"/>
    <cellStyle name="Normal 3 3 5 3" xfId="7487" xr:uid="{00000000-0005-0000-0000-0000E9700000}"/>
    <cellStyle name="Normal 3 3 5 3 2" xfId="7488" xr:uid="{00000000-0005-0000-0000-0000EA700000}"/>
    <cellStyle name="Normal 3 3 5 3 2 2" xfId="16621" xr:uid="{00000000-0005-0000-0000-0000EB700000}"/>
    <cellStyle name="Normal 3 3 5 3 2 2 2" xfId="30028" xr:uid="{00000000-0005-0000-0000-0000EC700000}"/>
    <cellStyle name="Normal 3 3 5 3 2 3" xfId="31776" xr:uid="{00000000-0005-0000-0000-0000ED700000}"/>
    <cellStyle name="Normal 3 3 5 3 3" xfId="11573" xr:uid="{00000000-0005-0000-0000-0000EE700000}"/>
    <cellStyle name="Normal 3 3 5 3 3 2" xfId="25404" xr:uid="{00000000-0005-0000-0000-0000EF700000}"/>
    <cellStyle name="Normal 3 3 5 3 4" xfId="31775" xr:uid="{00000000-0005-0000-0000-0000F0700000}"/>
    <cellStyle name="Normal 3 3 5 4" xfId="7489" xr:uid="{00000000-0005-0000-0000-0000F1700000}"/>
    <cellStyle name="Normal 3 3 5 4 2" xfId="11998" xr:uid="{00000000-0005-0000-0000-0000F2700000}"/>
    <cellStyle name="Normal 3 3 5 4 2 2" xfId="25713" xr:uid="{00000000-0005-0000-0000-0000F3700000}"/>
    <cellStyle name="Normal 3 3 5 4 3" xfId="31777" xr:uid="{00000000-0005-0000-0000-0000F4700000}"/>
    <cellStyle name="Normal 3 3 5 5" xfId="7490" xr:uid="{00000000-0005-0000-0000-0000F5700000}"/>
    <cellStyle name="Normal 3 3 5 5 2" xfId="13573" xr:uid="{00000000-0005-0000-0000-0000F6700000}"/>
    <cellStyle name="Normal 3 3 5 5 2 2" xfId="27122" xr:uid="{00000000-0005-0000-0000-0000F7700000}"/>
    <cellStyle name="Normal 3 3 5 5 3" xfId="31778" xr:uid="{00000000-0005-0000-0000-0000F8700000}"/>
    <cellStyle name="Normal 3 3 5 6" xfId="7491" xr:uid="{00000000-0005-0000-0000-0000F9700000}"/>
    <cellStyle name="Normal 3 3 5 6 2" xfId="14154" xr:uid="{00000000-0005-0000-0000-0000FA700000}"/>
    <cellStyle name="Normal 3 3 5 6 2 2" xfId="27703" xr:uid="{00000000-0005-0000-0000-0000FB700000}"/>
    <cellStyle name="Normal 3 3 5 6 3" xfId="31779" xr:uid="{00000000-0005-0000-0000-0000FC700000}"/>
    <cellStyle name="Normal 3 3 5 7" xfId="7492" xr:uid="{00000000-0005-0000-0000-0000FD700000}"/>
    <cellStyle name="Normal 3 3 5 7 2" xfId="16040" xr:uid="{00000000-0005-0000-0000-0000FE700000}"/>
    <cellStyle name="Normal 3 3 5 7 2 2" xfId="29447" xr:uid="{00000000-0005-0000-0000-0000FF700000}"/>
    <cellStyle name="Normal 3 3 5 7 3" xfId="31780" xr:uid="{00000000-0005-0000-0000-000000710000}"/>
    <cellStyle name="Normal 3 3 5 8" xfId="10210" xr:uid="{00000000-0005-0000-0000-000001710000}"/>
    <cellStyle name="Normal 3 3 5 8 2" xfId="24413" xr:uid="{00000000-0005-0000-0000-000002710000}"/>
    <cellStyle name="Normal 3 3 5 9" xfId="31767" xr:uid="{00000000-0005-0000-0000-000003710000}"/>
    <cellStyle name="Normal 3 3 6" xfId="7493" xr:uid="{00000000-0005-0000-0000-000004710000}"/>
    <cellStyle name="Normal 3 3 6 2" xfId="7494" xr:uid="{00000000-0005-0000-0000-000005710000}"/>
    <cellStyle name="Normal 3 3 6 2 2" xfId="7495" xr:uid="{00000000-0005-0000-0000-000006710000}"/>
    <cellStyle name="Normal 3 3 6 2 2 2" xfId="16733" xr:uid="{00000000-0005-0000-0000-000007710000}"/>
    <cellStyle name="Normal 3 3 6 2 2 2 2" xfId="30140" xr:uid="{00000000-0005-0000-0000-000008710000}"/>
    <cellStyle name="Normal 3 3 6 2 2 3" xfId="31783" xr:uid="{00000000-0005-0000-0000-000009710000}"/>
    <cellStyle name="Normal 3 3 6 2 3" xfId="11575" xr:uid="{00000000-0005-0000-0000-00000A710000}"/>
    <cellStyle name="Normal 3 3 6 2 3 2" xfId="25406" xr:uid="{00000000-0005-0000-0000-00000B710000}"/>
    <cellStyle name="Normal 3 3 6 2 4" xfId="31782" xr:uid="{00000000-0005-0000-0000-00000C710000}"/>
    <cellStyle name="Normal 3 3 6 3" xfId="7496" xr:uid="{00000000-0005-0000-0000-00000D710000}"/>
    <cellStyle name="Normal 3 3 6 3 2" xfId="12121" xr:uid="{00000000-0005-0000-0000-00000E710000}"/>
    <cellStyle name="Normal 3 3 6 3 2 2" xfId="25833" xr:uid="{00000000-0005-0000-0000-00000F710000}"/>
    <cellStyle name="Normal 3 3 6 3 3" xfId="31784" xr:uid="{00000000-0005-0000-0000-000010710000}"/>
    <cellStyle name="Normal 3 3 6 4" xfId="7497" xr:uid="{00000000-0005-0000-0000-000011710000}"/>
    <cellStyle name="Normal 3 3 6 4 2" xfId="13685" xr:uid="{00000000-0005-0000-0000-000012710000}"/>
    <cellStyle name="Normal 3 3 6 4 2 2" xfId="27234" xr:uid="{00000000-0005-0000-0000-000013710000}"/>
    <cellStyle name="Normal 3 3 6 4 3" xfId="31785" xr:uid="{00000000-0005-0000-0000-000014710000}"/>
    <cellStyle name="Normal 3 3 6 5" xfId="7498" xr:uid="{00000000-0005-0000-0000-000015710000}"/>
    <cellStyle name="Normal 3 3 6 5 2" xfId="14266" xr:uid="{00000000-0005-0000-0000-000016710000}"/>
    <cellStyle name="Normal 3 3 6 5 2 2" xfId="27815" xr:uid="{00000000-0005-0000-0000-000017710000}"/>
    <cellStyle name="Normal 3 3 6 5 3" xfId="31786" xr:uid="{00000000-0005-0000-0000-000018710000}"/>
    <cellStyle name="Normal 3 3 6 6" xfId="7499" xr:uid="{00000000-0005-0000-0000-000019710000}"/>
    <cellStyle name="Normal 3 3 6 6 2" xfId="16152" xr:uid="{00000000-0005-0000-0000-00001A710000}"/>
    <cellStyle name="Normal 3 3 6 6 2 2" xfId="29559" xr:uid="{00000000-0005-0000-0000-00001B710000}"/>
    <cellStyle name="Normal 3 3 6 6 3" xfId="31787" xr:uid="{00000000-0005-0000-0000-00001C710000}"/>
    <cellStyle name="Normal 3 3 6 7" xfId="10212" xr:uid="{00000000-0005-0000-0000-00001D710000}"/>
    <cellStyle name="Normal 3 3 6 7 2" xfId="24415" xr:uid="{00000000-0005-0000-0000-00001E710000}"/>
    <cellStyle name="Normal 3 3 6 8" xfId="31781" xr:uid="{00000000-0005-0000-0000-00001F710000}"/>
    <cellStyle name="Normal 3 3 7" xfId="7500" xr:uid="{00000000-0005-0000-0000-000020710000}"/>
    <cellStyle name="Normal 3 3 7 2" xfId="7501" xr:uid="{00000000-0005-0000-0000-000021710000}"/>
    <cellStyle name="Normal 3 3 7 2 2" xfId="7502" xr:uid="{00000000-0005-0000-0000-000022710000}"/>
    <cellStyle name="Normal 3 3 7 2 2 2" xfId="17006" xr:uid="{00000000-0005-0000-0000-000023710000}"/>
    <cellStyle name="Normal 3 3 7 2 2 2 2" xfId="30413" xr:uid="{00000000-0005-0000-0000-000024710000}"/>
    <cellStyle name="Normal 3 3 7 2 2 3" xfId="31790" xr:uid="{00000000-0005-0000-0000-000025710000}"/>
    <cellStyle name="Normal 3 3 7 2 3" xfId="11576" xr:uid="{00000000-0005-0000-0000-000026710000}"/>
    <cellStyle name="Normal 3 3 7 2 3 2" xfId="25407" xr:uid="{00000000-0005-0000-0000-000027710000}"/>
    <cellStyle name="Normal 3 3 7 2 4" xfId="31789" xr:uid="{00000000-0005-0000-0000-000028710000}"/>
    <cellStyle name="Normal 3 3 7 3" xfId="7503" xr:uid="{00000000-0005-0000-0000-000029710000}"/>
    <cellStyle name="Normal 3 3 7 3 2" xfId="12395" xr:uid="{00000000-0005-0000-0000-00002A710000}"/>
    <cellStyle name="Normal 3 3 7 3 2 2" xfId="26107" xr:uid="{00000000-0005-0000-0000-00002B710000}"/>
    <cellStyle name="Normal 3 3 7 3 3" xfId="31791" xr:uid="{00000000-0005-0000-0000-00002C710000}"/>
    <cellStyle name="Normal 3 3 7 4" xfId="7504" xr:uid="{00000000-0005-0000-0000-00002D710000}"/>
    <cellStyle name="Normal 3 3 7 4 2" xfId="13958" xr:uid="{00000000-0005-0000-0000-00002E710000}"/>
    <cellStyle name="Normal 3 3 7 4 2 2" xfId="27507" xr:uid="{00000000-0005-0000-0000-00002F710000}"/>
    <cellStyle name="Normal 3 3 7 4 3" xfId="31792" xr:uid="{00000000-0005-0000-0000-000030710000}"/>
    <cellStyle name="Normal 3 3 7 5" xfId="7505" xr:uid="{00000000-0005-0000-0000-000031710000}"/>
    <cellStyle name="Normal 3 3 7 5 2" xfId="14539" xr:uid="{00000000-0005-0000-0000-000032710000}"/>
    <cellStyle name="Normal 3 3 7 5 2 2" xfId="28088" xr:uid="{00000000-0005-0000-0000-000033710000}"/>
    <cellStyle name="Normal 3 3 7 5 3" xfId="31793" xr:uid="{00000000-0005-0000-0000-000034710000}"/>
    <cellStyle name="Normal 3 3 7 6" xfId="7506" xr:uid="{00000000-0005-0000-0000-000035710000}"/>
    <cellStyle name="Normal 3 3 7 6 2" xfId="16425" xr:uid="{00000000-0005-0000-0000-000036710000}"/>
    <cellStyle name="Normal 3 3 7 6 2 2" xfId="29832" xr:uid="{00000000-0005-0000-0000-000037710000}"/>
    <cellStyle name="Normal 3 3 7 6 3" xfId="31794" xr:uid="{00000000-0005-0000-0000-000038710000}"/>
    <cellStyle name="Normal 3 3 7 7" xfId="10213" xr:uid="{00000000-0005-0000-0000-000039710000}"/>
    <cellStyle name="Normal 3 3 7 7 2" xfId="24416" xr:uid="{00000000-0005-0000-0000-00003A710000}"/>
    <cellStyle name="Normal 3 3 7 8" xfId="31788" xr:uid="{00000000-0005-0000-0000-00003B710000}"/>
    <cellStyle name="Normal 3 3 8" xfId="7507" xr:uid="{00000000-0005-0000-0000-00003C710000}"/>
    <cellStyle name="Normal 3 3 8 2" xfId="7508" xr:uid="{00000000-0005-0000-0000-00003D710000}"/>
    <cellStyle name="Normal 3 3 8 2 2" xfId="17042" xr:uid="{00000000-0005-0000-0000-00003E710000}"/>
    <cellStyle name="Normal 3 3 8 2 2 2" xfId="30443" xr:uid="{00000000-0005-0000-0000-00003F710000}"/>
    <cellStyle name="Normal 3 3 8 2 3" xfId="31796" xr:uid="{00000000-0005-0000-0000-000040710000}"/>
    <cellStyle name="Normal 3 3 8 3" xfId="11556" xr:uid="{00000000-0005-0000-0000-000041710000}"/>
    <cellStyle name="Normal 3 3 8 3 2" xfId="25387" xr:uid="{00000000-0005-0000-0000-000042710000}"/>
    <cellStyle name="Normal 3 3 8 4" xfId="31795" xr:uid="{00000000-0005-0000-0000-000043710000}"/>
    <cellStyle name="Normal 3 3 9" xfId="7509" xr:uid="{00000000-0005-0000-0000-000044710000}"/>
    <cellStyle name="Normal 3 3 9 2" xfId="7510" xr:uid="{00000000-0005-0000-0000-000045710000}"/>
    <cellStyle name="Normal 3 3 9 2 2" xfId="17114" xr:uid="{00000000-0005-0000-0000-000046710000}"/>
    <cellStyle name="Normal 3 3 9 2 2 2" xfId="30473" xr:uid="{00000000-0005-0000-0000-000047710000}"/>
    <cellStyle name="Normal 3 3 9 2 3" xfId="31798" xr:uid="{00000000-0005-0000-0000-000048710000}"/>
    <cellStyle name="Normal 3 3 9 3" xfId="11829" xr:uid="{00000000-0005-0000-0000-000049710000}"/>
    <cellStyle name="Normal 3 3 9 3 2" xfId="25544" xr:uid="{00000000-0005-0000-0000-00004A710000}"/>
    <cellStyle name="Normal 3 3 9 4" xfId="31797" xr:uid="{00000000-0005-0000-0000-00004B710000}"/>
    <cellStyle name="Normal 3 4" xfId="7511" xr:uid="{00000000-0005-0000-0000-00004C710000}"/>
    <cellStyle name="Normal 3 4 10" xfId="31799" xr:uid="{00000000-0005-0000-0000-00004D710000}"/>
    <cellStyle name="Normal 3 4 11" xfId="32926" xr:uid="{00000000-0005-0000-0000-00004E710000}"/>
    <cellStyle name="Normal 3 4 12" xfId="32986" xr:uid="{00000000-0005-0000-0000-00004F710000}"/>
    <cellStyle name="Normal 3 4 2" xfId="7512" xr:uid="{00000000-0005-0000-0000-000050710000}"/>
    <cellStyle name="Normal 3 4 2 10" xfId="33014" xr:uid="{00000000-0005-0000-0000-000051710000}"/>
    <cellStyle name="Normal 3 4 2 2" xfId="7513" xr:uid="{00000000-0005-0000-0000-000052710000}"/>
    <cellStyle name="Normal 3 4 2 2 2" xfId="7514" xr:uid="{00000000-0005-0000-0000-000053710000}"/>
    <cellStyle name="Normal 3 4 2 2 2 2" xfId="17001" xr:uid="{00000000-0005-0000-0000-000054710000}"/>
    <cellStyle name="Normal 3 4 2 2 2 2 2" xfId="30408" xr:uid="{00000000-0005-0000-0000-000055710000}"/>
    <cellStyle name="Normal 3 4 2 2 2 3" xfId="31802" xr:uid="{00000000-0005-0000-0000-000056710000}"/>
    <cellStyle name="Normal 3 4 2 2 3" xfId="11578" xr:uid="{00000000-0005-0000-0000-000057710000}"/>
    <cellStyle name="Normal 3 4 2 2 3 2" xfId="25409" xr:uid="{00000000-0005-0000-0000-000058710000}"/>
    <cellStyle name="Normal 3 4 2 2 4" xfId="31801" xr:uid="{00000000-0005-0000-0000-000059710000}"/>
    <cellStyle name="Normal 3 4 2 3" xfId="7515" xr:uid="{00000000-0005-0000-0000-00005A710000}"/>
    <cellStyle name="Normal 3 4 2 3 2" xfId="12389" xr:uid="{00000000-0005-0000-0000-00005B710000}"/>
    <cellStyle name="Normal 3 4 2 3 2 2" xfId="26101" xr:uid="{00000000-0005-0000-0000-00005C710000}"/>
    <cellStyle name="Normal 3 4 2 3 3" xfId="31803" xr:uid="{00000000-0005-0000-0000-00005D710000}"/>
    <cellStyle name="Normal 3 4 2 4" xfId="7516" xr:uid="{00000000-0005-0000-0000-00005E710000}"/>
    <cellStyle name="Normal 3 4 2 4 2" xfId="13953" xr:uid="{00000000-0005-0000-0000-00005F710000}"/>
    <cellStyle name="Normal 3 4 2 4 2 2" xfId="27502" xr:uid="{00000000-0005-0000-0000-000060710000}"/>
    <cellStyle name="Normal 3 4 2 4 3" xfId="31804" xr:uid="{00000000-0005-0000-0000-000061710000}"/>
    <cellStyle name="Normal 3 4 2 5" xfId="7517" xr:uid="{00000000-0005-0000-0000-000062710000}"/>
    <cellStyle name="Normal 3 4 2 5 2" xfId="14534" xr:uid="{00000000-0005-0000-0000-000063710000}"/>
    <cellStyle name="Normal 3 4 2 5 2 2" xfId="28083" xr:uid="{00000000-0005-0000-0000-000064710000}"/>
    <cellStyle name="Normal 3 4 2 5 3" xfId="31805" xr:uid="{00000000-0005-0000-0000-000065710000}"/>
    <cellStyle name="Normal 3 4 2 6" xfId="7518" xr:uid="{00000000-0005-0000-0000-000066710000}"/>
    <cellStyle name="Normal 3 4 2 6 2" xfId="16420" xr:uid="{00000000-0005-0000-0000-000067710000}"/>
    <cellStyle name="Normal 3 4 2 6 2 2" xfId="29827" xr:uid="{00000000-0005-0000-0000-000068710000}"/>
    <cellStyle name="Normal 3 4 2 6 3" xfId="31806" xr:uid="{00000000-0005-0000-0000-000069710000}"/>
    <cellStyle name="Normal 3 4 2 7" xfId="10214" xr:uid="{00000000-0005-0000-0000-00006A710000}"/>
    <cellStyle name="Normal 3 4 2 7 2" xfId="24417" xr:uid="{00000000-0005-0000-0000-00006B710000}"/>
    <cellStyle name="Normal 3 4 2 8" xfId="31800" xr:uid="{00000000-0005-0000-0000-00006C710000}"/>
    <cellStyle name="Normal 3 4 2 9" xfId="32956" xr:uid="{00000000-0005-0000-0000-00006D710000}"/>
    <cellStyle name="Normal 3 4 3" xfId="7519" xr:uid="{00000000-0005-0000-0000-00006E710000}"/>
    <cellStyle name="Normal 3 4 3 2" xfId="7520" xr:uid="{00000000-0005-0000-0000-00006F710000}"/>
    <cellStyle name="Normal 3 4 3 2 2" xfId="17044" xr:uid="{00000000-0005-0000-0000-000070710000}"/>
    <cellStyle name="Normal 3 4 3 2 2 2" xfId="30445" xr:uid="{00000000-0005-0000-0000-000071710000}"/>
    <cellStyle name="Normal 3 4 3 2 3" xfId="31808" xr:uid="{00000000-0005-0000-0000-000072710000}"/>
    <cellStyle name="Normal 3 4 3 3" xfId="10215" xr:uid="{00000000-0005-0000-0000-000073710000}"/>
    <cellStyle name="Normal 3 4 3 4" xfId="31807" xr:uid="{00000000-0005-0000-0000-000074710000}"/>
    <cellStyle name="Normal 3 4 4" xfId="7521" xr:uid="{00000000-0005-0000-0000-000075710000}"/>
    <cellStyle name="Normal 3 4 4 2" xfId="11577" xr:uid="{00000000-0005-0000-0000-000076710000}"/>
    <cellStyle name="Normal 3 4 4 2 2" xfId="25408" xr:uid="{00000000-0005-0000-0000-000077710000}"/>
    <cellStyle name="Normal 3 4 4 3" xfId="31809" xr:uid="{00000000-0005-0000-0000-000078710000}"/>
    <cellStyle name="Normal 3 4 5" xfId="7522" xr:uid="{00000000-0005-0000-0000-000079710000}"/>
    <cellStyle name="Normal 3 4 5 2" xfId="13264" xr:uid="{00000000-0005-0000-0000-00007A710000}"/>
    <cellStyle name="Normal 3 4 5 2 2" xfId="26898" xr:uid="{00000000-0005-0000-0000-00007B710000}"/>
    <cellStyle name="Normal 3 4 5 3" xfId="31810" xr:uid="{00000000-0005-0000-0000-00007C710000}"/>
    <cellStyle name="Normal 3 4 6" xfId="7523" xr:uid="{00000000-0005-0000-0000-00007D710000}"/>
    <cellStyle name="Normal 3 4 6 2" xfId="15704" xr:uid="{00000000-0005-0000-0000-00007E710000}"/>
    <cellStyle name="Normal 3 4 6 2 2" xfId="29190" xr:uid="{00000000-0005-0000-0000-00007F710000}"/>
    <cellStyle name="Normal 3 4 6 3" xfId="31811" xr:uid="{00000000-0005-0000-0000-000080710000}"/>
    <cellStyle name="Normal 3 4 7" xfId="7524" xr:uid="{00000000-0005-0000-0000-000081710000}"/>
    <cellStyle name="Normal 3 4 7 2" xfId="15812" xr:uid="{00000000-0005-0000-0000-000082710000}"/>
    <cellStyle name="Normal 3 4 7 2 2" xfId="29219" xr:uid="{00000000-0005-0000-0000-000083710000}"/>
    <cellStyle name="Normal 3 4 7 3" xfId="31812" xr:uid="{00000000-0005-0000-0000-000084710000}"/>
    <cellStyle name="Normal 3 4 8" xfId="8688" xr:uid="{00000000-0005-0000-0000-000085710000}"/>
    <cellStyle name="Normal 3 4 8 2" xfId="17313" xr:uid="{00000000-0005-0000-0000-000086710000}"/>
    <cellStyle name="Normal 3 4 8 2 2" xfId="30666" xr:uid="{00000000-0005-0000-0000-000087710000}"/>
    <cellStyle name="Normal 3 4 8 3" xfId="23218" xr:uid="{00000000-0005-0000-0000-000088710000}"/>
    <cellStyle name="Normal 3 4 9" xfId="8797" xr:uid="{00000000-0005-0000-0000-000089710000}"/>
    <cellStyle name="Normal 3 4 9 2" xfId="23275" xr:uid="{00000000-0005-0000-0000-00008A710000}"/>
    <cellStyle name="Normal 3 5" xfId="7525" xr:uid="{00000000-0005-0000-0000-00008B710000}"/>
    <cellStyle name="Normal 3 5 10" xfId="32994" xr:uid="{00000000-0005-0000-0000-00008C710000}"/>
    <cellStyle name="Normal 3 5 2" xfId="7526" xr:uid="{00000000-0005-0000-0000-00008D710000}"/>
    <cellStyle name="Normal 3 5 2 2" xfId="11579" xr:uid="{00000000-0005-0000-0000-00008E710000}"/>
    <cellStyle name="Normal 3 5 2 2 2" xfId="25410" xr:uid="{00000000-0005-0000-0000-00008F710000}"/>
    <cellStyle name="Normal 3 5 2 3" xfId="31814" xr:uid="{00000000-0005-0000-0000-000090710000}"/>
    <cellStyle name="Normal 3 5 2 4" xfId="32957" xr:uid="{00000000-0005-0000-0000-000091710000}"/>
    <cellStyle name="Normal 3 5 2 5" xfId="33015" xr:uid="{00000000-0005-0000-0000-000092710000}"/>
    <cellStyle name="Normal 3 5 3" xfId="7527" xr:uid="{00000000-0005-0000-0000-000093710000}"/>
    <cellStyle name="Normal 3 5 3 2" xfId="13265" xr:uid="{00000000-0005-0000-0000-000094710000}"/>
    <cellStyle name="Normal 3 5 3 2 2" xfId="26899" xr:uid="{00000000-0005-0000-0000-000095710000}"/>
    <cellStyle name="Normal 3 5 3 3" xfId="31815" xr:uid="{00000000-0005-0000-0000-000096710000}"/>
    <cellStyle name="Normal 3 5 4" xfId="7528" xr:uid="{00000000-0005-0000-0000-000097710000}"/>
    <cellStyle name="Normal 3 5 4 2" xfId="15705" xr:uid="{00000000-0005-0000-0000-000098710000}"/>
    <cellStyle name="Normal 3 5 4 2 2" xfId="29191" xr:uid="{00000000-0005-0000-0000-000099710000}"/>
    <cellStyle name="Normal 3 5 4 3" xfId="31816" xr:uid="{00000000-0005-0000-0000-00009A710000}"/>
    <cellStyle name="Normal 3 5 5" xfId="7529" xr:uid="{00000000-0005-0000-0000-00009B710000}"/>
    <cellStyle name="Normal 3 5 5 2" xfId="15813" xr:uid="{00000000-0005-0000-0000-00009C710000}"/>
    <cellStyle name="Normal 3 5 5 2 2" xfId="29220" xr:uid="{00000000-0005-0000-0000-00009D710000}"/>
    <cellStyle name="Normal 3 5 5 3" xfId="31817" xr:uid="{00000000-0005-0000-0000-00009E710000}"/>
    <cellStyle name="Normal 3 5 6" xfId="8703" xr:uid="{00000000-0005-0000-0000-00009F710000}"/>
    <cellStyle name="Normal 3 5 6 2" xfId="17321" xr:uid="{00000000-0005-0000-0000-0000A0710000}"/>
    <cellStyle name="Normal 3 5 6 2 2" xfId="30674" xr:uid="{00000000-0005-0000-0000-0000A1710000}"/>
    <cellStyle name="Normal 3 5 6 3" xfId="23226" xr:uid="{00000000-0005-0000-0000-0000A2710000}"/>
    <cellStyle name="Normal 3 5 7" xfId="8805" xr:uid="{00000000-0005-0000-0000-0000A3710000}"/>
    <cellStyle name="Normal 3 5 7 2" xfId="23283" xr:uid="{00000000-0005-0000-0000-0000A4710000}"/>
    <cellStyle name="Normal 3 5 8" xfId="31813" xr:uid="{00000000-0005-0000-0000-0000A5710000}"/>
    <cellStyle name="Normal 3 5 9" xfId="32934" xr:uid="{00000000-0005-0000-0000-0000A6710000}"/>
    <cellStyle name="Normal 3 6" xfId="7530" xr:uid="{00000000-0005-0000-0000-0000A7710000}"/>
    <cellStyle name="Normal 3 6 10" xfId="32993" xr:uid="{00000000-0005-0000-0000-0000A8710000}"/>
    <cellStyle name="Normal 3 6 2" xfId="7531" xr:uid="{00000000-0005-0000-0000-0000A9710000}"/>
    <cellStyle name="Normal 3 6 2 2" xfId="11580" xr:uid="{00000000-0005-0000-0000-0000AA710000}"/>
    <cellStyle name="Normal 3 6 2 2 2" xfId="25411" xr:uid="{00000000-0005-0000-0000-0000AB710000}"/>
    <cellStyle name="Normal 3 6 2 3" xfId="31819" xr:uid="{00000000-0005-0000-0000-0000AC710000}"/>
    <cellStyle name="Normal 3 6 2 4" xfId="32958" xr:uid="{00000000-0005-0000-0000-0000AD710000}"/>
    <cellStyle name="Normal 3 6 2 5" xfId="33016" xr:uid="{00000000-0005-0000-0000-0000AE710000}"/>
    <cellStyle name="Normal 3 6 3" xfId="7532" xr:uid="{00000000-0005-0000-0000-0000AF710000}"/>
    <cellStyle name="Normal 3 6 3 2" xfId="13266" xr:uid="{00000000-0005-0000-0000-0000B0710000}"/>
    <cellStyle name="Normal 3 6 3 2 2" xfId="26900" xr:uid="{00000000-0005-0000-0000-0000B1710000}"/>
    <cellStyle name="Normal 3 6 3 3" xfId="31820" xr:uid="{00000000-0005-0000-0000-0000B2710000}"/>
    <cellStyle name="Normal 3 6 4" xfId="7533" xr:uid="{00000000-0005-0000-0000-0000B3710000}"/>
    <cellStyle name="Normal 3 6 4 2" xfId="15706" xr:uid="{00000000-0005-0000-0000-0000B4710000}"/>
    <cellStyle name="Normal 3 6 4 2 2" xfId="29192" xr:uid="{00000000-0005-0000-0000-0000B5710000}"/>
    <cellStyle name="Normal 3 6 4 3" xfId="31821" xr:uid="{00000000-0005-0000-0000-0000B6710000}"/>
    <cellStyle name="Normal 3 6 5" xfId="7534" xr:uid="{00000000-0005-0000-0000-0000B7710000}"/>
    <cellStyle name="Normal 3 6 5 2" xfId="15814" xr:uid="{00000000-0005-0000-0000-0000B8710000}"/>
    <cellStyle name="Normal 3 6 5 2 2" xfId="29221" xr:uid="{00000000-0005-0000-0000-0000B9710000}"/>
    <cellStyle name="Normal 3 6 5 3" xfId="31822" xr:uid="{00000000-0005-0000-0000-0000BA710000}"/>
    <cellStyle name="Normal 3 6 6" xfId="8701" xr:uid="{00000000-0005-0000-0000-0000BB710000}"/>
    <cellStyle name="Normal 3 6 6 2" xfId="17320" xr:uid="{00000000-0005-0000-0000-0000BC710000}"/>
    <cellStyle name="Normal 3 6 6 2 2" xfId="30673" xr:uid="{00000000-0005-0000-0000-0000BD710000}"/>
    <cellStyle name="Normal 3 6 6 3" xfId="23225" xr:uid="{00000000-0005-0000-0000-0000BE710000}"/>
    <cellStyle name="Normal 3 6 7" xfId="8804" xr:uid="{00000000-0005-0000-0000-0000BF710000}"/>
    <cellStyle name="Normal 3 6 7 2" xfId="23282" xr:uid="{00000000-0005-0000-0000-0000C0710000}"/>
    <cellStyle name="Normal 3 6 8" xfId="31818" xr:uid="{00000000-0005-0000-0000-0000C1710000}"/>
    <cellStyle name="Normal 3 6 9" xfId="32933" xr:uid="{00000000-0005-0000-0000-0000C2710000}"/>
    <cellStyle name="Normal 3 7" xfId="7535" xr:uid="{00000000-0005-0000-0000-0000C3710000}"/>
    <cellStyle name="Normal 3 7 10" xfId="32999" xr:uid="{00000000-0005-0000-0000-0000C4710000}"/>
    <cellStyle name="Normal 3 7 2" xfId="7536" xr:uid="{00000000-0005-0000-0000-0000C5710000}"/>
    <cellStyle name="Normal 3 7 2 2" xfId="11581" xr:uid="{00000000-0005-0000-0000-0000C6710000}"/>
    <cellStyle name="Normal 3 7 2 2 2" xfId="25412" xr:uid="{00000000-0005-0000-0000-0000C7710000}"/>
    <cellStyle name="Normal 3 7 2 3" xfId="31824" xr:uid="{00000000-0005-0000-0000-0000C8710000}"/>
    <cellStyle name="Normal 3 7 2 4" xfId="32959" xr:uid="{00000000-0005-0000-0000-0000C9710000}"/>
    <cellStyle name="Normal 3 7 2 5" xfId="33017" xr:uid="{00000000-0005-0000-0000-0000CA710000}"/>
    <cellStyle name="Normal 3 7 3" xfId="7537" xr:uid="{00000000-0005-0000-0000-0000CB710000}"/>
    <cellStyle name="Normal 3 7 3 2" xfId="13267" xr:uid="{00000000-0005-0000-0000-0000CC710000}"/>
    <cellStyle name="Normal 3 7 3 2 2" xfId="26901" xr:uid="{00000000-0005-0000-0000-0000CD710000}"/>
    <cellStyle name="Normal 3 7 3 3" xfId="31825" xr:uid="{00000000-0005-0000-0000-0000CE710000}"/>
    <cellStyle name="Normal 3 7 4" xfId="7538" xr:uid="{00000000-0005-0000-0000-0000CF710000}"/>
    <cellStyle name="Normal 3 7 4 2" xfId="15707" xr:uid="{00000000-0005-0000-0000-0000D0710000}"/>
    <cellStyle name="Normal 3 7 4 2 2" xfId="29193" xr:uid="{00000000-0005-0000-0000-0000D1710000}"/>
    <cellStyle name="Normal 3 7 4 3" xfId="31826" xr:uid="{00000000-0005-0000-0000-0000D2710000}"/>
    <cellStyle name="Normal 3 7 5" xfId="7539" xr:uid="{00000000-0005-0000-0000-0000D3710000}"/>
    <cellStyle name="Normal 3 7 5 2" xfId="15815" xr:uid="{00000000-0005-0000-0000-0000D4710000}"/>
    <cellStyle name="Normal 3 7 5 2 2" xfId="29222" xr:uid="{00000000-0005-0000-0000-0000D5710000}"/>
    <cellStyle name="Normal 3 7 5 3" xfId="31827" xr:uid="{00000000-0005-0000-0000-0000D6710000}"/>
    <cellStyle name="Normal 3 7 6" xfId="8714" xr:uid="{00000000-0005-0000-0000-0000D7710000}"/>
    <cellStyle name="Normal 3 7 6 2" xfId="17326" xr:uid="{00000000-0005-0000-0000-0000D8710000}"/>
    <cellStyle name="Normal 3 7 6 2 2" xfId="30679" xr:uid="{00000000-0005-0000-0000-0000D9710000}"/>
    <cellStyle name="Normal 3 7 6 3" xfId="23233" xr:uid="{00000000-0005-0000-0000-0000DA710000}"/>
    <cellStyle name="Normal 3 7 7" xfId="8810" xr:uid="{00000000-0005-0000-0000-0000DB710000}"/>
    <cellStyle name="Normal 3 7 7 2" xfId="23288" xr:uid="{00000000-0005-0000-0000-0000DC710000}"/>
    <cellStyle name="Normal 3 7 8" xfId="31823" xr:uid="{00000000-0005-0000-0000-0000DD710000}"/>
    <cellStyle name="Normal 3 7 9" xfId="32940" xr:uid="{00000000-0005-0000-0000-0000DE710000}"/>
    <cellStyle name="Normal 3 8" xfId="7540" xr:uid="{00000000-0005-0000-0000-0000DF710000}"/>
    <cellStyle name="Normal 3 8 10" xfId="33000" xr:uid="{00000000-0005-0000-0000-0000E0710000}"/>
    <cellStyle name="Normal 3 8 2" xfId="7541" xr:uid="{00000000-0005-0000-0000-0000E1710000}"/>
    <cellStyle name="Normal 3 8 2 2" xfId="11582" xr:uid="{00000000-0005-0000-0000-0000E2710000}"/>
    <cellStyle name="Normal 3 8 2 2 2" xfId="25413" xr:uid="{00000000-0005-0000-0000-0000E3710000}"/>
    <cellStyle name="Normal 3 8 2 3" xfId="31829" xr:uid="{00000000-0005-0000-0000-0000E4710000}"/>
    <cellStyle name="Normal 3 8 2 4" xfId="32960" xr:uid="{00000000-0005-0000-0000-0000E5710000}"/>
    <cellStyle name="Normal 3 8 2 5" xfId="33018" xr:uid="{00000000-0005-0000-0000-0000E6710000}"/>
    <cellStyle name="Normal 3 8 3" xfId="7542" xr:uid="{00000000-0005-0000-0000-0000E7710000}"/>
    <cellStyle name="Normal 3 8 3 2" xfId="13268" xr:uid="{00000000-0005-0000-0000-0000E8710000}"/>
    <cellStyle name="Normal 3 8 3 2 2" xfId="26902" xr:uid="{00000000-0005-0000-0000-0000E9710000}"/>
    <cellStyle name="Normal 3 8 3 3" xfId="31830" xr:uid="{00000000-0005-0000-0000-0000EA710000}"/>
    <cellStyle name="Normal 3 8 4" xfId="7543" xr:uid="{00000000-0005-0000-0000-0000EB710000}"/>
    <cellStyle name="Normal 3 8 4 2" xfId="15708" xr:uid="{00000000-0005-0000-0000-0000EC710000}"/>
    <cellStyle name="Normal 3 8 4 2 2" xfId="29194" xr:uid="{00000000-0005-0000-0000-0000ED710000}"/>
    <cellStyle name="Normal 3 8 4 3" xfId="31831" xr:uid="{00000000-0005-0000-0000-0000EE710000}"/>
    <cellStyle name="Normal 3 8 5" xfId="7544" xr:uid="{00000000-0005-0000-0000-0000EF710000}"/>
    <cellStyle name="Normal 3 8 5 2" xfId="15816" xr:uid="{00000000-0005-0000-0000-0000F0710000}"/>
    <cellStyle name="Normal 3 8 5 2 2" xfId="29223" xr:uid="{00000000-0005-0000-0000-0000F1710000}"/>
    <cellStyle name="Normal 3 8 5 3" xfId="31832" xr:uid="{00000000-0005-0000-0000-0000F2710000}"/>
    <cellStyle name="Normal 3 8 6" xfId="8716" xr:uid="{00000000-0005-0000-0000-0000F3710000}"/>
    <cellStyle name="Normal 3 8 6 2" xfId="17327" xr:uid="{00000000-0005-0000-0000-0000F4710000}"/>
    <cellStyle name="Normal 3 8 6 2 2" xfId="30680" xr:uid="{00000000-0005-0000-0000-0000F5710000}"/>
    <cellStyle name="Normal 3 8 6 3" xfId="23234" xr:uid="{00000000-0005-0000-0000-0000F6710000}"/>
    <cellStyle name="Normal 3 8 7" xfId="8811" xr:uid="{00000000-0005-0000-0000-0000F7710000}"/>
    <cellStyle name="Normal 3 8 7 2" xfId="23289" xr:uid="{00000000-0005-0000-0000-0000F8710000}"/>
    <cellStyle name="Normal 3 8 8" xfId="31828" xr:uid="{00000000-0005-0000-0000-0000F9710000}"/>
    <cellStyle name="Normal 3 8 9" xfId="32941" xr:uid="{00000000-0005-0000-0000-0000FA710000}"/>
    <cellStyle name="Normal 3 9" xfId="7545" xr:uid="{00000000-0005-0000-0000-0000FB710000}"/>
    <cellStyle name="Normal 3 9 10" xfId="33001" xr:uid="{00000000-0005-0000-0000-0000FC710000}"/>
    <cellStyle name="Normal 3 9 2" xfId="7546" xr:uid="{00000000-0005-0000-0000-0000FD710000}"/>
    <cellStyle name="Normal 3 9 2 2" xfId="11583" xr:uid="{00000000-0005-0000-0000-0000FE710000}"/>
    <cellStyle name="Normal 3 9 2 2 2" xfId="25414" xr:uid="{00000000-0005-0000-0000-0000FF710000}"/>
    <cellStyle name="Normal 3 9 2 3" xfId="31834" xr:uid="{00000000-0005-0000-0000-000000720000}"/>
    <cellStyle name="Normal 3 9 2 4" xfId="32961" xr:uid="{00000000-0005-0000-0000-000001720000}"/>
    <cellStyle name="Normal 3 9 2 5" xfId="33019" xr:uid="{00000000-0005-0000-0000-000002720000}"/>
    <cellStyle name="Normal 3 9 3" xfId="7547" xr:uid="{00000000-0005-0000-0000-000003720000}"/>
    <cellStyle name="Normal 3 9 3 2" xfId="13269" xr:uid="{00000000-0005-0000-0000-000004720000}"/>
    <cellStyle name="Normal 3 9 3 2 2" xfId="26903" xr:uid="{00000000-0005-0000-0000-000005720000}"/>
    <cellStyle name="Normal 3 9 3 3" xfId="31835" xr:uid="{00000000-0005-0000-0000-000006720000}"/>
    <cellStyle name="Normal 3 9 4" xfId="7548" xr:uid="{00000000-0005-0000-0000-000007720000}"/>
    <cellStyle name="Normal 3 9 4 2" xfId="15709" xr:uid="{00000000-0005-0000-0000-000008720000}"/>
    <cellStyle name="Normal 3 9 4 2 2" xfId="29195" xr:uid="{00000000-0005-0000-0000-000009720000}"/>
    <cellStyle name="Normal 3 9 4 3" xfId="31836" xr:uid="{00000000-0005-0000-0000-00000A720000}"/>
    <cellStyle name="Normal 3 9 5" xfId="7549" xr:uid="{00000000-0005-0000-0000-00000B720000}"/>
    <cellStyle name="Normal 3 9 5 2" xfId="15817" xr:uid="{00000000-0005-0000-0000-00000C720000}"/>
    <cellStyle name="Normal 3 9 5 2 2" xfId="29224" xr:uid="{00000000-0005-0000-0000-00000D720000}"/>
    <cellStyle name="Normal 3 9 5 3" xfId="31837" xr:uid="{00000000-0005-0000-0000-00000E720000}"/>
    <cellStyle name="Normal 3 9 6" xfId="8717" xr:uid="{00000000-0005-0000-0000-00000F720000}"/>
    <cellStyle name="Normal 3 9 6 2" xfId="17328" xr:uid="{00000000-0005-0000-0000-000010720000}"/>
    <cellStyle name="Normal 3 9 6 2 2" xfId="30681" xr:uid="{00000000-0005-0000-0000-000011720000}"/>
    <cellStyle name="Normal 3 9 6 3" xfId="23235" xr:uid="{00000000-0005-0000-0000-000012720000}"/>
    <cellStyle name="Normal 3 9 7" xfId="8812" xr:uid="{00000000-0005-0000-0000-000013720000}"/>
    <cellStyle name="Normal 3 9 7 2" xfId="23290" xr:uid="{00000000-0005-0000-0000-000014720000}"/>
    <cellStyle name="Normal 3 9 8" xfId="31833" xr:uid="{00000000-0005-0000-0000-000015720000}"/>
    <cellStyle name="Normal 3 9 9" xfId="32942" xr:uid="{00000000-0005-0000-0000-000016720000}"/>
    <cellStyle name="Normal 30" xfId="33111" xr:uid="{5AFE32A3-FC69-44A0-B2A5-9D4161E9FDBC}"/>
    <cellStyle name="Normal 31" xfId="33112" xr:uid="{DBC55734-E31F-40C0-9518-8FDEB5591311}"/>
    <cellStyle name="Normal 34" xfId="7550" xr:uid="{00000000-0005-0000-0000-000017720000}"/>
    <cellStyle name="Normal 34 2" xfId="17045" xr:uid="{00000000-0005-0000-0000-000018720000}"/>
    <cellStyle name="Normal 34 3" xfId="31838" xr:uid="{00000000-0005-0000-0000-000019720000}"/>
    <cellStyle name="Normal 4" xfId="7551" xr:uid="{00000000-0005-0000-0000-00001A720000}"/>
    <cellStyle name="Normal 4 10" xfId="8790" xr:uid="{00000000-0005-0000-0000-00001B720000}"/>
    <cellStyle name="Normal 4 10 2" xfId="23268" xr:uid="{00000000-0005-0000-0000-00001C720000}"/>
    <cellStyle name="Normal 4 11" xfId="32912" xr:uid="{00000000-0005-0000-0000-00001D720000}"/>
    <cellStyle name="Normal 4 12" xfId="32975" xr:uid="{00000000-0005-0000-0000-00001E720000}"/>
    <cellStyle name="Normal 4 2" xfId="7552" xr:uid="{00000000-0005-0000-0000-00001F720000}"/>
    <cellStyle name="Normal 4 2 10" xfId="8794" xr:uid="{00000000-0005-0000-0000-000020720000}"/>
    <cellStyle name="Normal 4 2 10 2" xfId="23272" xr:uid="{00000000-0005-0000-0000-000021720000}"/>
    <cellStyle name="Normal 4 2 11" xfId="32923" xr:uid="{00000000-0005-0000-0000-000022720000}"/>
    <cellStyle name="Normal 4 2 12" xfId="32983" xr:uid="{00000000-0005-0000-0000-000023720000}"/>
    <cellStyle name="Normal 4 2 13" xfId="33040" xr:uid="{00000000-0005-0000-0000-000024720000}"/>
    <cellStyle name="Normal 4 2 2" xfId="7553" xr:uid="{00000000-0005-0000-0000-000025720000}"/>
    <cellStyle name="Normal 4 2 2 2" xfId="7554" xr:uid="{00000000-0005-0000-0000-000026720000}"/>
    <cellStyle name="Normal 4 2 2 2 2" xfId="11730" xr:uid="{00000000-0005-0000-0000-000027720000}"/>
    <cellStyle name="Normal 4 2 2 2 2 2" xfId="25449" xr:uid="{00000000-0005-0000-0000-000028720000}"/>
    <cellStyle name="Normal 4 2 2 2 3" xfId="31839" xr:uid="{00000000-0005-0000-0000-000029720000}"/>
    <cellStyle name="Normal 4 2 2 3" xfId="7555" xr:uid="{00000000-0005-0000-0000-00002A720000}"/>
    <cellStyle name="Normal 4 2 2 3 2" xfId="17046" xr:uid="{00000000-0005-0000-0000-00002B720000}"/>
    <cellStyle name="Normal 4 2 2 3 2 2" xfId="30446" xr:uid="{00000000-0005-0000-0000-00002C720000}"/>
    <cellStyle name="Normal 4 2 2 3 3" xfId="31840" xr:uid="{00000000-0005-0000-0000-00002D720000}"/>
    <cellStyle name="Normal 4 2 2 4" xfId="10216" xr:uid="{00000000-0005-0000-0000-00002E720000}"/>
    <cellStyle name="Normal 4 2 2 5" xfId="32963" xr:uid="{00000000-0005-0000-0000-00002F720000}"/>
    <cellStyle name="Normal 4 2 2 6" xfId="33021" xr:uid="{00000000-0005-0000-0000-000030720000}"/>
    <cellStyle name="Normal 4 2 3" xfId="7556" xr:uid="{00000000-0005-0000-0000-000031720000}"/>
    <cellStyle name="Normal 4 2 3 2" xfId="7557" xr:uid="{00000000-0005-0000-0000-000032720000}"/>
    <cellStyle name="Normal 4 2 3 2 2" xfId="10218" xr:uid="{00000000-0005-0000-0000-000033720000}"/>
    <cellStyle name="Normal 4 2 3 3" xfId="7558" xr:uid="{00000000-0005-0000-0000-000034720000}"/>
    <cellStyle name="Normal 4 2 3 3 2" xfId="13271" xr:uid="{00000000-0005-0000-0000-000035720000}"/>
    <cellStyle name="Normal 4 2 3 4" xfId="10217" xr:uid="{00000000-0005-0000-0000-000036720000}"/>
    <cellStyle name="Normal 4 2 4" xfId="7559" xr:uid="{00000000-0005-0000-0000-000037720000}"/>
    <cellStyle name="Normal 4 2 4 2" xfId="7560" xr:uid="{00000000-0005-0000-0000-000038720000}"/>
    <cellStyle name="Normal 4 2 4 2 2" xfId="13272" xr:uid="{00000000-0005-0000-0000-000039720000}"/>
    <cellStyle name="Normal 4 2 4 3" xfId="10523" xr:uid="{00000000-0005-0000-0000-00003A720000}"/>
    <cellStyle name="Normal 4 2 5" xfId="7561" xr:uid="{00000000-0005-0000-0000-00003B720000}"/>
    <cellStyle name="Normal 4 2 5 2" xfId="7562" xr:uid="{00000000-0005-0000-0000-00003C720000}"/>
    <cellStyle name="Normal 4 2 5 2 2" xfId="13273" xr:uid="{00000000-0005-0000-0000-00003D720000}"/>
    <cellStyle name="Normal 4 2 5 2 2 2" xfId="26905" xr:uid="{00000000-0005-0000-0000-00003E720000}"/>
    <cellStyle name="Normal 4 2 5 2 3" xfId="31842" xr:uid="{00000000-0005-0000-0000-00003F720000}"/>
    <cellStyle name="Normal 4 2 5 3" xfId="7563" xr:uid="{00000000-0005-0000-0000-000040720000}"/>
    <cellStyle name="Normal 4 2 5 3 2" xfId="15711" xr:uid="{00000000-0005-0000-0000-000041720000}"/>
    <cellStyle name="Normal 4 2 5 3 2 2" xfId="29197" xr:uid="{00000000-0005-0000-0000-000042720000}"/>
    <cellStyle name="Normal 4 2 5 3 3" xfId="31843" xr:uid="{00000000-0005-0000-0000-000043720000}"/>
    <cellStyle name="Normal 4 2 5 4" xfId="11585" xr:uid="{00000000-0005-0000-0000-000044720000}"/>
    <cellStyle name="Normal 4 2 5 4 2" xfId="25416" xr:uid="{00000000-0005-0000-0000-000045720000}"/>
    <cellStyle name="Normal 4 2 5 5" xfId="31841" xr:uid="{00000000-0005-0000-0000-000046720000}"/>
    <cellStyle name="Normal 4 2 6" xfId="7564" xr:uid="{00000000-0005-0000-0000-000047720000}"/>
    <cellStyle name="Normal 4 2 6 2" xfId="13270" xr:uid="{00000000-0005-0000-0000-000048720000}"/>
    <cellStyle name="Normal 4 2 6 2 2" xfId="26904" xr:uid="{00000000-0005-0000-0000-000049720000}"/>
    <cellStyle name="Normal 4 2 6 3" xfId="31844" xr:uid="{00000000-0005-0000-0000-00004A720000}"/>
    <cellStyle name="Normal 4 2 7" xfId="7565" xr:uid="{00000000-0005-0000-0000-00004B720000}"/>
    <cellStyle name="Normal 4 2 7 2" xfId="15710" xr:uid="{00000000-0005-0000-0000-00004C720000}"/>
    <cellStyle name="Normal 4 2 7 2 2" xfId="29196" xr:uid="{00000000-0005-0000-0000-00004D720000}"/>
    <cellStyle name="Normal 4 2 7 3" xfId="31845" xr:uid="{00000000-0005-0000-0000-00004E720000}"/>
    <cellStyle name="Normal 4 2 8" xfId="7566" xr:uid="{00000000-0005-0000-0000-00004F720000}"/>
    <cellStyle name="Normal 4 2 8 2" xfId="15819" xr:uid="{00000000-0005-0000-0000-000050720000}"/>
    <cellStyle name="Normal 4 2 8 2 2" xfId="29226" xr:uid="{00000000-0005-0000-0000-000051720000}"/>
    <cellStyle name="Normal 4 2 8 3" xfId="31846" xr:uid="{00000000-0005-0000-0000-000052720000}"/>
    <cellStyle name="Normal 4 2 9" xfId="8685" xr:uid="{00000000-0005-0000-0000-000053720000}"/>
    <cellStyle name="Normal 4 2 9 2" xfId="17310" xr:uid="{00000000-0005-0000-0000-000054720000}"/>
    <cellStyle name="Normal 4 2 9 2 2" xfId="30663" xr:uid="{00000000-0005-0000-0000-000055720000}"/>
    <cellStyle name="Normal 4 2 9 3" xfId="23215" xr:uid="{00000000-0005-0000-0000-000056720000}"/>
    <cellStyle name="Normal 4 3" xfId="7567" xr:uid="{00000000-0005-0000-0000-000057720000}"/>
    <cellStyle name="Normal 4 3 10" xfId="8798" xr:uid="{00000000-0005-0000-0000-000058720000}"/>
    <cellStyle name="Normal 4 3 10 2" xfId="23276" xr:uid="{00000000-0005-0000-0000-000059720000}"/>
    <cellStyle name="Normal 4 3 11" xfId="32927" xr:uid="{00000000-0005-0000-0000-00005A720000}"/>
    <cellStyle name="Normal 4 3 12" xfId="32987" xr:uid="{00000000-0005-0000-0000-00005B720000}"/>
    <cellStyle name="Normal 4 3 2" xfId="7568" xr:uid="{00000000-0005-0000-0000-00005C720000}"/>
    <cellStyle name="Normal 4 3 2 2" xfId="7569" xr:uid="{00000000-0005-0000-0000-00005D720000}"/>
    <cellStyle name="Normal 4 3 2 2 2" xfId="11731" xr:uid="{00000000-0005-0000-0000-00005E720000}"/>
    <cellStyle name="Normal 4 3 2 2 2 2" xfId="25450" xr:uid="{00000000-0005-0000-0000-00005F720000}"/>
    <cellStyle name="Normal 4 3 2 2 3" xfId="31847" xr:uid="{00000000-0005-0000-0000-000060720000}"/>
    <cellStyle name="Normal 4 3 2 3" xfId="7570" xr:uid="{00000000-0005-0000-0000-000061720000}"/>
    <cellStyle name="Normal 4 3 2 3 2" xfId="17047" xr:uid="{00000000-0005-0000-0000-000062720000}"/>
    <cellStyle name="Normal 4 3 2 3 2 2" xfId="30447" xr:uid="{00000000-0005-0000-0000-000063720000}"/>
    <cellStyle name="Normal 4 3 2 3 3" xfId="31848" xr:uid="{00000000-0005-0000-0000-000064720000}"/>
    <cellStyle name="Normal 4 3 2 4" xfId="10219" xr:uid="{00000000-0005-0000-0000-000065720000}"/>
    <cellStyle name="Normal 4 3 2 5" xfId="32964" xr:uid="{00000000-0005-0000-0000-000066720000}"/>
    <cellStyle name="Normal 4 3 2 6" xfId="33022" xr:uid="{00000000-0005-0000-0000-000067720000}"/>
    <cellStyle name="Normal 4 3 3" xfId="7571" xr:uid="{00000000-0005-0000-0000-000068720000}"/>
    <cellStyle name="Normal 4 3 3 2" xfId="7572" xr:uid="{00000000-0005-0000-0000-000069720000}"/>
    <cellStyle name="Normal 4 3 3 2 2" xfId="10221" xr:uid="{00000000-0005-0000-0000-00006A720000}"/>
    <cellStyle name="Normal 4 3 3 3" xfId="7573" xr:uid="{00000000-0005-0000-0000-00006B720000}"/>
    <cellStyle name="Normal 4 3 3 3 2" xfId="13275" xr:uid="{00000000-0005-0000-0000-00006C720000}"/>
    <cellStyle name="Normal 4 3 3 4" xfId="10220" xr:uid="{00000000-0005-0000-0000-00006D720000}"/>
    <cellStyle name="Normal 4 3 4" xfId="7574" xr:uid="{00000000-0005-0000-0000-00006E720000}"/>
    <cellStyle name="Normal 4 3 4 2" xfId="7575" xr:uid="{00000000-0005-0000-0000-00006F720000}"/>
    <cellStyle name="Normal 4 3 4 2 2" xfId="13276" xr:uid="{00000000-0005-0000-0000-000070720000}"/>
    <cellStyle name="Normal 4 3 4 3" xfId="10524" xr:uid="{00000000-0005-0000-0000-000071720000}"/>
    <cellStyle name="Normal 4 3 5" xfId="7576" xr:uid="{00000000-0005-0000-0000-000072720000}"/>
    <cellStyle name="Normal 4 3 5 2" xfId="7577" xr:uid="{00000000-0005-0000-0000-000073720000}"/>
    <cellStyle name="Normal 4 3 5 2 2" xfId="13277" xr:uid="{00000000-0005-0000-0000-000074720000}"/>
    <cellStyle name="Normal 4 3 5 2 2 2" xfId="26907" xr:uid="{00000000-0005-0000-0000-000075720000}"/>
    <cellStyle name="Normal 4 3 5 2 3" xfId="31850" xr:uid="{00000000-0005-0000-0000-000076720000}"/>
    <cellStyle name="Normal 4 3 5 3" xfId="7578" xr:uid="{00000000-0005-0000-0000-000077720000}"/>
    <cellStyle name="Normal 4 3 5 3 2" xfId="15713" xr:uid="{00000000-0005-0000-0000-000078720000}"/>
    <cellStyle name="Normal 4 3 5 3 2 2" xfId="29199" xr:uid="{00000000-0005-0000-0000-000079720000}"/>
    <cellStyle name="Normal 4 3 5 3 3" xfId="31851" xr:uid="{00000000-0005-0000-0000-00007A720000}"/>
    <cellStyle name="Normal 4 3 5 4" xfId="11586" xr:uid="{00000000-0005-0000-0000-00007B720000}"/>
    <cellStyle name="Normal 4 3 5 4 2" xfId="25417" xr:uid="{00000000-0005-0000-0000-00007C720000}"/>
    <cellStyle name="Normal 4 3 5 5" xfId="31849" xr:uid="{00000000-0005-0000-0000-00007D720000}"/>
    <cellStyle name="Normal 4 3 6" xfId="7579" xr:uid="{00000000-0005-0000-0000-00007E720000}"/>
    <cellStyle name="Normal 4 3 6 2" xfId="13274" xr:uid="{00000000-0005-0000-0000-00007F720000}"/>
    <cellStyle name="Normal 4 3 6 2 2" xfId="26906" xr:uid="{00000000-0005-0000-0000-000080720000}"/>
    <cellStyle name="Normal 4 3 6 3" xfId="31852" xr:uid="{00000000-0005-0000-0000-000081720000}"/>
    <cellStyle name="Normal 4 3 7" xfId="7580" xr:uid="{00000000-0005-0000-0000-000082720000}"/>
    <cellStyle name="Normal 4 3 7 2" xfId="15712" xr:uid="{00000000-0005-0000-0000-000083720000}"/>
    <cellStyle name="Normal 4 3 7 2 2" xfId="29198" xr:uid="{00000000-0005-0000-0000-000084720000}"/>
    <cellStyle name="Normal 4 3 7 3" xfId="31853" xr:uid="{00000000-0005-0000-0000-000085720000}"/>
    <cellStyle name="Normal 4 3 8" xfId="7581" xr:uid="{00000000-0005-0000-0000-000086720000}"/>
    <cellStyle name="Normal 4 3 8 2" xfId="15820" xr:uid="{00000000-0005-0000-0000-000087720000}"/>
    <cellStyle name="Normal 4 3 8 2 2" xfId="29227" xr:uid="{00000000-0005-0000-0000-000088720000}"/>
    <cellStyle name="Normal 4 3 8 3" xfId="31854" xr:uid="{00000000-0005-0000-0000-000089720000}"/>
    <cellStyle name="Normal 4 3 9" xfId="8689" xr:uid="{00000000-0005-0000-0000-00008A720000}"/>
    <cellStyle name="Normal 4 3 9 2" xfId="17314" xr:uid="{00000000-0005-0000-0000-00008B720000}"/>
    <cellStyle name="Normal 4 3 9 2 2" xfId="30667" xr:uid="{00000000-0005-0000-0000-00008C720000}"/>
    <cellStyle name="Normal 4 3 9 3" xfId="23219" xr:uid="{00000000-0005-0000-0000-00008D720000}"/>
    <cellStyle name="Normal 4 4" xfId="7582" xr:uid="{00000000-0005-0000-0000-00008E720000}"/>
    <cellStyle name="Normal 4 4 10" xfId="32935" xr:uid="{00000000-0005-0000-0000-00008F720000}"/>
    <cellStyle name="Normal 4 4 11" xfId="32995" xr:uid="{00000000-0005-0000-0000-000090720000}"/>
    <cellStyle name="Normal 4 4 2" xfId="7583" xr:uid="{00000000-0005-0000-0000-000091720000}"/>
    <cellStyle name="Normal 4 4 2 2" xfId="7584" xr:uid="{00000000-0005-0000-0000-000092720000}"/>
    <cellStyle name="Normal 4 4 2 2 2" xfId="17048" xr:uid="{00000000-0005-0000-0000-000093720000}"/>
    <cellStyle name="Normal 4 4 2 2 2 2" xfId="30448" xr:uid="{00000000-0005-0000-0000-000094720000}"/>
    <cellStyle name="Normal 4 4 2 2 3" xfId="31857" xr:uid="{00000000-0005-0000-0000-000095720000}"/>
    <cellStyle name="Normal 4 4 2 3" xfId="10222" xr:uid="{00000000-0005-0000-0000-000096720000}"/>
    <cellStyle name="Normal 4 4 2 4" xfId="31856" xr:uid="{00000000-0005-0000-0000-000097720000}"/>
    <cellStyle name="Normal 4 4 2 5" xfId="32965" xr:uid="{00000000-0005-0000-0000-000098720000}"/>
    <cellStyle name="Normal 4 4 2 6" xfId="33023" xr:uid="{00000000-0005-0000-0000-000099720000}"/>
    <cellStyle name="Normal 4 4 3" xfId="7585" xr:uid="{00000000-0005-0000-0000-00009A720000}"/>
    <cellStyle name="Normal 4 4 3 2" xfId="11587" xr:uid="{00000000-0005-0000-0000-00009B720000}"/>
    <cellStyle name="Normal 4 4 3 2 2" xfId="25418" xr:uid="{00000000-0005-0000-0000-00009C720000}"/>
    <cellStyle name="Normal 4 4 3 3" xfId="31858" xr:uid="{00000000-0005-0000-0000-00009D720000}"/>
    <cellStyle name="Normal 4 4 4" xfId="7586" xr:uid="{00000000-0005-0000-0000-00009E720000}"/>
    <cellStyle name="Normal 4 4 4 2" xfId="13278" xr:uid="{00000000-0005-0000-0000-00009F720000}"/>
    <cellStyle name="Normal 4 4 4 2 2" xfId="26908" xr:uid="{00000000-0005-0000-0000-0000A0720000}"/>
    <cellStyle name="Normal 4 4 4 3" xfId="31859" xr:uid="{00000000-0005-0000-0000-0000A1720000}"/>
    <cellStyle name="Normal 4 4 5" xfId="7587" xr:uid="{00000000-0005-0000-0000-0000A2720000}"/>
    <cellStyle name="Normal 4 4 5 2" xfId="15714" xr:uid="{00000000-0005-0000-0000-0000A3720000}"/>
    <cellStyle name="Normal 4 4 5 2 2" xfId="29200" xr:uid="{00000000-0005-0000-0000-0000A4720000}"/>
    <cellStyle name="Normal 4 4 5 3" xfId="31860" xr:uid="{00000000-0005-0000-0000-0000A5720000}"/>
    <cellStyle name="Normal 4 4 6" xfId="7588" xr:uid="{00000000-0005-0000-0000-0000A6720000}"/>
    <cellStyle name="Normal 4 4 6 2" xfId="15821" xr:uid="{00000000-0005-0000-0000-0000A7720000}"/>
    <cellStyle name="Normal 4 4 6 2 2" xfId="29228" xr:uid="{00000000-0005-0000-0000-0000A8720000}"/>
    <cellStyle name="Normal 4 4 6 3" xfId="31861" xr:uid="{00000000-0005-0000-0000-0000A9720000}"/>
    <cellStyle name="Normal 4 4 7" xfId="8704" xr:uid="{00000000-0005-0000-0000-0000AA720000}"/>
    <cellStyle name="Normal 4 4 7 2" xfId="17322" xr:uid="{00000000-0005-0000-0000-0000AB720000}"/>
    <cellStyle name="Normal 4 4 7 2 2" xfId="30675" xr:uid="{00000000-0005-0000-0000-0000AC720000}"/>
    <cellStyle name="Normal 4 4 7 3" xfId="23227" xr:uid="{00000000-0005-0000-0000-0000AD720000}"/>
    <cellStyle name="Normal 4 4 8" xfId="8806" xr:uid="{00000000-0005-0000-0000-0000AE720000}"/>
    <cellStyle name="Normal 4 4 8 2" xfId="23284" xr:uid="{00000000-0005-0000-0000-0000AF720000}"/>
    <cellStyle name="Normal 4 4 9" xfId="31855" xr:uid="{00000000-0005-0000-0000-0000B0720000}"/>
    <cellStyle name="Normal 4 5" xfId="7589" xr:uid="{00000000-0005-0000-0000-0000B1720000}"/>
    <cellStyle name="Normal 4 5 10" xfId="7590" xr:uid="{00000000-0005-0000-0000-0000B2720000}"/>
    <cellStyle name="Normal 4 5 10 2" xfId="16421" xr:uid="{00000000-0005-0000-0000-0000B3720000}"/>
    <cellStyle name="Normal 4 5 10 2 2" xfId="29828" xr:uid="{00000000-0005-0000-0000-0000B4720000}"/>
    <cellStyle name="Normal 4 5 10 3" xfId="31863" xr:uid="{00000000-0005-0000-0000-0000B5720000}"/>
    <cellStyle name="Normal 4 5 11" xfId="8692" xr:uid="{00000000-0005-0000-0000-0000B6720000}"/>
    <cellStyle name="Normal 4 5 11 2" xfId="17317" xr:uid="{00000000-0005-0000-0000-0000B7720000}"/>
    <cellStyle name="Normal 4 5 11 2 2" xfId="30670" xr:uid="{00000000-0005-0000-0000-0000B8720000}"/>
    <cellStyle name="Normal 4 5 11 3" xfId="23222" xr:uid="{00000000-0005-0000-0000-0000B9720000}"/>
    <cellStyle name="Normal 4 5 12" xfId="8801" xr:uid="{00000000-0005-0000-0000-0000BA720000}"/>
    <cellStyle name="Normal 4 5 12 2" xfId="23279" xr:uid="{00000000-0005-0000-0000-0000BB720000}"/>
    <cellStyle name="Normal 4 5 13" xfId="31862" xr:uid="{00000000-0005-0000-0000-0000BC720000}"/>
    <cellStyle name="Normal 4 5 14" xfId="32930" xr:uid="{00000000-0005-0000-0000-0000BD720000}"/>
    <cellStyle name="Normal 4 5 15" xfId="32990" xr:uid="{00000000-0005-0000-0000-0000BE720000}"/>
    <cellStyle name="Normal 4 5 2" xfId="7591" xr:uid="{00000000-0005-0000-0000-0000BF720000}"/>
    <cellStyle name="Normal 4 5 2 2" xfId="7592" xr:uid="{00000000-0005-0000-0000-0000C0720000}"/>
    <cellStyle name="Normal 4 5 2 2 2" xfId="11589" xr:uid="{00000000-0005-0000-0000-0000C1720000}"/>
    <cellStyle name="Normal 4 5 2 2 2 2" xfId="25420" xr:uid="{00000000-0005-0000-0000-0000C2720000}"/>
    <cellStyle name="Normal 4 5 2 2 3" xfId="31865" xr:uid="{00000000-0005-0000-0000-0000C3720000}"/>
    <cellStyle name="Normal 4 5 2 3" xfId="7593" xr:uid="{00000000-0005-0000-0000-0000C4720000}"/>
    <cellStyle name="Normal 4 5 2 3 2" xfId="13280" xr:uid="{00000000-0005-0000-0000-0000C5720000}"/>
    <cellStyle name="Normal 4 5 2 3 2 2" xfId="26910" xr:uid="{00000000-0005-0000-0000-0000C6720000}"/>
    <cellStyle name="Normal 4 5 2 3 3" xfId="31866" xr:uid="{00000000-0005-0000-0000-0000C7720000}"/>
    <cellStyle name="Normal 4 5 2 4" xfId="7594" xr:uid="{00000000-0005-0000-0000-0000C8720000}"/>
    <cellStyle name="Normal 4 5 2 4 2" xfId="15716" xr:uid="{00000000-0005-0000-0000-0000C9720000}"/>
    <cellStyle name="Normal 4 5 2 4 2 2" xfId="29202" xr:uid="{00000000-0005-0000-0000-0000CA720000}"/>
    <cellStyle name="Normal 4 5 2 4 3" xfId="31867" xr:uid="{00000000-0005-0000-0000-0000CB720000}"/>
    <cellStyle name="Normal 4 5 2 5" xfId="7595" xr:uid="{00000000-0005-0000-0000-0000CC720000}"/>
    <cellStyle name="Normal 4 5 2 5 2" xfId="17002" xr:uid="{00000000-0005-0000-0000-0000CD720000}"/>
    <cellStyle name="Normal 4 5 2 5 2 2" xfId="30409" xr:uid="{00000000-0005-0000-0000-0000CE720000}"/>
    <cellStyle name="Normal 4 5 2 5 3" xfId="31868" xr:uid="{00000000-0005-0000-0000-0000CF720000}"/>
    <cellStyle name="Normal 4 5 2 6" xfId="10223" xr:uid="{00000000-0005-0000-0000-0000D0720000}"/>
    <cellStyle name="Normal 4 5 2 6 2" xfId="24418" xr:uid="{00000000-0005-0000-0000-0000D1720000}"/>
    <cellStyle name="Normal 4 5 2 7" xfId="31864" xr:uid="{00000000-0005-0000-0000-0000D2720000}"/>
    <cellStyle name="Normal 4 5 2 8" xfId="32966" xr:uid="{00000000-0005-0000-0000-0000D3720000}"/>
    <cellStyle name="Normal 4 5 2 9" xfId="33024" xr:uid="{00000000-0005-0000-0000-0000D4720000}"/>
    <cellStyle name="Normal 4 5 3" xfId="7596" xr:uid="{00000000-0005-0000-0000-0000D5720000}"/>
    <cellStyle name="Normal 4 5 3 2" xfId="11588" xr:uid="{00000000-0005-0000-0000-0000D6720000}"/>
    <cellStyle name="Normal 4 5 3 2 2" xfId="25419" xr:uid="{00000000-0005-0000-0000-0000D7720000}"/>
    <cellStyle name="Normal 4 5 3 3" xfId="31869" xr:uid="{00000000-0005-0000-0000-0000D8720000}"/>
    <cellStyle name="Normal 4 5 4" xfId="7597" xr:uid="{00000000-0005-0000-0000-0000D9720000}"/>
    <cellStyle name="Normal 4 5 4 2" xfId="12390" xr:uid="{00000000-0005-0000-0000-0000DA720000}"/>
    <cellStyle name="Normal 4 5 4 2 2" xfId="26102" xr:uid="{00000000-0005-0000-0000-0000DB720000}"/>
    <cellStyle name="Normal 4 5 4 3" xfId="31870" xr:uid="{00000000-0005-0000-0000-0000DC720000}"/>
    <cellStyle name="Normal 4 5 5" xfId="7598" xr:uid="{00000000-0005-0000-0000-0000DD720000}"/>
    <cellStyle name="Normal 4 5 5 2" xfId="13279" xr:uid="{00000000-0005-0000-0000-0000DE720000}"/>
    <cellStyle name="Normal 4 5 5 2 2" xfId="26909" xr:uid="{00000000-0005-0000-0000-0000DF720000}"/>
    <cellStyle name="Normal 4 5 5 3" xfId="31871" xr:uid="{00000000-0005-0000-0000-0000E0720000}"/>
    <cellStyle name="Normal 4 5 6" xfId="7599" xr:uid="{00000000-0005-0000-0000-0000E1720000}"/>
    <cellStyle name="Normal 4 5 6 2" xfId="13954" xr:uid="{00000000-0005-0000-0000-0000E2720000}"/>
    <cellStyle name="Normal 4 5 6 2 2" xfId="27503" xr:uid="{00000000-0005-0000-0000-0000E3720000}"/>
    <cellStyle name="Normal 4 5 6 3" xfId="31872" xr:uid="{00000000-0005-0000-0000-0000E4720000}"/>
    <cellStyle name="Normal 4 5 7" xfId="7600" xr:uid="{00000000-0005-0000-0000-0000E5720000}"/>
    <cellStyle name="Normal 4 5 7 2" xfId="14535" xr:uid="{00000000-0005-0000-0000-0000E6720000}"/>
    <cellStyle name="Normal 4 5 7 2 2" xfId="28084" xr:uid="{00000000-0005-0000-0000-0000E7720000}"/>
    <cellStyle name="Normal 4 5 7 3" xfId="31873" xr:uid="{00000000-0005-0000-0000-0000E8720000}"/>
    <cellStyle name="Normal 4 5 8" xfId="7601" xr:uid="{00000000-0005-0000-0000-0000E9720000}"/>
    <cellStyle name="Normal 4 5 8 2" xfId="15715" xr:uid="{00000000-0005-0000-0000-0000EA720000}"/>
    <cellStyle name="Normal 4 5 8 2 2" xfId="29201" xr:uid="{00000000-0005-0000-0000-0000EB720000}"/>
    <cellStyle name="Normal 4 5 8 3" xfId="31874" xr:uid="{00000000-0005-0000-0000-0000EC720000}"/>
    <cellStyle name="Normal 4 5 9" xfId="7602" xr:uid="{00000000-0005-0000-0000-0000ED720000}"/>
    <cellStyle name="Normal 4 5 9 2" xfId="15822" xr:uid="{00000000-0005-0000-0000-0000EE720000}"/>
    <cellStyle name="Normal 4 5 9 2 2" xfId="29229" xr:uid="{00000000-0005-0000-0000-0000EF720000}"/>
    <cellStyle name="Normal 4 5 9 3" xfId="31875" xr:uid="{00000000-0005-0000-0000-0000F0720000}"/>
    <cellStyle name="Normal 4 6" xfId="7603" xr:uid="{00000000-0005-0000-0000-0000F1720000}"/>
    <cellStyle name="Normal 4 6 2" xfId="7604" xr:uid="{00000000-0005-0000-0000-0000F2720000}"/>
    <cellStyle name="Normal 4 6 2 2" xfId="10225" xr:uid="{00000000-0005-0000-0000-0000F3720000}"/>
    <cellStyle name="Normal 4 6 2 3" xfId="32967" xr:uid="{00000000-0005-0000-0000-0000F4720000}"/>
    <cellStyle name="Normal 4 6 3" xfId="7605" xr:uid="{00000000-0005-0000-0000-0000F5720000}"/>
    <cellStyle name="Normal 4 6 3 2" xfId="11729" xr:uid="{00000000-0005-0000-0000-0000F6720000}"/>
    <cellStyle name="Normal 4 6 3 2 2" xfId="25448" xr:uid="{00000000-0005-0000-0000-0000F7720000}"/>
    <cellStyle name="Normal 4 6 3 3" xfId="31876" xr:uid="{00000000-0005-0000-0000-0000F8720000}"/>
    <cellStyle name="Normal 4 6 4" xfId="7606" xr:uid="{00000000-0005-0000-0000-0000F9720000}"/>
    <cellStyle name="Normal 4 6 4 2" xfId="17346" xr:uid="{00000000-0005-0000-0000-0000FA720000}"/>
    <cellStyle name="Normal 4 6 4 3" xfId="31877" xr:uid="{00000000-0005-0000-0000-0000FB720000}"/>
    <cellStyle name="Normal 4 6 5" xfId="8742" xr:uid="{00000000-0005-0000-0000-0000FC720000}"/>
    <cellStyle name="Normal 4 6 6" xfId="10224" xr:uid="{00000000-0005-0000-0000-0000FD720000}"/>
    <cellStyle name="Normal 4 6 7" xfId="32919" xr:uid="{00000000-0005-0000-0000-0000FE720000}"/>
    <cellStyle name="Normal 4 6 8" xfId="32979" xr:uid="{00000000-0005-0000-0000-0000FF720000}"/>
    <cellStyle name="Normal 4 7" xfId="7607" xr:uid="{00000000-0005-0000-0000-000000730000}"/>
    <cellStyle name="Normal 4 7 2" xfId="7608" xr:uid="{00000000-0005-0000-0000-000001730000}"/>
    <cellStyle name="Normal 4 7 2 2" xfId="13281" xr:uid="{00000000-0005-0000-0000-000002730000}"/>
    <cellStyle name="Normal 4 7 2 2 2" xfId="26911" xr:uid="{00000000-0005-0000-0000-000003730000}"/>
    <cellStyle name="Normal 4 7 2 3" xfId="31879" xr:uid="{00000000-0005-0000-0000-000004730000}"/>
    <cellStyle name="Normal 4 7 3" xfId="7609" xr:uid="{00000000-0005-0000-0000-000005730000}"/>
    <cellStyle name="Normal 4 7 3 2" xfId="15717" xr:uid="{00000000-0005-0000-0000-000006730000}"/>
    <cellStyle name="Normal 4 7 3 2 2" xfId="29203" xr:uid="{00000000-0005-0000-0000-000007730000}"/>
    <cellStyle name="Normal 4 7 3 3" xfId="31880" xr:uid="{00000000-0005-0000-0000-000008730000}"/>
    <cellStyle name="Normal 4 7 4" xfId="11584" xr:uid="{00000000-0005-0000-0000-000009730000}"/>
    <cellStyle name="Normal 4 7 4 2" xfId="25415" xr:uid="{00000000-0005-0000-0000-00000A730000}"/>
    <cellStyle name="Normal 4 7 5" xfId="31878" xr:uid="{00000000-0005-0000-0000-00000B730000}"/>
    <cellStyle name="Normal 4 7 6" xfId="32944" xr:uid="{00000000-0005-0000-0000-00000C730000}"/>
    <cellStyle name="Normal 4 7 7" xfId="33002" xr:uid="{00000000-0005-0000-0000-00000D730000}"/>
    <cellStyle name="Normal 4 8" xfId="7610" xr:uid="{00000000-0005-0000-0000-00000E730000}"/>
    <cellStyle name="Normal 4 8 2" xfId="15818" xr:uid="{00000000-0005-0000-0000-00000F730000}"/>
    <cellStyle name="Normal 4 8 2 2" xfId="29225" xr:uid="{00000000-0005-0000-0000-000010730000}"/>
    <cellStyle name="Normal 4 8 3" xfId="31881" xr:uid="{00000000-0005-0000-0000-000011730000}"/>
    <cellStyle name="Normal 4 8 4" xfId="32962" xr:uid="{00000000-0005-0000-0000-000012730000}"/>
    <cellStyle name="Normal 4 8 5" xfId="33020" xr:uid="{00000000-0005-0000-0000-000013730000}"/>
    <cellStyle name="Normal 4 9" xfId="8681" xr:uid="{00000000-0005-0000-0000-000014730000}"/>
    <cellStyle name="Normal 4 9 2" xfId="17306" xr:uid="{00000000-0005-0000-0000-000015730000}"/>
    <cellStyle name="Normal 4 9 2 2" xfId="30659" xr:uid="{00000000-0005-0000-0000-000016730000}"/>
    <cellStyle name="Normal 4 9 3" xfId="23211" xr:uid="{00000000-0005-0000-0000-000017730000}"/>
    <cellStyle name="Normal 5" xfId="7611" xr:uid="{00000000-0005-0000-0000-000018730000}"/>
    <cellStyle name="Normal 5 10" xfId="7612" xr:uid="{00000000-0005-0000-0000-000019730000}"/>
    <cellStyle name="Normal 5 10 2" xfId="15823" xr:uid="{00000000-0005-0000-0000-00001A730000}"/>
    <cellStyle name="Normal 5 10 2 2" xfId="29230" xr:uid="{00000000-0005-0000-0000-00001B730000}"/>
    <cellStyle name="Normal 5 10 3" xfId="31882" xr:uid="{00000000-0005-0000-0000-00001C730000}"/>
    <cellStyle name="Normal 5 11" xfId="8682" xr:uid="{00000000-0005-0000-0000-00001D730000}"/>
    <cellStyle name="Normal 5 11 2" xfId="17307" xr:uid="{00000000-0005-0000-0000-00001E730000}"/>
    <cellStyle name="Normal 5 11 2 2" xfId="30660" xr:uid="{00000000-0005-0000-0000-00001F730000}"/>
    <cellStyle name="Normal 5 11 3" xfId="23212" xr:uid="{00000000-0005-0000-0000-000020730000}"/>
    <cellStyle name="Normal 5 12" xfId="8791" xr:uid="{00000000-0005-0000-0000-000021730000}"/>
    <cellStyle name="Normal 5 12 2" xfId="23269" xr:uid="{00000000-0005-0000-0000-000022730000}"/>
    <cellStyle name="Normal 5 2" xfId="7613" xr:uid="{00000000-0005-0000-0000-000023730000}"/>
    <cellStyle name="Normal 5 2 10" xfId="32984" xr:uid="{00000000-0005-0000-0000-000024730000}"/>
    <cellStyle name="Normal 5 2 11" xfId="33041" xr:uid="{00000000-0005-0000-0000-000025730000}"/>
    <cellStyle name="Normal 5 2 2" xfId="7614" xr:uid="{00000000-0005-0000-0000-000026730000}"/>
    <cellStyle name="Normal 5 2 2 2" xfId="11591" xr:uid="{00000000-0005-0000-0000-000027730000}"/>
    <cellStyle name="Normal 5 2 2 2 2" xfId="25422" xr:uid="{00000000-0005-0000-0000-000028730000}"/>
    <cellStyle name="Normal 5 2 2 3" xfId="31883" xr:uid="{00000000-0005-0000-0000-000029730000}"/>
    <cellStyle name="Normal 5 2 2 4" xfId="32969" xr:uid="{00000000-0005-0000-0000-00002A730000}"/>
    <cellStyle name="Normal 5 2 2 5" xfId="33026" xr:uid="{00000000-0005-0000-0000-00002B730000}"/>
    <cellStyle name="Normal 5 2 3" xfId="7615" xr:uid="{00000000-0005-0000-0000-00002C730000}"/>
    <cellStyle name="Normal 5 2 3 2" xfId="13283" xr:uid="{00000000-0005-0000-0000-00002D730000}"/>
    <cellStyle name="Normal 5 2 3 2 2" xfId="26913" xr:uid="{00000000-0005-0000-0000-00002E730000}"/>
    <cellStyle name="Normal 5 2 3 3" xfId="31884" xr:uid="{00000000-0005-0000-0000-00002F730000}"/>
    <cellStyle name="Normal 5 2 4" xfId="7616" xr:uid="{00000000-0005-0000-0000-000030730000}"/>
    <cellStyle name="Normal 5 2 4 2" xfId="15719" xr:uid="{00000000-0005-0000-0000-000031730000}"/>
    <cellStyle name="Normal 5 2 4 2 2" xfId="29205" xr:uid="{00000000-0005-0000-0000-000032730000}"/>
    <cellStyle name="Normal 5 2 4 3" xfId="31885" xr:uid="{00000000-0005-0000-0000-000033730000}"/>
    <cellStyle name="Normal 5 2 5" xfId="7617" xr:uid="{00000000-0005-0000-0000-000034730000}"/>
    <cellStyle name="Normal 5 2 5 2" xfId="15824" xr:uid="{00000000-0005-0000-0000-000035730000}"/>
    <cellStyle name="Normal 5 2 5 2 2" xfId="29231" xr:uid="{00000000-0005-0000-0000-000036730000}"/>
    <cellStyle name="Normal 5 2 5 3" xfId="31886" xr:uid="{00000000-0005-0000-0000-000037730000}"/>
    <cellStyle name="Normal 5 2 6" xfId="7618" xr:uid="{00000000-0005-0000-0000-000038730000}"/>
    <cellStyle name="Normal 5 2 6 2" xfId="17049" xr:uid="{00000000-0005-0000-0000-000039730000}"/>
    <cellStyle name="Normal 5 2 7" xfId="8686" xr:uid="{00000000-0005-0000-0000-00003A730000}"/>
    <cellStyle name="Normal 5 2 7 2" xfId="17311" xr:uid="{00000000-0005-0000-0000-00003B730000}"/>
    <cellStyle name="Normal 5 2 7 2 2" xfId="30664" xr:uid="{00000000-0005-0000-0000-00003C730000}"/>
    <cellStyle name="Normal 5 2 7 3" xfId="23216" xr:uid="{00000000-0005-0000-0000-00003D730000}"/>
    <cellStyle name="Normal 5 2 8" xfId="8795" xr:uid="{00000000-0005-0000-0000-00003E730000}"/>
    <cellStyle name="Normal 5 2 8 2" xfId="23273" xr:uid="{00000000-0005-0000-0000-00003F730000}"/>
    <cellStyle name="Normal 5 2 9" xfId="32924" xr:uid="{00000000-0005-0000-0000-000040730000}"/>
    <cellStyle name="Normal 5 3" xfId="7619" xr:uid="{00000000-0005-0000-0000-000041730000}"/>
    <cellStyle name="Normal 5 3 10" xfId="32988" xr:uid="{00000000-0005-0000-0000-000042730000}"/>
    <cellStyle name="Normal 5 3 2" xfId="7620" xr:uid="{00000000-0005-0000-0000-000043730000}"/>
    <cellStyle name="Normal 5 3 2 2" xfId="11592" xr:uid="{00000000-0005-0000-0000-000044730000}"/>
    <cellStyle name="Normal 5 3 2 2 2" xfId="25423" xr:uid="{00000000-0005-0000-0000-000045730000}"/>
    <cellStyle name="Normal 5 3 2 3" xfId="31888" xr:uid="{00000000-0005-0000-0000-000046730000}"/>
    <cellStyle name="Normal 5 3 2 4" xfId="32970" xr:uid="{00000000-0005-0000-0000-000047730000}"/>
    <cellStyle name="Normal 5 3 2 5" xfId="33027" xr:uid="{00000000-0005-0000-0000-000048730000}"/>
    <cellStyle name="Normal 5 3 3" xfId="7621" xr:uid="{00000000-0005-0000-0000-000049730000}"/>
    <cellStyle name="Normal 5 3 3 2" xfId="13284" xr:uid="{00000000-0005-0000-0000-00004A730000}"/>
    <cellStyle name="Normal 5 3 3 2 2" xfId="26914" xr:uid="{00000000-0005-0000-0000-00004B730000}"/>
    <cellStyle name="Normal 5 3 3 3" xfId="31889" xr:uid="{00000000-0005-0000-0000-00004C730000}"/>
    <cellStyle name="Normal 5 3 4" xfId="7622" xr:uid="{00000000-0005-0000-0000-00004D730000}"/>
    <cellStyle name="Normal 5 3 4 2" xfId="15720" xr:uid="{00000000-0005-0000-0000-00004E730000}"/>
    <cellStyle name="Normal 5 3 4 2 2" xfId="29206" xr:uid="{00000000-0005-0000-0000-00004F730000}"/>
    <cellStyle name="Normal 5 3 4 3" xfId="31890" xr:uid="{00000000-0005-0000-0000-000050730000}"/>
    <cellStyle name="Normal 5 3 5" xfId="7623" xr:uid="{00000000-0005-0000-0000-000051730000}"/>
    <cellStyle name="Normal 5 3 5 2" xfId="15825" xr:uid="{00000000-0005-0000-0000-000052730000}"/>
    <cellStyle name="Normal 5 3 5 2 2" xfId="29232" xr:uid="{00000000-0005-0000-0000-000053730000}"/>
    <cellStyle name="Normal 5 3 5 3" xfId="31891" xr:uid="{00000000-0005-0000-0000-000054730000}"/>
    <cellStyle name="Normal 5 3 6" xfId="8690" xr:uid="{00000000-0005-0000-0000-000055730000}"/>
    <cellStyle name="Normal 5 3 6 2" xfId="17315" xr:uid="{00000000-0005-0000-0000-000056730000}"/>
    <cellStyle name="Normal 5 3 6 2 2" xfId="30668" xr:uid="{00000000-0005-0000-0000-000057730000}"/>
    <cellStyle name="Normal 5 3 6 3" xfId="23220" xr:uid="{00000000-0005-0000-0000-000058730000}"/>
    <cellStyle name="Normal 5 3 7" xfId="8799" xr:uid="{00000000-0005-0000-0000-000059730000}"/>
    <cellStyle name="Normal 5 3 7 2" xfId="23277" xr:uid="{00000000-0005-0000-0000-00005A730000}"/>
    <cellStyle name="Normal 5 3 8" xfId="31887" xr:uid="{00000000-0005-0000-0000-00005B730000}"/>
    <cellStyle name="Normal 5 3 9" xfId="32928" xr:uid="{00000000-0005-0000-0000-00005C730000}"/>
    <cellStyle name="Normal 5 4" xfId="7624" xr:uid="{00000000-0005-0000-0000-00005D730000}"/>
    <cellStyle name="Normal 5 4 10" xfId="32996" xr:uid="{00000000-0005-0000-0000-00005E730000}"/>
    <cellStyle name="Normal 5 4 2" xfId="7625" xr:uid="{00000000-0005-0000-0000-00005F730000}"/>
    <cellStyle name="Normal 5 4 2 2" xfId="11593" xr:uid="{00000000-0005-0000-0000-000060730000}"/>
    <cellStyle name="Normal 5 4 2 2 2" xfId="25424" xr:uid="{00000000-0005-0000-0000-000061730000}"/>
    <cellStyle name="Normal 5 4 2 3" xfId="31893" xr:uid="{00000000-0005-0000-0000-000062730000}"/>
    <cellStyle name="Normal 5 4 2 4" xfId="32971" xr:uid="{00000000-0005-0000-0000-000063730000}"/>
    <cellStyle name="Normal 5 4 2 5" xfId="33028" xr:uid="{00000000-0005-0000-0000-000064730000}"/>
    <cellStyle name="Normal 5 4 3" xfId="7626" xr:uid="{00000000-0005-0000-0000-000065730000}"/>
    <cellStyle name="Normal 5 4 3 2" xfId="13285" xr:uid="{00000000-0005-0000-0000-000066730000}"/>
    <cellStyle name="Normal 5 4 3 2 2" xfId="26915" xr:uid="{00000000-0005-0000-0000-000067730000}"/>
    <cellStyle name="Normal 5 4 3 3" xfId="31894" xr:uid="{00000000-0005-0000-0000-000068730000}"/>
    <cellStyle name="Normal 5 4 4" xfId="7627" xr:uid="{00000000-0005-0000-0000-000069730000}"/>
    <cellStyle name="Normal 5 4 4 2" xfId="15721" xr:uid="{00000000-0005-0000-0000-00006A730000}"/>
    <cellStyle name="Normal 5 4 4 2 2" xfId="29207" xr:uid="{00000000-0005-0000-0000-00006B730000}"/>
    <cellStyle name="Normal 5 4 4 3" xfId="31895" xr:uid="{00000000-0005-0000-0000-00006C730000}"/>
    <cellStyle name="Normal 5 4 5" xfId="7628" xr:uid="{00000000-0005-0000-0000-00006D730000}"/>
    <cellStyle name="Normal 5 4 5 2" xfId="15826" xr:uid="{00000000-0005-0000-0000-00006E730000}"/>
    <cellStyle name="Normal 5 4 5 2 2" xfId="29233" xr:uid="{00000000-0005-0000-0000-00006F730000}"/>
    <cellStyle name="Normal 5 4 5 3" xfId="31896" xr:uid="{00000000-0005-0000-0000-000070730000}"/>
    <cellStyle name="Normal 5 4 6" xfId="8705" xr:uid="{00000000-0005-0000-0000-000071730000}"/>
    <cellStyle name="Normal 5 4 6 2" xfId="17323" xr:uid="{00000000-0005-0000-0000-000072730000}"/>
    <cellStyle name="Normal 5 4 6 2 2" xfId="30676" xr:uid="{00000000-0005-0000-0000-000073730000}"/>
    <cellStyle name="Normal 5 4 6 3" xfId="23228" xr:uid="{00000000-0005-0000-0000-000074730000}"/>
    <cellStyle name="Normal 5 4 7" xfId="8807" xr:uid="{00000000-0005-0000-0000-000075730000}"/>
    <cellStyle name="Normal 5 4 7 2" xfId="23285" xr:uid="{00000000-0005-0000-0000-000076730000}"/>
    <cellStyle name="Normal 5 4 8" xfId="31892" xr:uid="{00000000-0005-0000-0000-000077730000}"/>
    <cellStyle name="Normal 5 4 9" xfId="32936" xr:uid="{00000000-0005-0000-0000-000078730000}"/>
    <cellStyle name="Normal 5 5" xfId="7629" xr:uid="{00000000-0005-0000-0000-000079730000}"/>
    <cellStyle name="Normal 5 5 10" xfId="32991" xr:uid="{00000000-0005-0000-0000-00007A730000}"/>
    <cellStyle name="Normal 5 5 2" xfId="7630" xr:uid="{00000000-0005-0000-0000-00007B730000}"/>
    <cellStyle name="Normal 5 5 2 2" xfId="11594" xr:uid="{00000000-0005-0000-0000-00007C730000}"/>
    <cellStyle name="Normal 5 5 2 2 2" xfId="25425" xr:uid="{00000000-0005-0000-0000-00007D730000}"/>
    <cellStyle name="Normal 5 5 2 3" xfId="31898" xr:uid="{00000000-0005-0000-0000-00007E730000}"/>
    <cellStyle name="Normal 5 5 2 4" xfId="32972" xr:uid="{00000000-0005-0000-0000-00007F730000}"/>
    <cellStyle name="Normal 5 5 2 5" xfId="33029" xr:uid="{00000000-0005-0000-0000-000080730000}"/>
    <cellStyle name="Normal 5 5 3" xfId="7631" xr:uid="{00000000-0005-0000-0000-000081730000}"/>
    <cellStyle name="Normal 5 5 3 2" xfId="13286" xr:uid="{00000000-0005-0000-0000-000082730000}"/>
    <cellStyle name="Normal 5 5 3 2 2" xfId="26916" xr:uid="{00000000-0005-0000-0000-000083730000}"/>
    <cellStyle name="Normal 5 5 3 3" xfId="31899" xr:uid="{00000000-0005-0000-0000-000084730000}"/>
    <cellStyle name="Normal 5 5 4" xfId="7632" xr:uid="{00000000-0005-0000-0000-000085730000}"/>
    <cellStyle name="Normal 5 5 4 2" xfId="15722" xr:uid="{00000000-0005-0000-0000-000086730000}"/>
    <cellStyle name="Normal 5 5 4 2 2" xfId="29208" xr:uid="{00000000-0005-0000-0000-000087730000}"/>
    <cellStyle name="Normal 5 5 4 3" xfId="31900" xr:uid="{00000000-0005-0000-0000-000088730000}"/>
    <cellStyle name="Normal 5 5 5" xfId="7633" xr:uid="{00000000-0005-0000-0000-000089730000}"/>
    <cellStyle name="Normal 5 5 5 2" xfId="15827" xr:uid="{00000000-0005-0000-0000-00008A730000}"/>
    <cellStyle name="Normal 5 5 5 2 2" xfId="29234" xr:uid="{00000000-0005-0000-0000-00008B730000}"/>
    <cellStyle name="Normal 5 5 5 3" xfId="31901" xr:uid="{00000000-0005-0000-0000-00008C730000}"/>
    <cellStyle name="Normal 5 5 6" xfId="8695" xr:uid="{00000000-0005-0000-0000-00008D730000}"/>
    <cellStyle name="Normal 5 5 6 2" xfId="17318" xr:uid="{00000000-0005-0000-0000-00008E730000}"/>
    <cellStyle name="Normal 5 5 6 2 2" xfId="30671" xr:uid="{00000000-0005-0000-0000-00008F730000}"/>
    <cellStyle name="Normal 5 5 6 3" xfId="23223" xr:uid="{00000000-0005-0000-0000-000090730000}"/>
    <cellStyle name="Normal 5 5 7" xfId="8802" xr:uid="{00000000-0005-0000-0000-000091730000}"/>
    <cellStyle name="Normal 5 5 7 2" xfId="23280" xr:uid="{00000000-0005-0000-0000-000092730000}"/>
    <cellStyle name="Normal 5 5 8" xfId="31897" xr:uid="{00000000-0005-0000-0000-000093730000}"/>
    <cellStyle name="Normal 5 5 9" xfId="32931" xr:uid="{00000000-0005-0000-0000-000094730000}"/>
    <cellStyle name="Normal 5 6" xfId="7634" xr:uid="{00000000-0005-0000-0000-000095730000}"/>
    <cellStyle name="Normal 5 6 2" xfId="7635" xr:uid="{00000000-0005-0000-0000-000096730000}"/>
    <cellStyle name="Normal 5 6 2 2" xfId="11691" xr:uid="{00000000-0005-0000-0000-000097730000}"/>
    <cellStyle name="Normal 5 6 2 2 2" xfId="25428" xr:uid="{00000000-0005-0000-0000-000098730000}"/>
    <cellStyle name="Normal 5 6 2 3" xfId="31903" xr:uid="{00000000-0005-0000-0000-000099730000}"/>
    <cellStyle name="Normal 5 6 2 4" xfId="32973" xr:uid="{00000000-0005-0000-0000-00009A730000}"/>
    <cellStyle name="Normal 5 6 3" xfId="7636" xr:uid="{00000000-0005-0000-0000-00009B730000}"/>
    <cellStyle name="Normal 5 6 3 2" xfId="17347" xr:uid="{00000000-0005-0000-0000-00009C730000}"/>
    <cellStyle name="Normal 5 6 3 3" xfId="31904" xr:uid="{00000000-0005-0000-0000-00009D730000}"/>
    <cellStyle name="Normal 5 6 4" xfId="8743" xr:uid="{00000000-0005-0000-0000-00009E730000}"/>
    <cellStyle name="Normal 5 6 5" xfId="10226" xr:uid="{00000000-0005-0000-0000-00009F730000}"/>
    <cellStyle name="Normal 5 6 6" xfId="31902" xr:uid="{00000000-0005-0000-0000-0000A0730000}"/>
    <cellStyle name="Normal 5 6 7" xfId="32920" xr:uid="{00000000-0005-0000-0000-0000A1730000}"/>
    <cellStyle name="Normal 5 6 8" xfId="32980" xr:uid="{00000000-0005-0000-0000-0000A2730000}"/>
    <cellStyle name="Normal 5 7" xfId="7637" xr:uid="{00000000-0005-0000-0000-0000A3730000}"/>
    <cellStyle name="Normal 5 7 2" xfId="7638" xr:uid="{00000000-0005-0000-0000-0000A4730000}"/>
    <cellStyle name="Normal 5 7 2 2" xfId="13287" xr:uid="{00000000-0005-0000-0000-0000A5730000}"/>
    <cellStyle name="Normal 5 7 2 2 2" xfId="26917" xr:uid="{00000000-0005-0000-0000-0000A6730000}"/>
    <cellStyle name="Normal 5 7 2 3" xfId="31906" xr:uid="{00000000-0005-0000-0000-0000A7730000}"/>
    <cellStyle name="Normal 5 7 3" xfId="7639" xr:uid="{00000000-0005-0000-0000-0000A8730000}"/>
    <cellStyle name="Normal 5 7 3 2" xfId="15723" xr:uid="{00000000-0005-0000-0000-0000A9730000}"/>
    <cellStyle name="Normal 5 7 3 2 2" xfId="29209" xr:uid="{00000000-0005-0000-0000-0000AA730000}"/>
    <cellStyle name="Normal 5 7 3 3" xfId="31907" xr:uid="{00000000-0005-0000-0000-0000AB730000}"/>
    <cellStyle name="Normal 5 7 4" xfId="11590" xr:uid="{00000000-0005-0000-0000-0000AC730000}"/>
    <cellStyle name="Normal 5 7 4 2" xfId="25421" xr:uid="{00000000-0005-0000-0000-0000AD730000}"/>
    <cellStyle name="Normal 5 7 5" xfId="31905" xr:uid="{00000000-0005-0000-0000-0000AE730000}"/>
    <cellStyle name="Normal 5 7 6" xfId="32968" xr:uid="{00000000-0005-0000-0000-0000AF730000}"/>
    <cellStyle name="Normal 5 7 7" xfId="33025" xr:uid="{00000000-0005-0000-0000-0000B0730000}"/>
    <cellStyle name="Normal 5 8" xfId="7640" xr:uid="{00000000-0005-0000-0000-0000B1730000}"/>
    <cellStyle name="Normal 5 8 2" xfId="13282" xr:uid="{00000000-0005-0000-0000-0000B2730000}"/>
    <cellStyle name="Normal 5 8 2 2" xfId="26912" xr:uid="{00000000-0005-0000-0000-0000B3730000}"/>
    <cellStyle name="Normal 5 8 3" xfId="31908" xr:uid="{00000000-0005-0000-0000-0000B4730000}"/>
    <cellStyle name="Normal 5 9" xfId="7641" xr:uid="{00000000-0005-0000-0000-0000B5730000}"/>
    <cellStyle name="Normal 5 9 2" xfId="15718" xr:uid="{00000000-0005-0000-0000-0000B6730000}"/>
    <cellStyle name="Normal 5 9 2 2" xfId="29204" xr:uid="{00000000-0005-0000-0000-0000B7730000}"/>
    <cellStyle name="Normal 5 9 3" xfId="31909" xr:uid="{00000000-0005-0000-0000-0000B8730000}"/>
    <cellStyle name="Normal 55" xfId="7642" xr:uid="{00000000-0005-0000-0000-0000B9730000}"/>
    <cellStyle name="Normal 55 2" xfId="7643" xr:uid="{00000000-0005-0000-0000-0000BA730000}"/>
    <cellStyle name="Normal 55 2 2" xfId="7644" xr:uid="{00000000-0005-0000-0000-0000BB730000}"/>
    <cellStyle name="Normal 55 2 2 2" xfId="17050" xr:uid="{00000000-0005-0000-0000-0000BC730000}"/>
    <cellStyle name="Normal 55 2 2 2 2" xfId="30449" xr:uid="{00000000-0005-0000-0000-0000BD730000}"/>
    <cellStyle name="Normal 55 2 2 3" xfId="31912" xr:uid="{00000000-0005-0000-0000-0000BE730000}"/>
    <cellStyle name="Normal 55 2 3" xfId="11595" xr:uid="{00000000-0005-0000-0000-0000BF730000}"/>
    <cellStyle name="Normal 55 2 3 2" xfId="25426" xr:uid="{00000000-0005-0000-0000-0000C0730000}"/>
    <cellStyle name="Normal 55 2 4" xfId="31911" xr:uid="{00000000-0005-0000-0000-0000C1730000}"/>
    <cellStyle name="Normal 55 3" xfId="7645" xr:uid="{00000000-0005-0000-0000-0000C2730000}"/>
    <cellStyle name="Normal 55 3 2" xfId="7646" xr:uid="{00000000-0005-0000-0000-0000C3730000}"/>
    <cellStyle name="Normal 55 3 2 2" xfId="17005" xr:uid="{00000000-0005-0000-0000-0000C4730000}"/>
    <cellStyle name="Normal 55 3 2 2 2" xfId="30412" xr:uid="{00000000-0005-0000-0000-0000C5730000}"/>
    <cellStyle name="Normal 55 3 2 3" xfId="31914" xr:uid="{00000000-0005-0000-0000-0000C6730000}"/>
    <cellStyle name="Normal 55 3 3" xfId="12394" xr:uid="{00000000-0005-0000-0000-0000C7730000}"/>
    <cellStyle name="Normal 55 3 3 2" xfId="26106" xr:uid="{00000000-0005-0000-0000-0000C8730000}"/>
    <cellStyle name="Normal 55 3 4" xfId="31913" xr:uid="{00000000-0005-0000-0000-0000C9730000}"/>
    <cellStyle name="Normal 55 4" xfId="7647" xr:uid="{00000000-0005-0000-0000-0000CA730000}"/>
    <cellStyle name="Normal 55 4 2" xfId="13957" xr:uid="{00000000-0005-0000-0000-0000CB730000}"/>
    <cellStyle name="Normal 55 4 2 2" xfId="27506" xr:uid="{00000000-0005-0000-0000-0000CC730000}"/>
    <cellStyle name="Normal 55 4 3" xfId="31915" xr:uid="{00000000-0005-0000-0000-0000CD730000}"/>
    <cellStyle name="Normal 55 5" xfId="7648" xr:uid="{00000000-0005-0000-0000-0000CE730000}"/>
    <cellStyle name="Normal 55 5 2" xfId="14538" xr:uid="{00000000-0005-0000-0000-0000CF730000}"/>
    <cellStyle name="Normal 55 5 2 2" xfId="28087" xr:uid="{00000000-0005-0000-0000-0000D0730000}"/>
    <cellStyle name="Normal 55 5 3" xfId="31916" xr:uid="{00000000-0005-0000-0000-0000D1730000}"/>
    <cellStyle name="Normal 55 6" xfId="7649" xr:uid="{00000000-0005-0000-0000-0000D2730000}"/>
    <cellStyle name="Normal 55 6 2" xfId="16424" xr:uid="{00000000-0005-0000-0000-0000D3730000}"/>
    <cellStyle name="Normal 55 6 2 2" xfId="29831" xr:uid="{00000000-0005-0000-0000-0000D4730000}"/>
    <cellStyle name="Normal 55 6 3" xfId="31917" xr:uid="{00000000-0005-0000-0000-0000D5730000}"/>
    <cellStyle name="Normal 55 7" xfId="10227" xr:uid="{00000000-0005-0000-0000-0000D6730000}"/>
    <cellStyle name="Normal 55 7 2" xfId="24419" xr:uid="{00000000-0005-0000-0000-0000D7730000}"/>
    <cellStyle name="Normal 55 8" xfId="31910" xr:uid="{00000000-0005-0000-0000-0000D8730000}"/>
    <cellStyle name="Normal 6" xfId="7650" xr:uid="{00000000-0005-0000-0000-0000D9730000}"/>
    <cellStyle name="Normal 6 2" xfId="7651" xr:uid="{00000000-0005-0000-0000-0000DA730000}"/>
    <cellStyle name="Normal 6 2 2" xfId="7652" xr:uid="{00000000-0005-0000-0000-0000DB730000}"/>
    <cellStyle name="Normal 6 2 2 2" xfId="10229" xr:uid="{00000000-0005-0000-0000-0000DC730000}"/>
    <cellStyle name="Normal 6 2 2 3" xfId="31918" xr:uid="{00000000-0005-0000-0000-0000DD730000}"/>
    <cellStyle name="Normal 6 2 2 4" xfId="33094" xr:uid="{00000000-0005-0000-0000-0000DE730000}"/>
    <cellStyle name="Normal 6 2 3" xfId="7653" xr:uid="{00000000-0005-0000-0000-0000DF730000}"/>
    <cellStyle name="Normal 6 2 3 2" xfId="17348" xr:uid="{00000000-0005-0000-0000-0000E0730000}"/>
    <cellStyle name="Normal 6 2 3 3" xfId="31919" xr:uid="{00000000-0005-0000-0000-0000E1730000}"/>
    <cellStyle name="Normal 6 2 4" xfId="8744" xr:uid="{00000000-0005-0000-0000-0000E2730000}"/>
    <cellStyle name="Normal 6 2 5" xfId="10228" xr:uid="{00000000-0005-0000-0000-0000E3730000}"/>
    <cellStyle name="Normal 6 2 6" xfId="33042" xr:uid="{00000000-0005-0000-0000-0000E4730000}"/>
    <cellStyle name="Normal 6 3" xfId="7654" xr:uid="{00000000-0005-0000-0000-0000E5730000}"/>
    <cellStyle name="Normal 6 3 2" xfId="7655" xr:uid="{00000000-0005-0000-0000-0000E6730000}"/>
    <cellStyle name="Normal 6 3 2 2" xfId="17371" xr:uid="{00000000-0005-0000-0000-0000E7730000}"/>
    <cellStyle name="Normal 6 3 2 3" xfId="31920" xr:uid="{00000000-0005-0000-0000-0000E8730000}"/>
    <cellStyle name="Normal 6 3 3" xfId="8745" xr:uid="{00000000-0005-0000-0000-0000E9730000}"/>
    <cellStyle name="Normal 6 3 4" xfId="11596" xr:uid="{00000000-0005-0000-0000-0000EA730000}"/>
    <cellStyle name="Normal 6 3 5" xfId="33087" xr:uid="{00000000-0005-0000-0000-0000EB730000}"/>
    <cellStyle name="Normal 6 4" xfId="8707" xr:uid="{00000000-0005-0000-0000-0000EC730000}"/>
    <cellStyle name="Normal 7" xfId="7656" xr:uid="{00000000-0005-0000-0000-0000ED730000}"/>
    <cellStyle name="Normal 7 2" xfId="7657" xr:uid="{00000000-0005-0000-0000-0000EE730000}"/>
    <cellStyle name="Normal 7 2 2" xfId="7658" xr:uid="{00000000-0005-0000-0000-0000EF730000}"/>
    <cellStyle name="Normal 7 2 2 2" xfId="11732" xr:uid="{00000000-0005-0000-0000-0000F0730000}"/>
    <cellStyle name="Normal 7 2 2 3" xfId="31923" xr:uid="{00000000-0005-0000-0000-0000F1730000}"/>
    <cellStyle name="Normal 7 2 3" xfId="7659" xr:uid="{00000000-0005-0000-0000-0000F2730000}"/>
    <cellStyle name="Normal 7 2 3 2" xfId="17349" xr:uid="{00000000-0005-0000-0000-0000F3730000}"/>
    <cellStyle name="Normal 7 2 3 3" xfId="31924" xr:uid="{00000000-0005-0000-0000-0000F4730000}"/>
    <cellStyle name="Normal 7 2 4" xfId="8746" xr:uid="{00000000-0005-0000-0000-0000F5730000}"/>
    <cellStyle name="Normal 7 2 5" xfId="10230" xr:uid="{00000000-0005-0000-0000-0000F6730000}"/>
    <cellStyle name="Normal 7 2 6" xfId="31922" xr:uid="{00000000-0005-0000-0000-0000F7730000}"/>
    <cellStyle name="Normal 7 3" xfId="7660" xr:uid="{00000000-0005-0000-0000-0000F8730000}"/>
    <cellStyle name="Normal 7 3 2" xfId="11597" xr:uid="{00000000-0005-0000-0000-0000F9730000}"/>
    <cellStyle name="Normal 7 3 3" xfId="31925" xr:uid="{00000000-0005-0000-0000-0000FA730000}"/>
    <cellStyle name="Normal 7 4" xfId="8698" xr:uid="{00000000-0005-0000-0000-0000FB730000}"/>
    <cellStyle name="Normal 7 5" xfId="31921" xr:uid="{00000000-0005-0000-0000-0000FC730000}"/>
    <cellStyle name="Normal 8" xfId="7661" xr:uid="{00000000-0005-0000-0000-0000FD730000}"/>
    <cellStyle name="Normal 8 2" xfId="7662" xr:uid="{00000000-0005-0000-0000-0000FE730000}"/>
    <cellStyle name="Normal 8 2 2" xfId="7663" xr:uid="{00000000-0005-0000-0000-0000FF730000}"/>
    <cellStyle name="Normal 8 2 2 2" xfId="17350" xr:uid="{00000000-0005-0000-0000-000000740000}"/>
    <cellStyle name="Normal 8 2 3" xfId="8747" xr:uid="{00000000-0005-0000-0000-000001740000}"/>
    <cellStyle name="Normal 8 2 4" xfId="10231" xr:uid="{00000000-0005-0000-0000-000002740000}"/>
    <cellStyle name="Normal 8 3" xfId="7664" xr:uid="{00000000-0005-0000-0000-000003740000}"/>
    <cellStyle name="Normal 8 3 2" xfId="7665" xr:uid="{00000000-0005-0000-0000-000004740000}"/>
    <cellStyle name="Normal 8 3 2 2" xfId="11737" xr:uid="{00000000-0005-0000-0000-000005740000}"/>
    <cellStyle name="Normal 8 3 2 3" xfId="31927" xr:uid="{00000000-0005-0000-0000-000006740000}"/>
    <cellStyle name="Normal 8 3 3" xfId="10232" xr:uid="{00000000-0005-0000-0000-000007740000}"/>
    <cellStyle name="Normal 8 3 4" xfId="31926" xr:uid="{00000000-0005-0000-0000-000008740000}"/>
    <cellStyle name="Normal 8 4" xfId="7666" xr:uid="{00000000-0005-0000-0000-000009740000}"/>
    <cellStyle name="Normal 8 4 2" xfId="11598" xr:uid="{00000000-0005-0000-0000-00000A740000}"/>
    <cellStyle name="Normal 8 4 3" xfId="31928" xr:uid="{00000000-0005-0000-0000-00000B740000}"/>
    <cellStyle name="Normal 8 5" xfId="8708" xr:uid="{00000000-0005-0000-0000-00000C740000}"/>
    <cellStyle name="Normal 9" xfId="7667" xr:uid="{00000000-0005-0000-0000-00000D740000}"/>
    <cellStyle name="Normal 9 2" xfId="7668" xr:uid="{00000000-0005-0000-0000-00000E740000}"/>
    <cellStyle name="Normal 9 2 2" xfId="7669" xr:uid="{00000000-0005-0000-0000-00000F740000}"/>
    <cellStyle name="Normal 9 2 2 2" xfId="7670" xr:uid="{00000000-0005-0000-0000-000010740000}"/>
    <cellStyle name="Normal 9 2 2 2 2" xfId="17051" xr:uid="{00000000-0005-0000-0000-000011740000}"/>
    <cellStyle name="Normal 9 2 2 2 2 2" xfId="30450" xr:uid="{00000000-0005-0000-0000-000012740000}"/>
    <cellStyle name="Normal 9 2 2 2 3" xfId="31931" xr:uid="{00000000-0005-0000-0000-000013740000}"/>
    <cellStyle name="Normal 9 2 2 3" xfId="11599" xr:uid="{00000000-0005-0000-0000-000014740000}"/>
    <cellStyle name="Normal 9 2 2 3 2" xfId="25427" xr:uid="{00000000-0005-0000-0000-000015740000}"/>
    <cellStyle name="Normal 9 2 2 4" xfId="31930" xr:uid="{00000000-0005-0000-0000-000016740000}"/>
    <cellStyle name="Normal 9 2 3" xfId="7671" xr:uid="{00000000-0005-0000-0000-000017740000}"/>
    <cellStyle name="Normal 9 2 3 2" xfId="7672" xr:uid="{00000000-0005-0000-0000-000018740000}"/>
    <cellStyle name="Normal 9 2 3 2 2" xfId="17003" xr:uid="{00000000-0005-0000-0000-000019740000}"/>
    <cellStyle name="Normal 9 2 3 2 2 2" xfId="30410" xr:uid="{00000000-0005-0000-0000-00001A740000}"/>
    <cellStyle name="Normal 9 2 3 2 3" xfId="31933" xr:uid="{00000000-0005-0000-0000-00001B740000}"/>
    <cellStyle name="Normal 9 2 3 3" xfId="12392" xr:uid="{00000000-0005-0000-0000-00001C740000}"/>
    <cellStyle name="Normal 9 2 3 3 2" xfId="26104" xr:uid="{00000000-0005-0000-0000-00001D740000}"/>
    <cellStyle name="Normal 9 2 3 4" xfId="31932" xr:uid="{00000000-0005-0000-0000-00001E740000}"/>
    <cellStyle name="Normal 9 2 4" xfId="7673" xr:uid="{00000000-0005-0000-0000-00001F740000}"/>
    <cellStyle name="Normal 9 2 4 2" xfId="13955" xr:uid="{00000000-0005-0000-0000-000020740000}"/>
    <cellStyle name="Normal 9 2 4 2 2" xfId="27504" xr:uid="{00000000-0005-0000-0000-000021740000}"/>
    <cellStyle name="Normal 9 2 4 3" xfId="31934" xr:uid="{00000000-0005-0000-0000-000022740000}"/>
    <cellStyle name="Normal 9 2 5" xfId="7674" xr:uid="{00000000-0005-0000-0000-000023740000}"/>
    <cellStyle name="Normal 9 2 5 2" xfId="14536" xr:uid="{00000000-0005-0000-0000-000024740000}"/>
    <cellStyle name="Normal 9 2 5 2 2" xfId="28085" xr:uid="{00000000-0005-0000-0000-000025740000}"/>
    <cellStyle name="Normal 9 2 5 3" xfId="31935" xr:uid="{00000000-0005-0000-0000-000026740000}"/>
    <cellStyle name="Normal 9 2 6" xfId="7675" xr:uid="{00000000-0005-0000-0000-000027740000}"/>
    <cellStyle name="Normal 9 2 6 2" xfId="16422" xr:uid="{00000000-0005-0000-0000-000028740000}"/>
    <cellStyle name="Normal 9 2 6 2 2" xfId="29829" xr:uid="{00000000-0005-0000-0000-000029740000}"/>
    <cellStyle name="Normal 9 2 6 3" xfId="31936" xr:uid="{00000000-0005-0000-0000-00002A740000}"/>
    <cellStyle name="Normal 9 2 7" xfId="10234" xr:uid="{00000000-0005-0000-0000-00002B740000}"/>
    <cellStyle name="Normal 9 2 7 2" xfId="24420" xr:uid="{00000000-0005-0000-0000-00002C740000}"/>
    <cellStyle name="Normal 9 2 8" xfId="31929" xr:uid="{00000000-0005-0000-0000-00002D740000}"/>
    <cellStyle name="Normal 9 3" xfId="7676" xr:uid="{00000000-0005-0000-0000-00002E740000}"/>
    <cellStyle name="Normal 9 3 2" xfId="10233" xr:uid="{00000000-0005-0000-0000-00002F740000}"/>
    <cellStyle name="Normal 9 3 3" xfId="31937" xr:uid="{00000000-0005-0000-0000-000030740000}"/>
    <cellStyle name="Normal 9 4" xfId="8666" xr:uid="{00000000-0005-0000-0000-000031740000}"/>
    <cellStyle name="Note" xfId="33035" builtinId="10" customBuiltin="1"/>
    <cellStyle name="Note 2" xfId="7677" xr:uid="{00000000-0005-0000-0000-000033740000}"/>
    <cellStyle name="Note 2 10" xfId="7678" xr:uid="{00000000-0005-0000-0000-000034740000}"/>
    <cellStyle name="Note 2 10 2" xfId="7679" xr:uid="{00000000-0005-0000-0000-000035740000}"/>
    <cellStyle name="Note 2 10 2 2" xfId="13289" xr:uid="{00000000-0005-0000-0000-000036740000}"/>
    <cellStyle name="Note 2 10 2 3" xfId="31940" xr:uid="{00000000-0005-0000-0000-000037740000}"/>
    <cellStyle name="Note 2 10 3" xfId="7680" xr:uid="{00000000-0005-0000-0000-000038740000}"/>
    <cellStyle name="Note 2 10 3 2" xfId="13288" xr:uid="{00000000-0005-0000-0000-000039740000}"/>
    <cellStyle name="Note 2 10 3 2 2" xfId="26918" xr:uid="{00000000-0005-0000-0000-00003A740000}"/>
    <cellStyle name="Note 2 10 3 3" xfId="31941" xr:uid="{00000000-0005-0000-0000-00003B740000}"/>
    <cellStyle name="Note 2 10 4" xfId="7681" xr:uid="{00000000-0005-0000-0000-00003C740000}"/>
    <cellStyle name="Note 2 10 4 2" xfId="17111" xr:uid="{00000000-0005-0000-0000-00003D740000}"/>
    <cellStyle name="Note 2 10 4 2 2" xfId="30470" xr:uid="{00000000-0005-0000-0000-00003E740000}"/>
    <cellStyle name="Note 2 10 4 3" xfId="31942" xr:uid="{00000000-0005-0000-0000-00003F740000}"/>
    <cellStyle name="Note 2 10 5" xfId="10236" xr:uid="{00000000-0005-0000-0000-000040740000}"/>
    <cellStyle name="Note 2 10 6" xfId="31939" xr:uid="{00000000-0005-0000-0000-000041740000}"/>
    <cellStyle name="Note 2 11" xfId="7682" xr:uid="{00000000-0005-0000-0000-000042740000}"/>
    <cellStyle name="Note 2 11 2" xfId="7683" xr:uid="{00000000-0005-0000-0000-000043740000}"/>
    <cellStyle name="Note 2 11 2 2" xfId="17200" xr:uid="{00000000-0005-0000-0000-000044740000}"/>
    <cellStyle name="Note 2 11 2 2 2" xfId="30559" xr:uid="{00000000-0005-0000-0000-000045740000}"/>
    <cellStyle name="Note 2 11 2 3" xfId="31944" xr:uid="{00000000-0005-0000-0000-000046740000}"/>
    <cellStyle name="Note 2 11 3" xfId="10237" xr:uid="{00000000-0005-0000-0000-000047740000}"/>
    <cellStyle name="Note 2 11 4" xfId="31943" xr:uid="{00000000-0005-0000-0000-000048740000}"/>
    <cellStyle name="Note 2 12" xfId="7684" xr:uid="{00000000-0005-0000-0000-000049740000}"/>
    <cellStyle name="Note 2 12 2" xfId="7685" xr:uid="{00000000-0005-0000-0000-00004A740000}"/>
    <cellStyle name="Note 2 12 2 2" xfId="7686" xr:uid="{00000000-0005-0000-0000-00004B740000}"/>
    <cellStyle name="Note 2 12 2 2 2" xfId="11602" xr:uid="{00000000-0005-0000-0000-00004C740000}"/>
    <cellStyle name="Note 2 12 2 2 3" xfId="31947" xr:uid="{00000000-0005-0000-0000-00004D740000}"/>
    <cellStyle name="Note 2 12 2 3" xfId="10239" xr:uid="{00000000-0005-0000-0000-00004E740000}"/>
    <cellStyle name="Note 2 12 2 4" xfId="31946" xr:uid="{00000000-0005-0000-0000-00004F740000}"/>
    <cellStyle name="Note 2 12 3" xfId="7687" xr:uid="{00000000-0005-0000-0000-000050740000}"/>
    <cellStyle name="Note 2 12 3 2" xfId="11601" xr:uid="{00000000-0005-0000-0000-000051740000}"/>
    <cellStyle name="Note 2 12 3 3" xfId="31948" xr:uid="{00000000-0005-0000-0000-000052740000}"/>
    <cellStyle name="Note 2 12 4" xfId="7688" xr:uid="{00000000-0005-0000-0000-000053740000}"/>
    <cellStyle name="Note 2 12 4 2" xfId="17289" xr:uid="{00000000-0005-0000-0000-000054740000}"/>
    <cellStyle name="Note 2 12 4 2 2" xfId="30648" xr:uid="{00000000-0005-0000-0000-000055740000}"/>
    <cellStyle name="Note 2 12 4 3" xfId="31949" xr:uid="{00000000-0005-0000-0000-000056740000}"/>
    <cellStyle name="Note 2 12 5" xfId="10238" xr:uid="{00000000-0005-0000-0000-000057740000}"/>
    <cellStyle name="Note 2 12 6" xfId="31945" xr:uid="{00000000-0005-0000-0000-000058740000}"/>
    <cellStyle name="Note 2 13" xfId="7689" xr:uid="{00000000-0005-0000-0000-000059740000}"/>
    <cellStyle name="Note 2 13 2" xfId="7690" xr:uid="{00000000-0005-0000-0000-00005A740000}"/>
    <cellStyle name="Note 2 13 2 2" xfId="16441" xr:uid="{00000000-0005-0000-0000-00005B740000}"/>
    <cellStyle name="Note 2 13 2 2 2" xfId="29848" xr:uid="{00000000-0005-0000-0000-00005C740000}"/>
    <cellStyle name="Note 2 13 2 3" xfId="31951" xr:uid="{00000000-0005-0000-0000-00005D740000}"/>
    <cellStyle name="Note 2 13 3" xfId="10240" xr:uid="{00000000-0005-0000-0000-00005E740000}"/>
    <cellStyle name="Note 2 13 4" xfId="31950" xr:uid="{00000000-0005-0000-0000-00005F740000}"/>
    <cellStyle name="Note 2 14" xfId="7691" xr:uid="{00000000-0005-0000-0000-000060740000}"/>
    <cellStyle name="Note 2 14 2" xfId="7692" xr:uid="{00000000-0005-0000-0000-000061740000}"/>
    <cellStyle name="Note 2 14 2 2" xfId="11603" xr:uid="{00000000-0005-0000-0000-000062740000}"/>
    <cellStyle name="Note 2 14 2 3" xfId="31953" xr:uid="{00000000-0005-0000-0000-000063740000}"/>
    <cellStyle name="Note 2 14 3" xfId="10241" xr:uid="{00000000-0005-0000-0000-000064740000}"/>
    <cellStyle name="Note 2 14 4" xfId="31952" xr:uid="{00000000-0005-0000-0000-000065740000}"/>
    <cellStyle name="Note 2 15" xfId="7693" xr:uid="{00000000-0005-0000-0000-000066740000}"/>
    <cellStyle name="Note 2 15 2" xfId="7694" xr:uid="{00000000-0005-0000-0000-000067740000}"/>
    <cellStyle name="Note 2 15 2 2" xfId="11604" xr:uid="{00000000-0005-0000-0000-000068740000}"/>
    <cellStyle name="Note 2 15 2 3" xfId="31955" xr:uid="{00000000-0005-0000-0000-000069740000}"/>
    <cellStyle name="Note 2 15 3" xfId="10242" xr:uid="{00000000-0005-0000-0000-00006A740000}"/>
    <cellStyle name="Note 2 15 4" xfId="31954" xr:uid="{00000000-0005-0000-0000-00006B740000}"/>
    <cellStyle name="Note 2 16" xfId="7695" xr:uid="{00000000-0005-0000-0000-00006C740000}"/>
    <cellStyle name="Note 2 16 2" xfId="7696" xr:uid="{00000000-0005-0000-0000-00006D740000}"/>
    <cellStyle name="Note 2 16 2 2" xfId="11605" xr:uid="{00000000-0005-0000-0000-00006E740000}"/>
    <cellStyle name="Note 2 16 2 3" xfId="31957" xr:uid="{00000000-0005-0000-0000-00006F740000}"/>
    <cellStyle name="Note 2 16 3" xfId="10243" xr:uid="{00000000-0005-0000-0000-000070740000}"/>
    <cellStyle name="Note 2 16 4" xfId="31956" xr:uid="{00000000-0005-0000-0000-000071740000}"/>
    <cellStyle name="Note 2 17" xfId="7697" xr:uid="{00000000-0005-0000-0000-000072740000}"/>
    <cellStyle name="Note 2 17 2" xfId="7698" xr:uid="{00000000-0005-0000-0000-000073740000}"/>
    <cellStyle name="Note 2 17 2 2" xfId="11606" xr:uid="{00000000-0005-0000-0000-000074740000}"/>
    <cellStyle name="Note 2 17 2 3" xfId="31959" xr:uid="{00000000-0005-0000-0000-000075740000}"/>
    <cellStyle name="Note 2 17 3" xfId="10244" xr:uid="{00000000-0005-0000-0000-000076740000}"/>
    <cellStyle name="Note 2 17 4" xfId="31958" xr:uid="{00000000-0005-0000-0000-000077740000}"/>
    <cellStyle name="Note 2 18" xfId="7699" xr:uid="{00000000-0005-0000-0000-000078740000}"/>
    <cellStyle name="Note 2 18 2" xfId="7700" xr:uid="{00000000-0005-0000-0000-000079740000}"/>
    <cellStyle name="Note 2 18 2 2" xfId="11607" xr:uid="{00000000-0005-0000-0000-00007A740000}"/>
    <cellStyle name="Note 2 18 2 3" xfId="31961" xr:uid="{00000000-0005-0000-0000-00007B740000}"/>
    <cellStyle name="Note 2 18 3" xfId="10245" xr:uid="{00000000-0005-0000-0000-00007C740000}"/>
    <cellStyle name="Note 2 18 4" xfId="31960" xr:uid="{00000000-0005-0000-0000-00007D740000}"/>
    <cellStyle name="Note 2 19" xfId="7701" xr:uid="{00000000-0005-0000-0000-00007E740000}"/>
    <cellStyle name="Note 2 19 2" xfId="7702" xr:uid="{00000000-0005-0000-0000-00007F740000}"/>
    <cellStyle name="Note 2 19 2 2" xfId="11608" xr:uid="{00000000-0005-0000-0000-000080740000}"/>
    <cellStyle name="Note 2 19 2 3" xfId="31963" xr:uid="{00000000-0005-0000-0000-000081740000}"/>
    <cellStyle name="Note 2 19 3" xfId="10246" xr:uid="{00000000-0005-0000-0000-000082740000}"/>
    <cellStyle name="Note 2 19 4" xfId="31962" xr:uid="{00000000-0005-0000-0000-000083740000}"/>
    <cellStyle name="Note 2 2" xfId="7703" xr:uid="{00000000-0005-0000-0000-000084740000}"/>
    <cellStyle name="Note 2 2 10" xfId="7704" xr:uid="{00000000-0005-0000-0000-000085740000}"/>
    <cellStyle name="Note 2 2 10 2" xfId="11609" xr:uid="{00000000-0005-0000-0000-000086740000}"/>
    <cellStyle name="Note 2 2 10 3" xfId="31965" xr:uid="{00000000-0005-0000-0000-000087740000}"/>
    <cellStyle name="Note 2 2 11" xfId="7705" xr:uid="{00000000-0005-0000-0000-000088740000}"/>
    <cellStyle name="Note 2 2 11 2" xfId="7706" xr:uid="{00000000-0005-0000-0000-000089740000}"/>
    <cellStyle name="Note 2 2 11 2 2" xfId="15724" xr:uid="{00000000-0005-0000-0000-00008A740000}"/>
    <cellStyle name="Note 2 2 11 2 3" xfId="31967" xr:uid="{00000000-0005-0000-0000-00008B740000}"/>
    <cellStyle name="Note 2 2 11 3" xfId="11861" xr:uid="{00000000-0005-0000-0000-00008C740000}"/>
    <cellStyle name="Note 2 2 11 3 2" xfId="25576" xr:uid="{00000000-0005-0000-0000-00008D740000}"/>
    <cellStyle name="Note 2 2 11 4" xfId="31966" xr:uid="{00000000-0005-0000-0000-00008E740000}"/>
    <cellStyle name="Note 2 2 12" xfId="7707" xr:uid="{00000000-0005-0000-0000-00008F740000}"/>
    <cellStyle name="Note 2 2 12 2" xfId="13450" xr:uid="{00000000-0005-0000-0000-000090740000}"/>
    <cellStyle name="Note 2 2 12 2 2" xfId="26999" xr:uid="{00000000-0005-0000-0000-000091740000}"/>
    <cellStyle name="Note 2 2 12 3" xfId="31968" xr:uid="{00000000-0005-0000-0000-000092740000}"/>
    <cellStyle name="Note 2 2 13" xfId="7708" xr:uid="{00000000-0005-0000-0000-000093740000}"/>
    <cellStyle name="Note 2 2 13 2" xfId="14031" xr:uid="{00000000-0005-0000-0000-000094740000}"/>
    <cellStyle name="Note 2 2 13 2 2" xfId="27580" xr:uid="{00000000-0005-0000-0000-000095740000}"/>
    <cellStyle name="Note 2 2 13 3" xfId="31969" xr:uid="{00000000-0005-0000-0000-000096740000}"/>
    <cellStyle name="Note 2 2 14" xfId="7709" xr:uid="{00000000-0005-0000-0000-000097740000}"/>
    <cellStyle name="Note 2 2 14 2" xfId="15917" xr:uid="{00000000-0005-0000-0000-000098740000}"/>
    <cellStyle name="Note 2 2 14 2 2" xfId="29324" xr:uid="{00000000-0005-0000-0000-000099740000}"/>
    <cellStyle name="Note 2 2 14 3" xfId="31970" xr:uid="{00000000-0005-0000-0000-00009A740000}"/>
    <cellStyle name="Note 2 2 15" xfId="10247" xr:uid="{00000000-0005-0000-0000-00009B740000}"/>
    <cellStyle name="Note 2 2 16" xfId="31964" xr:uid="{00000000-0005-0000-0000-00009C740000}"/>
    <cellStyle name="Note 2 2 2" xfId="7710" xr:uid="{00000000-0005-0000-0000-00009D740000}"/>
    <cellStyle name="Note 2 2 2 10" xfId="31971" xr:uid="{00000000-0005-0000-0000-00009E740000}"/>
    <cellStyle name="Note 2 2 2 2" xfId="7711" xr:uid="{00000000-0005-0000-0000-00009F740000}"/>
    <cellStyle name="Note 2 2 2 2 2" xfId="7712" xr:uid="{00000000-0005-0000-0000-0000A0740000}"/>
    <cellStyle name="Note 2 2 2 2 2 2" xfId="7713" xr:uid="{00000000-0005-0000-0000-0000A1740000}"/>
    <cellStyle name="Note 2 2 2 2 2 2 2" xfId="7714" xr:uid="{00000000-0005-0000-0000-0000A2740000}"/>
    <cellStyle name="Note 2 2 2 2 2 2 2 2" xfId="11610" xr:uid="{00000000-0005-0000-0000-0000A3740000}"/>
    <cellStyle name="Note 2 2 2 2 2 2 2 3" xfId="31975" xr:uid="{00000000-0005-0000-0000-0000A4740000}"/>
    <cellStyle name="Note 2 2 2 2 2 2 3" xfId="7715" xr:uid="{00000000-0005-0000-0000-0000A5740000}"/>
    <cellStyle name="Note 2 2 2 2 2 2 3 2" xfId="16976" xr:uid="{00000000-0005-0000-0000-0000A6740000}"/>
    <cellStyle name="Note 2 2 2 2 2 2 3 2 2" xfId="30383" xr:uid="{00000000-0005-0000-0000-0000A7740000}"/>
    <cellStyle name="Note 2 2 2 2 2 2 3 3" xfId="31976" xr:uid="{00000000-0005-0000-0000-0000A8740000}"/>
    <cellStyle name="Note 2 2 2 2 2 2 4" xfId="10251" xr:uid="{00000000-0005-0000-0000-0000A9740000}"/>
    <cellStyle name="Note 2 2 2 2 2 2 5" xfId="31974" xr:uid="{00000000-0005-0000-0000-0000AA740000}"/>
    <cellStyle name="Note 2 2 2 2 2 3" xfId="7716" xr:uid="{00000000-0005-0000-0000-0000AB740000}"/>
    <cellStyle name="Note 2 2 2 2 2 3 2" xfId="7717" xr:uid="{00000000-0005-0000-0000-0000AC740000}"/>
    <cellStyle name="Note 2 2 2 2 2 3 2 2" xfId="13290" xr:uid="{00000000-0005-0000-0000-0000AD740000}"/>
    <cellStyle name="Note 2 2 2 2 2 3 2 3" xfId="31978" xr:uid="{00000000-0005-0000-0000-0000AE740000}"/>
    <cellStyle name="Note 2 2 2 2 2 3 3" xfId="12364" xr:uid="{00000000-0005-0000-0000-0000AF740000}"/>
    <cellStyle name="Note 2 2 2 2 2 3 3 2" xfId="26076" xr:uid="{00000000-0005-0000-0000-0000B0740000}"/>
    <cellStyle name="Note 2 2 2 2 2 3 4" xfId="31977" xr:uid="{00000000-0005-0000-0000-0000B1740000}"/>
    <cellStyle name="Note 2 2 2 2 2 4" xfId="7718" xr:uid="{00000000-0005-0000-0000-0000B2740000}"/>
    <cellStyle name="Note 2 2 2 2 2 4 2" xfId="7719" xr:uid="{00000000-0005-0000-0000-0000B3740000}"/>
    <cellStyle name="Note 2 2 2 2 2 4 2 2" xfId="15725" xr:uid="{00000000-0005-0000-0000-0000B4740000}"/>
    <cellStyle name="Note 2 2 2 2 2 4 2 3" xfId="31980" xr:uid="{00000000-0005-0000-0000-0000B5740000}"/>
    <cellStyle name="Note 2 2 2 2 2 4 3" xfId="13928" xr:uid="{00000000-0005-0000-0000-0000B6740000}"/>
    <cellStyle name="Note 2 2 2 2 2 4 3 2" xfId="27477" xr:uid="{00000000-0005-0000-0000-0000B7740000}"/>
    <cellStyle name="Note 2 2 2 2 2 4 4" xfId="31979" xr:uid="{00000000-0005-0000-0000-0000B8740000}"/>
    <cellStyle name="Note 2 2 2 2 2 5" xfId="7720" xr:uid="{00000000-0005-0000-0000-0000B9740000}"/>
    <cellStyle name="Note 2 2 2 2 2 5 2" xfId="14509" xr:uid="{00000000-0005-0000-0000-0000BA740000}"/>
    <cellStyle name="Note 2 2 2 2 2 5 2 2" xfId="28058" xr:uid="{00000000-0005-0000-0000-0000BB740000}"/>
    <cellStyle name="Note 2 2 2 2 2 5 3" xfId="31981" xr:uid="{00000000-0005-0000-0000-0000BC740000}"/>
    <cellStyle name="Note 2 2 2 2 2 6" xfId="7721" xr:uid="{00000000-0005-0000-0000-0000BD740000}"/>
    <cellStyle name="Note 2 2 2 2 2 6 2" xfId="16395" xr:uid="{00000000-0005-0000-0000-0000BE740000}"/>
    <cellStyle name="Note 2 2 2 2 2 6 2 2" xfId="29802" xr:uid="{00000000-0005-0000-0000-0000BF740000}"/>
    <cellStyle name="Note 2 2 2 2 2 6 3" xfId="31982" xr:uid="{00000000-0005-0000-0000-0000C0740000}"/>
    <cellStyle name="Note 2 2 2 2 2 7" xfId="10250" xr:uid="{00000000-0005-0000-0000-0000C1740000}"/>
    <cellStyle name="Note 2 2 2 2 2 8" xfId="31973" xr:uid="{00000000-0005-0000-0000-0000C2740000}"/>
    <cellStyle name="Note 2 2 2 2 3" xfId="7722" xr:uid="{00000000-0005-0000-0000-0000C3740000}"/>
    <cellStyle name="Note 2 2 2 2 3 2" xfId="7723" xr:uid="{00000000-0005-0000-0000-0000C4740000}"/>
    <cellStyle name="Note 2 2 2 2 3 2 2" xfId="11611" xr:uid="{00000000-0005-0000-0000-0000C5740000}"/>
    <cellStyle name="Note 2 2 2 2 3 2 3" xfId="31984" xr:uid="{00000000-0005-0000-0000-0000C6740000}"/>
    <cellStyle name="Note 2 2 2 2 3 3" xfId="7724" xr:uid="{00000000-0005-0000-0000-0000C7740000}"/>
    <cellStyle name="Note 2 2 2 2 3 3 2" xfId="16687" xr:uid="{00000000-0005-0000-0000-0000C8740000}"/>
    <cellStyle name="Note 2 2 2 2 3 3 2 2" xfId="30094" xr:uid="{00000000-0005-0000-0000-0000C9740000}"/>
    <cellStyle name="Note 2 2 2 2 3 3 3" xfId="31985" xr:uid="{00000000-0005-0000-0000-0000CA740000}"/>
    <cellStyle name="Note 2 2 2 2 3 4" xfId="10252" xr:uid="{00000000-0005-0000-0000-0000CB740000}"/>
    <cellStyle name="Note 2 2 2 2 3 5" xfId="31983" xr:uid="{00000000-0005-0000-0000-0000CC740000}"/>
    <cellStyle name="Note 2 2 2 2 4" xfId="7725" xr:uid="{00000000-0005-0000-0000-0000CD740000}"/>
    <cellStyle name="Note 2 2 2 2 4 2" xfId="7726" xr:uid="{00000000-0005-0000-0000-0000CE740000}"/>
    <cellStyle name="Note 2 2 2 2 4 2 2" xfId="13291" xr:uid="{00000000-0005-0000-0000-0000CF740000}"/>
    <cellStyle name="Note 2 2 2 2 4 2 3" xfId="31987" xr:uid="{00000000-0005-0000-0000-0000D0740000}"/>
    <cellStyle name="Note 2 2 2 2 4 3" xfId="12064" xr:uid="{00000000-0005-0000-0000-0000D1740000}"/>
    <cellStyle name="Note 2 2 2 2 4 3 2" xfId="25779" xr:uid="{00000000-0005-0000-0000-0000D2740000}"/>
    <cellStyle name="Note 2 2 2 2 4 4" xfId="31986" xr:uid="{00000000-0005-0000-0000-0000D3740000}"/>
    <cellStyle name="Note 2 2 2 2 5" xfId="7727" xr:uid="{00000000-0005-0000-0000-0000D4740000}"/>
    <cellStyle name="Note 2 2 2 2 5 2" xfId="7728" xr:uid="{00000000-0005-0000-0000-0000D5740000}"/>
    <cellStyle name="Note 2 2 2 2 5 2 2" xfId="15726" xr:uid="{00000000-0005-0000-0000-0000D6740000}"/>
    <cellStyle name="Note 2 2 2 2 5 2 3" xfId="31989" xr:uid="{00000000-0005-0000-0000-0000D7740000}"/>
    <cellStyle name="Note 2 2 2 2 5 3" xfId="13639" xr:uid="{00000000-0005-0000-0000-0000D8740000}"/>
    <cellStyle name="Note 2 2 2 2 5 3 2" xfId="27188" xr:uid="{00000000-0005-0000-0000-0000D9740000}"/>
    <cellStyle name="Note 2 2 2 2 5 4" xfId="31988" xr:uid="{00000000-0005-0000-0000-0000DA740000}"/>
    <cellStyle name="Note 2 2 2 2 6" xfId="7729" xr:uid="{00000000-0005-0000-0000-0000DB740000}"/>
    <cellStyle name="Note 2 2 2 2 6 2" xfId="14220" xr:uid="{00000000-0005-0000-0000-0000DC740000}"/>
    <cellStyle name="Note 2 2 2 2 6 2 2" xfId="27769" xr:uid="{00000000-0005-0000-0000-0000DD740000}"/>
    <cellStyle name="Note 2 2 2 2 6 3" xfId="31990" xr:uid="{00000000-0005-0000-0000-0000DE740000}"/>
    <cellStyle name="Note 2 2 2 2 7" xfId="7730" xr:uid="{00000000-0005-0000-0000-0000DF740000}"/>
    <cellStyle name="Note 2 2 2 2 7 2" xfId="16106" xr:uid="{00000000-0005-0000-0000-0000E0740000}"/>
    <cellStyle name="Note 2 2 2 2 7 2 2" xfId="29513" xr:uid="{00000000-0005-0000-0000-0000E1740000}"/>
    <cellStyle name="Note 2 2 2 2 7 3" xfId="31991" xr:uid="{00000000-0005-0000-0000-0000E2740000}"/>
    <cellStyle name="Note 2 2 2 2 8" xfId="10249" xr:uid="{00000000-0005-0000-0000-0000E3740000}"/>
    <cellStyle name="Note 2 2 2 2 9" xfId="31972" xr:uid="{00000000-0005-0000-0000-0000E4740000}"/>
    <cellStyle name="Note 2 2 2 3" xfId="7731" xr:uid="{00000000-0005-0000-0000-0000E5740000}"/>
    <cellStyle name="Note 2 2 2 3 2" xfId="7732" xr:uid="{00000000-0005-0000-0000-0000E6740000}"/>
    <cellStyle name="Note 2 2 2 3 2 2" xfId="7733" xr:uid="{00000000-0005-0000-0000-0000E7740000}"/>
    <cellStyle name="Note 2 2 2 3 2 2 2" xfId="11612" xr:uid="{00000000-0005-0000-0000-0000E8740000}"/>
    <cellStyle name="Note 2 2 2 3 2 2 3" xfId="31994" xr:uid="{00000000-0005-0000-0000-0000E9740000}"/>
    <cellStyle name="Note 2 2 2 3 2 3" xfId="7734" xr:uid="{00000000-0005-0000-0000-0000EA740000}"/>
    <cellStyle name="Note 2 2 2 3 2 3 2" xfId="16833" xr:uid="{00000000-0005-0000-0000-0000EB740000}"/>
    <cellStyle name="Note 2 2 2 3 2 3 2 2" xfId="30240" xr:uid="{00000000-0005-0000-0000-0000EC740000}"/>
    <cellStyle name="Note 2 2 2 3 2 3 3" xfId="31995" xr:uid="{00000000-0005-0000-0000-0000ED740000}"/>
    <cellStyle name="Note 2 2 2 3 2 4" xfId="10254" xr:uid="{00000000-0005-0000-0000-0000EE740000}"/>
    <cellStyle name="Note 2 2 2 3 2 5" xfId="31993" xr:uid="{00000000-0005-0000-0000-0000EF740000}"/>
    <cellStyle name="Note 2 2 2 3 3" xfId="7735" xr:uid="{00000000-0005-0000-0000-0000F0740000}"/>
    <cellStyle name="Note 2 2 2 3 3 2" xfId="7736" xr:uid="{00000000-0005-0000-0000-0000F1740000}"/>
    <cellStyle name="Note 2 2 2 3 3 2 2" xfId="13292" xr:uid="{00000000-0005-0000-0000-0000F2740000}"/>
    <cellStyle name="Note 2 2 2 3 3 2 3" xfId="31997" xr:uid="{00000000-0005-0000-0000-0000F3740000}"/>
    <cellStyle name="Note 2 2 2 3 3 3" xfId="12221" xr:uid="{00000000-0005-0000-0000-0000F4740000}"/>
    <cellStyle name="Note 2 2 2 3 3 3 2" xfId="25933" xr:uid="{00000000-0005-0000-0000-0000F5740000}"/>
    <cellStyle name="Note 2 2 2 3 3 4" xfId="31996" xr:uid="{00000000-0005-0000-0000-0000F6740000}"/>
    <cellStyle name="Note 2 2 2 3 4" xfId="7737" xr:uid="{00000000-0005-0000-0000-0000F7740000}"/>
    <cellStyle name="Note 2 2 2 3 4 2" xfId="7738" xr:uid="{00000000-0005-0000-0000-0000F8740000}"/>
    <cellStyle name="Note 2 2 2 3 4 2 2" xfId="15727" xr:uid="{00000000-0005-0000-0000-0000F9740000}"/>
    <cellStyle name="Note 2 2 2 3 4 2 3" xfId="31999" xr:uid="{00000000-0005-0000-0000-0000FA740000}"/>
    <cellStyle name="Note 2 2 2 3 4 3" xfId="13785" xr:uid="{00000000-0005-0000-0000-0000FB740000}"/>
    <cellStyle name="Note 2 2 2 3 4 3 2" xfId="27334" xr:uid="{00000000-0005-0000-0000-0000FC740000}"/>
    <cellStyle name="Note 2 2 2 3 4 4" xfId="31998" xr:uid="{00000000-0005-0000-0000-0000FD740000}"/>
    <cellStyle name="Note 2 2 2 3 5" xfId="7739" xr:uid="{00000000-0005-0000-0000-0000FE740000}"/>
    <cellStyle name="Note 2 2 2 3 5 2" xfId="14366" xr:uid="{00000000-0005-0000-0000-0000FF740000}"/>
    <cellStyle name="Note 2 2 2 3 5 2 2" xfId="27915" xr:uid="{00000000-0005-0000-0000-000000750000}"/>
    <cellStyle name="Note 2 2 2 3 5 3" xfId="32000" xr:uid="{00000000-0005-0000-0000-000001750000}"/>
    <cellStyle name="Note 2 2 2 3 6" xfId="7740" xr:uid="{00000000-0005-0000-0000-000002750000}"/>
    <cellStyle name="Note 2 2 2 3 6 2" xfId="16252" xr:uid="{00000000-0005-0000-0000-000003750000}"/>
    <cellStyle name="Note 2 2 2 3 6 2 2" xfId="29659" xr:uid="{00000000-0005-0000-0000-000004750000}"/>
    <cellStyle name="Note 2 2 2 3 6 3" xfId="32001" xr:uid="{00000000-0005-0000-0000-000005750000}"/>
    <cellStyle name="Note 2 2 2 3 7" xfId="10253" xr:uid="{00000000-0005-0000-0000-000006750000}"/>
    <cellStyle name="Note 2 2 2 3 8" xfId="31992" xr:uid="{00000000-0005-0000-0000-000007750000}"/>
    <cellStyle name="Note 2 2 2 4" xfId="7741" xr:uid="{00000000-0005-0000-0000-000008750000}"/>
    <cellStyle name="Note 2 2 2 4 2" xfId="7742" xr:uid="{00000000-0005-0000-0000-000009750000}"/>
    <cellStyle name="Note 2 2 2 4 2 2" xfId="11613" xr:uid="{00000000-0005-0000-0000-00000A750000}"/>
    <cellStyle name="Note 2 2 2 4 2 3" xfId="32003" xr:uid="{00000000-0005-0000-0000-00000B750000}"/>
    <cellStyle name="Note 2 2 2 4 3" xfId="7743" xr:uid="{00000000-0005-0000-0000-00000C750000}"/>
    <cellStyle name="Note 2 2 2 4 3 2" xfId="17180" xr:uid="{00000000-0005-0000-0000-00000D750000}"/>
    <cellStyle name="Note 2 2 2 4 3 2 2" xfId="30539" xr:uid="{00000000-0005-0000-0000-00000E750000}"/>
    <cellStyle name="Note 2 2 2 4 3 3" xfId="32004" xr:uid="{00000000-0005-0000-0000-00000F750000}"/>
    <cellStyle name="Note 2 2 2 4 4" xfId="10255" xr:uid="{00000000-0005-0000-0000-000010750000}"/>
    <cellStyle name="Note 2 2 2 4 5" xfId="32002" xr:uid="{00000000-0005-0000-0000-000011750000}"/>
    <cellStyle name="Note 2 2 2 5" xfId="7744" xr:uid="{00000000-0005-0000-0000-000012750000}"/>
    <cellStyle name="Note 2 2 2 5 2" xfId="7745" xr:uid="{00000000-0005-0000-0000-000013750000}"/>
    <cellStyle name="Note 2 2 2 5 2 2" xfId="13293" xr:uid="{00000000-0005-0000-0000-000014750000}"/>
    <cellStyle name="Note 2 2 2 5 2 3" xfId="32006" xr:uid="{00000000-0005-0000-0000-000015750000}"/>
    <cellStyle name="Note 2 2 2 5 3" xfId="7746" xr:uid="{00000000-0005-0000-0000-000016750000}"/>
    <cellStyle name="Note 2 2 2 5 3 2" xfId="17269" xr:uid="{00000000-0005-0000-0000-000017750000}"/>
    <cellStyle name="Note 2 2 2 5 3 2 2" xfId="30628" xr:uid="{00000000-0005-0000-0000-000018750000}"/>
    <cellStyle name="Note 2 2 2 5 3 3" xfId="32007" xr:uid="{00000000-0005-0000-0000-000019750000}"/>
    <cellStyle name="Note 2 2 2 5 4" xfId="11919" xr:uid="{00000000-0005-0000-0000-00001A750000}"/>
    <cellStyle name="Note 2 2 2 5 4 2" xfId="25634" xr:uid="{00000000-0005-0000-0000-00001B750000}"/>
    <cellStyle name="Note 2 2 2 5 5" xfId="32005" xr:uid="{00000000-0005-0000-0000-00001C750000}"/>
    <cellStyle name="Note 2 2 2 6" xfId="7747" xr:uid="{00000000-0005-0000-0000-00001D750000}"/>
    <cellStyle name="Note 2 2 2 6 2" xfId="7748" xr:uid="{00000000-0005-0000-0000-00001E750000}"/>
    <cellStyle name="Note 2 2 2 6 2 2" xfId="15728" xr:uid="{00000000-0005-0000-0000-00001F750000}"/>
    <cellStyle name="Note 2 2 2 6 2 3" xfId="32009" xr:uid="{00000000-0005-0000-0000-000020750000}"/>
    <cellStyle name="Note 2 2 2 6 3" xfId="7749" xr:uid="{00000000-0005-0000-0000-000021750000}"/>
    <cellStyle name="Note 2 2 2 6 3 2" xfId="16544" xr:uid="{00000000-0005-0000-0000-000022750000}"/>
    <cellStyle name="Note 2 2 2 6 3 2 2" xfId="29951" xr:uid="{00000000-0005-0000-0000-000023750000}"/>
    <cellStyle name="Note 2 2 2 6 3 3" xfId="32010" xr:uid="{00000000-0005-0000-0000-000024750000}"/>
    <cellStyle name="Note 2 2 2 6 4" xfId="13496" xr:uid="{00000000-0005-0000-0000-000025750000}"/>
    <cellStyle name="Note 2 2 2 6 4 2" xfId="27045" xr:uid="{00000000-0005-0000-0000-000026750000}"/>
    <cellStyle name="Note 2 2 2 6 5" xfId="32008" xr:uid="{00000000-0005-0000-0000-000027750000}"/>
    <cellStyle name="Note 2 2 2 7" xfId="7750" xr:uid="{00000000-0005-0000-0000-000028750000}"/>
    <cellStyle name="Note 2 2 2 7 2" xfId="14077" xr:uid="{00000000-0005-0000-0000-000029750000}"/>
    <cellStyle name="Note 2 2 2 7 2 2" xfId="27626" xr:uid="{00000000-0005-0000-0000-00002A750000}"/>
    <cellStyle name="Note 2 2 2 7 3" xfId="32011" xr:uid="{00000000-0005-0000-0000-00002B750000}"/>
    <cellStyle name="Note 2 2 2 8" xfId="7751" xr:uid="{00000000-0005-0000-0000-00002C750000}"/>
    <cellStyle name="Note 2 2 2 8 2" xfId="15963" xr:uid="{00000000-0005-0000-0000-00002D750000}"/>
    <cellStyle name="Note 2 2 2 8 2 2" xfId="29370" xr:uid="{00000000-0005-0000-0000-00002E750000}"/>
    <cellStyle name="Note 2 2 2 8 3" xfId="32012" xr:uid="{00000000-0005-0000-0000-00002F750000}"/>
    <cellStyle name="Note 2 2 2 9" xfId="10248" xr:uid="{00000000-0005-0000-0000-000030750000}"/>
    <cellStyle name="Note 2 2 3" xfId="7752" xr:uid="{00000000-0005-0000-0000-000031750000}"/>
    <cellStyle name="Note 2 2 3 2" xfId="7753" xr:uid="{00000000-0005-0000-0000-000032750000}"/>
    <cellStyle name="Note 2 2 3 2 2" xfId="7754" xr:uid="{00000000-0005-0000-0000-000033750000}"/>
    <cellStyle name="Note 2 2 3 2 2 2" xfId="7755" xr:uid="{00000000-0005-0000-0000-000034750000}"/>
    <cellStyle name="Note 2 2 3 2 2 2 2" xfId="11614" xr:uid="{00000000-0005-0000-0000-000035750000}"/>
    <cellStyle name="Note 2 2 3 2 2 2 3" xfId="32016" xr:uid="{00000000-0005-0000-0000-000036750000}"/>
    <cellStyle name="Note 2 2 3 2 2 3" xfId="7756" xr:uid="{00000000-0005-0000-0000-000037750000}"/>
    <cellStyle name="Note 2 2 3 2 2 3 2" xfId="16930" xr:uid="{00000000-0005-0000-0000-000038750000}"/>
    <cellStyle name="Note 2 2 3 2 2 3 2 2" xfId="30337" xr:uid="{00000000-0005-0000-0000-000039750000}"/>
    <cellStyle name="Note 2 2 3 2 2 3 3" xfId="32017" xr:uid="{00000000-0005-0000-0000-00003A750000}"/>
    <cellStyle name="Note 2 2 3 2 2 4" xfId="10258" xr:uid="{00000000-0005-0000-0000-00003B750000}"/>
    <cellStyle name="Note 2 2 3 2 2 5" xfId="32015" xr:uid="{00000000-0005-0000-0000-00003C750000}"/>
    <cellStyle name="Note 2 2 3 2 3" xfId="7757" xr:uid="{00000000-0005-0000-0000-00003D750000}"/>
    <cellStyle name="Note 2 2 3 2 3 2" xfId="7758" xr:uid="{00000000-0005-0000-0000-00003E750000}"/>
    <cellStyle name="Note 2 2 3 2 3 2 2" xfId="13294" xr:uid="{00000000-0005-0000-0000-00003F750000}"/>
    <cellStyle name="Note 2 2 3 2 3 2 3" xfId="32019" xr:uid="{00000000-0005-0000-0000-000040750000}"/>
    <cellStyle name="Note 2 2 3 2 3 3" xfId="12318" xr:uid="{00000000-0005-0000-0000-000041750000}"/>
    <cellStyle name="Note 2 2 3 2 3 3 2" xfId="26030" xr:uid="{00000000-0005-0000-0000-000042750000}"/>
    <cellStyle name="Note 2 2 3 2 3 4" xfId="32018" xr:uid="{00000000-0005-0000-0000-000043750000}"/>
    <cellStyle name="Note 2 2 3 2 4" xfId="7759" xr:uid="{00000000-0005-0000-0000-000044750000}"/>
    <cellStyle name="Note 2 2 3 2 4 2" xfId="7760" xr:uid="{00000000-0005-0000-0000-000045750000}"/>
    <cellStyle name="Note 2 2 3 2 4 2 2" xfId="15729" xr:uid="{00000000-0005-0000-0000-000046750000}"/>
    <cellStyle name="Note 2 2 3 2 4 2 3" xfId="32021" xr:uid="{00000000-0005-0000-0000-000047750000}"/>
    <cellStyle name="Note 2 2 3 2 4 3" xfId="13882" xr:uid="{00000000-0005-0000-0000-000048750000}"/>
    <cellStyle name="Note 2 2 3 2 4 3 2" xfId="27431" xr:uid="{00000000-0005-0000-0000-000049750000}"/>
    <cellStyle name="Note 2 2 3 2 4 4" xfId="32020" xr:uid="{00000000-0005-0000-0000-00004A750000}"/>
    <cellStyle name="Note 2 2 3 2 5" xfId="7761" xr:uid="{00000000-0005-0000-0000-00004B750000}"/>
    <cellStyle name="Note 2 2 3 2 5 2" xfId="14463" xr:uid="{00000000-0005-0000-0000-00004C750000}"/>
    <cellStyle name="Note 2 2 3 2 5 2 2" xfId="28012" xr:uid="{00000000-0005-0000-0000-00004D750000}"/>
    <cellStyle name="Note 2 2 3 2 5 3" xfId="32022" xr:uid="{00000000-0005-0000-0000-00004E750000}"/>
    <cellStyle name="Note 2 2 3 2 6" xfId="7762" xr:uid="{00000000-0005-0000-0000-00004F750000}"/>
    <cellStyle name="Note 2 2 3 2 6 2" xfId="16349" xr:uid="{00000000-0005-0000-0000-000050750000}"/>
    <cellStyle name="Note 2 2 3 2 6 2 2" xfId="29756" xr:uid="{00000000-0005-0000-0000-000051750000}"/>
    <cellStyle name="Note 2 2 3 2 6 3" xfId="32023" xr:uid="{00000000-0005-0000-0000-000052750000}"/>
    <cellStyle name="Note 2 2 3 2 7" xfId="10257" xr:uid="{00000000-0005-0000-0000-000053750000}"/>
    <cellStyle name="Note 2 2 3 2 8" xfId="32014" xr:uid="{00000000-0005-0000-0000-000054750000}"/>
    <cellStyle name="Note 2 2 3 3" xfId="7763" xr:uid="{00000000-0005-0000-0000-000055750000}"/>
    <cellStyle name="Note 2 2 3 3 2" xfId="7764" xr:uid="{00000000-0005-0000-0000-000056750000}"/>
    <cellStyle name="Note 2 2 3 3 2 2" xfId="11615" xr:uid="{00000000-0005-0000-0000-000057750000}"/>
    <cellStyle name="Note 2 2 3 3 2 3" xfId="32025" xr:uid="{00000000-0005-0000-0000-000058750000}"/>
    <cellStyle name="Note 2 2 3 3 3" xfId="7765" xr:uid="{00000000-0005-0000-0000-000059750000}"/>
    <cellStyle name="Note 2 2 3 3 3 2" xfId="16641" xr:uid="{00000000-0005-0000-0000-00005A750000}"/>
    <cellStyle name="Note 2 2 3 3 3 2 2" xfId="30048" xr:uid="{00000000-0005-0000-0000-00005B750000}"/>
    <cellStyle name="Note 2 2 3 3 3 3" xfId="32026" xr:uid="{00000000-0005-0000-0000-00005C750000}"/>
    <cellStyle name="Note 2 2 3 3 4" xfId="10259" xr:uid="{00000000-0005-0000-0000-00005D750000}"/>
    <cellStyle name="Note 2 2 3 3 5" xfId="32024" xr:uid="{00000000-0005-0000-0000-00005E750000}"/>
    <cellStyle name="Note 2 2 3 4" xfId="7766" xr:uid="{00000000-0005-0000-0000-00005F750000}"/>
    <cellStyle name="Note 2 2 3 4 2" xfId="7767" xr:uid="{00000000-0005-0000-0000-000060750000}"/>
    <cellStyle name="Note 2 2 3 4 2 2" xfId="13295" xr:uid="{00000000-0005-0000-0000-000061750000}"/>
    <cellStyle name="Note 2 2 3 4 2 3" xfId="32028" xr:uid="{00000000-0005-0000-0000-000062750000}"/>
    <cellStyle name="Note 2 2 3 4 3" xfId="12018" xr:uid="{00000000-0005-0000-0000-000063750000}"/>
    <cellStyle name="Note 2 2 3 4 3 2" xfId="25733" xr:uid="{00000000-0005-0000-0000-000064750000}"/>
    <cellStyle name="Note 2 2 3 4 4" xfId="32027" xr:uid="{00000000-0005-0000-0000-000065750000}"/>
    <cellStyle name="Note 2 2 3 5" xfId="7768" xr:uid="{00000000-0005-0000-0000-000066750000}"/>
    <cellStyle name="Note 2 2 3 5 2" xfId="7769" xr:uid="{00000000-0005-0000-0000-000067750000}"/>
    <cellStyle name="Note 2 2 3 5 2 2" xfId="15730" xr:uid="{00000000-0005-0000-0000-000068750000}"/>
    <cellStyle name="Note 2 2 3 5 2 3" xfId="32030" xr:uid="{00000000-0005-0000-0000-000069750000}"/>
    <cellStyle name="Note 2 2 3 5 3" xfId="13593" xr:uid="{00000000-0005-0000-0000-00006A750000}"/>
    <cellStyle name="Note 2 2 3 5 3 2" xfId="27142" xr:uid="{00000000-0005-0000-0000-00006B750000}"/>
    <cellStyle name="Note 2 2 3 5 4" xfId="32029" xr:uid="{00000000-0005-0000-0000-00006C750000}"/>
    <cellStyle name="Note 2 2 3 6" xfId="7770" xr:uid="{00000000-0005-0000-0000-00006D750000}"/>
    <cellStyle name="Note 2 2 3 6 2" xfId="14174" xr:uid="{00000000-0005-0000-0000-00006E750000}"/>
    <cellStyle name="Note 2 2 3 6 2 2" xfId="27723" xr:uid="{00000000-0005-0000-0000-00006F750000}"/>
    <cellStyle name="Note 2 2 3 6 3" xfId="32031" xr:uid="{00000000-0005-0000-0000-000070750000}"/>
    <cellStyle name="Note 2 2 3 7" xfId="7771" xr:uid="{00000000-0005-0000-0000-000071750000}"/>
    <cellStyle name="Note 2 2 3 7 2" xfId="16060" xr:uid="{00000000-0005-0000-0000-000072750000}"/>
    <cellStyle name="Note 2 2 3 7 2 2" xfId="29467" xr:uid="{00000000-0005-0000-0000-000073750000}"/>
    <cellStyle name="Note 2 2 3 7 3" xfId="32032" xr:uid="{00000000-0005-0000-0000-000074750000}"/>
    <cellStyle name="Note 2 2 3 8" xfId="10256" xr:uid="{00000000-0005-0000-0000-000075750000}"/>
    <cellStyle name="Note 2 2 3 9" xfId="32013" xr:uid="{00000000-0005-0000-0000-000076750000}"/>
    <cellStyle name="Note 2 2 4" xfId="7772" xr:uid="{00000000-0005-0000-0000-000077750000}"/>
    <cellStyle name="Note 2 2 4 2" xfId="7773" xr:uid="{00000000-0005-0000-0000-000078750000}"/>
    <cellStyle name="Note 2 2 4 2 2" xfId="7774" xr:uid="{00000000-0005-0000-0000-000079750000}"/>
    <cellStyle name="Note 2 2 4 2 2 2" xfId="11616" xr:uid="{00000000-0005-0000-0000-00007A750000}"/>
    <cellStyle name="Note 2 2 4 2 2 3" xfId="32035" xr:uid="{00000000-0005-0000-0000-00007B750000}"/>
    <cellStyle name="Note 2 2 4 2 3" xfId="7775" xr:uid="{00000000-0005-0000-0000-00007C750000}"/>
    <cellStyle name="Note 2 2 4 2 3 2" xfId="16787" xr:uid="{00000000-0005-0000-0000-00007D750000}"/>
    <cellStyle name="Note 2 2 4 2 3 2 2" xfId="30194" xr:uid="{00000000-0005-0000-0000-00007E750000}"/>
    <cellStyle name="Note 2 2 4 2 3 3" xfId="32036" xr:uid="{00000000-0005-0000-0000-00007F750000}"/>
    <cellStyle name="Note 2 2 4 2 4" xfId="10261" xr:uid="{00000000-0005-0000-0000-000080750000}"/>
    <cellStyle name="Note 2 2 4 2 5" xfId="32034" xr:uid="{00000000-0005-0000-0000-000081750000}"/>
    <cellStyle name="Note 2 2 4 3" xfId="7776" xr:uid="{00000000-0005-0000-0000-000082750000}"/>
    <cellStyle name="Note 2 2 4 3 2" xfId="7777" xr:uid="{00000000-0005-0000-0000-000083750000}"/>
    <cellStyle name="Note 2 2 4 3 2 2" xfId="13296" xr:uid="{00000000-0005-0000-0000-000084750000}"/>
    <cellStyle name="Note 2 2 4 3 2 3" xfId="32038" xr:uid="{00000000-0005-0000-0000-000085750000}"/>
    <cellStyle name="Note 2 2 4 3 3" xfId="12175" xr:uid="{00000000-0005-0000-0000-000086750000}"/>
    <cellStyle name="Note 2 2 4 3 3 2" xfId="25887" xr:uid="{00000000-0005-0000-0000-000087750000}"/>
    <cellStyle name="Note 2 2 4 3 4" xfId="32037" xr:uid="{00000000-0005-0000-0000-000088750000}"/>
    <cellStyle name="Note 2 2 4 4" xfId="7778" xr:uid="{00000000-0005-0000-0000-000089750000}"/>
    <cellStyle name="Note 2 2 4 4 2" xfId="7779" xr:uid="{00000000-0005-0000-0000-00008A750000}"/>
    <cellStyle name="Note 2 2 4 4 2 2" xfId="15731" xr:uid="{00000000-0005-0000-0000-00008B750000}"/>
    <cellStyle name="Note 2 2 4 4 2 3" xfId="32040" xr:uid="{00000000-0005-0000-0000-00008C750000}"/>
    <cellStyle name="Note 2 2 4 4 3" xfId="13739" xr:uid="{00000000-0005-0000-0000-00008D750000}"/>
    <cellStyle name="Note 2 2 4 4 3 2" xfId="27288" xr:uid="{00000000-0005-0000-0000-00008E750000}"/>
    <cellStyle name="Note 2 2 4 4 4" xfId="32039" xr:uid="{00000000-0005-0000-0000-00008F750000}"/>
    <cellStyle name="Note 2 2 4 5" xfId="7780" xr:uid="{00000000-0005-0000-0000-000090750000}"/>
    <cellStyle name="Note 2 2 4 5 2" xfId="14320" xr:uid="{00000000-0005-0000-0000-000091750000}"/>
    <cellStyle name="Note 2 2 4 5 2 2" xfId="27869" xr:uid="{00000000-0005-0000-0000-000092750000}"/>
    <cellStyle name="Note 2 2 4 5 3" xfId="32041" xr:uid="{00000000-0005-0000-0000-000093750000}"/>
    <cellStyle name="Note 2 2 4 6" xfId="7781" xr:uid="{00000000-0005-0000-0000-000094750000}"/>
    <cellStyle name="Note 2 2 4 6 2" xfId="16206" xr:uid="{00000000-0005-0000-0000-000095750000}"/>
    <cellStyle name="Note 2 2 4 6 2 2" xfId="29613" xr:uid="{00000000-0005-0000-0000-000096750000}"/>
    <cellStyle name="Note 2 2 4 6 3" xfId="32042" xr:uid="{00000000-0005-0000-0000-000097750000}"/>
    <cellStyle name="Note 2 2 4 7" xfId="10260" xr:uid="{00000000-0005-0000-0000-000098750000}"/>
    <cellStyle name="Note 2 2 4 8" xfId="32033" xr:uid="{00000000-0005-0000-0000-000099750000}"/>
    <cellStyle name="Note 2 2 5" xfId="7782" xr:uid="{00000000-0005-0000-0000-00009A750000}"/>
    <cellStyle name="Note 2 2 5 2" xfId="7783" xr:uid="{00000000-0005-0000-0000-00009B750000}"/>
    <cellStyle name="Note 2 2 5 2 2" xfId="7784" xr:uid="{00000000-0005-0000-0000-00009C750000}"/>
    <cellStyle name="Note 2 2 5 2 2 2" xfId="11618" xr:uid="{00000000-0005-0000-0000-00009D750000}"/>
    <cellStyle name="Note 2 2 5 2 2 3" xfId="32045" xr:uid="{00000000-0005-0000-0000-00009E750000}"/>
    <cellStyle name="Note 2 2 5 2 3" xfId="10263" xr:uid="{00000000-0005-0000-0000-00009F750000}"/>
    <cellStyle name="Note 2 2 5 2 4" xfId="32044" xr:uid="{00000000-0005-0000-0000-0000A0750000}"/>
    <cellStyle name="Note 2 2 5 3" xfId="7785" xr:uid="{00000000-0005-0000-0000-0000A1750000}"/>
    <cellStyle name="Note 2 2 5 3 2" xfId="11617" xr:uid="{00000000-0005-0000-0000-0000A2750000}"/>
    <cellStyle name="Note 2 2 5 3 3" xfId="32046" xr:uid="{00000000-0005-0000-0000-0000A3750000}"/>
    <cellStyle name="Note 2 2 5 4" xfId="7786" xr:uid="{00000000-0005-0000-0000-0000A4750000}"/>
    <cellStyle name="Note 2 2 5 4 2" xfId="17053" xr:uid="{00000000-0005-0000-0000-0000A5750000}"/>
    <cellStyle name="Note 2 2 5 4 2 2" xfId="30452" xr:uid="{00000000-0005-0000-0000-0000A6750000}"/>
    <cellStyle name="Note 2 2 5 4 3" xfId="32047" xr:uid="{00000000-0005-0000-0000-0000A7750000}"/>
    <cellStyle name="Note 2 2 5 5" xfId="10262" xr:uid="{00000000-0005-0000-0000-0000A8750000}"/>
    <cellStyle name="Note 2 2 5 6" xfId="32043" xr:uid="{00000000-0005-0000-0000-0000A9750000}"/>
    <cellStyle name="Note 2 2 6" xfId="7787" xr:uid="{00000000-0005-0000-0000-0000AA750000}"/>
    <cellStyle name="Note 2 2 6 2" xfId="7788" xr:uid="{00000000-0005-0000-0000-0000AB750000}"/>
    <cellStyle name="Note 2 2 6 2 2" xfId="17134" xr:uid="{00000000-0005-0000-0000-0000AC750000}"/>
    <cellStyle name="Note 2 2 6 2 2 2" xfId="30493" xr:uid="{00000000-0005-0000-0000-0000AD750000}"/>
    <cellStyle name="Note 2 2 6 2 3" xfId="32049" xr:uid="{00000000-0005-0000-0000-0000AE750000}"/>
    <cellStyle name="Note 2 2 6 3" xfId="10264" xr:uid="{00000000-0005-0000-0000-0000AF750000}"/>
    <cellStyle name="Note 2 2 6 4" xfId="32048" xr:uid="{00000000-0005-0000-0000-0000B0750000}"/>
    <cellStyle name="Note 2 2 7" xfId="7789" xr:uid="{00000000-0005-0000-0000-0000B1750000}"/>
    <cellStyle name="Note 2 2 7 2" xfId="7790" xr:uid="{00000000-0005-0000-0000-0000B2750000}"/>
    <cellStyle name="Note 2 2 7 2 2" xfId="11619" xr:uid="{00000000-0005-0000-0000-0000B3750000}"/>
    <cellStyle name="Note 2 2 7 2 3" xfId="32051" xr:uid="{00000000-0005-0000-0000-0000B4750000}"/>
    <cellStyle name="Note 2 2 7 3" xfId="7791" xr:uid="{00000000-0005-0000-0000-0000B5750000}"/>
    <cellStyle name="Note 2 2 7 3 2" xfId="17223" xr:uid="{00000000-0005-0000-0000-0000B6750000}"/>
    <cellStyle name="Note 2 2 7 3 2 2" xfId="30582" xr:uid="{00000000-0005-0000-0000-0000B7750000}"/>
    <cellStyle name="Note 2 2 7 3 3" xfId="32052" xr:uid="{00000000-0005-0000-0000-0000B8750000}"/>
    <cellStyle name="Note 2 2 7 4" xfId="10265" xr:uid="{00000000-0005-0000-0000-0000B9750000}"/>
    <cellStyle name="Note 2 2 7 5" xfId="32050" xr:uid="{00000000-0005-0000-0000-0000BA750000}"/>
    <cellStyle name="Note 2 2 8" xfId="7792" xr:uid="{00000000-0005-0000-0000-0000BB750000}"/>
    <cellStyle name="Note 2 2 8 2" xfId="7793" xr:uid="{00000000-0005-0000-0000-0000BC750000}"/>
    <cellStyle name="Note 2 2 8 2 2" xfId="11620" xr:uid="{00000000-0005-0000-0000-0000BD750000}"/>
    <cellStyle name="Note 2 2 8 2 3" xfId="32054" xr:uid="{00000000-0005-0000-0000-0000BE750000}"/>
    <cellStyle name="Note 2 2 8 3" xfId="7794" xr:uid="{00000000-0005-0000-0000-0000BF750000}"/>
    <cellStyle name="Note 2 2 8 3 2" xfId="16498" xr:uid="{00000000-0005-0000-0000-0000C0750000}"/>
    <cellStyle name="Note 2 2 8 3 2 2" xfId="29905" xr:uid="{00000000-0005-0000-0000-0000C1750000}"/>
    <cellStyle name="Note 2 2 8 3 3" xfId="32055" xr:uid="{00000000-0005-0000-0000-0000C2750000}"/>
    <cellStyle name="Note 2 2 8 4" xfId="10266" xr:uid="{00000000-0005-0000-0000-0000C3750000}"/>
    <cellStyle name="Note 2 2 8 5" xfId="32053" xr:uid="{00000000-0005-0000-0000-0000C4750000}"/>
    <cellStyle name="Note 2 2 9" xfId="7795" xr:uid="{00000000-0005-0000-0000-0000C5750000}"/>
    <cellStyle name="Note 2 2 9 2" xfId="7796" xr:uid="{00000000-0005-0000-0000-0000C6750000}"/>
    <cellStyle name="Note 2 2 9 2 2" xfId="13297" xr:uid="{00000000-0005-0000-0000-0000C7750000}"/>
    <cellStyle name="Note 2 2 9 2 2 2" xfId="26919" xr:uid="{00000000-0005-0000-0000-0000C8750000}"/>
    <cellStyle name="Note 2 2 9 2 3" xfId="32057" xr:uid="{00000000-0005-0000-0000-0000C9750000}"/>
    <cellStyle name="Note 2 2 9 3" xfId="7797" xr:uid="{00000000-0005-0000-0000-0000CA750000}"/>
    <cellStyle name="Note 2 2 9 3 2" xfId="15732" xr:uid="{00000000-0005-0000-0000-0000CB750000}"/>
    <cellStyle name="Note 2 2 9 3 3" xfId="32058" xr:uid="{00000000-0005-0000-0000-0000CC750000}"/>
    <cellStyle name="Note 2 2 9 4" xfId="10543" xr:uid="{00000000-0005-0000-0000-0000CD750000}"/>
    <cellStyle name="Note 2 2 9 4 2" xfId="24485" xr:uid="{00000000-0005-0000-0000-0000CE750000}"/>
    <cellStyle name="Note 2 2 9 5" xfId="32056" xr:uid="{00000000-0005-0000-0000-0000CF750000}"/>
    <cellStyle name="Note 2 20" xfId="7798" xr:uid="{00000000-0005-0000-0000-0000D0750000}"/>
    <cellStyle name="Note 2 20 2" xfId="7799" xr:uid="{00000000-0005-0000-0000-0000D1750000}"/>
    <cellStyle name="Note 2 20 2 2" xfId="11725" xr:uid="{00000000-0005-0000-0000-0000D2750000}"/>
    <cellStyle name="Note 2 20 2 2 2" xfId="25445" xr:uid="{00000000-0005-0000-0000-0000D3750000}"/>
    <cellStyle name="Note 2 20 2 3" xfId="32060" xr:uid="{00000000-0005-0000-0000-0000D4750000}"/>
    <cellStyle name="Note 2 20 3" xfId="7800" xr:uid="{00000000-0005-0000-0000-0000D5750000}"/>
    <cellStyle name="Note 2 20 3 2" xfId="13298" xr:uid="{00000000-0005-0000-0000-0000D6750000}"/>
    <cellStyle name="Note 2 20 3 2 2" xfId="26920" xr:uid="{00000000-0005-0000-0000-0000D7750000}"/>
    <cellStyle name="Note 2 20 3 3" xfId="32061" xr:uid="{00000000-0005-0000-0000-0000D8750000}"/>
    <cellStyle name="Note 2 20 4" xfId="7801" xr:uid="{00000000-0005-0000-0000-0000D9750000}"/>
    <cellStyle name="Note 2 20 4 2" xfId="15733" xr:uid="{00000000-0005-0000-0000-0000DA750000}"/>
    <cellStyle name="Note 2 20 4 3" xfId="32062" xr:uid="{00000000-0005-0000-0000-0000DB750000}"/>
    <cellStyle name="Note 2 20 5" xfId="10498" xr:uid="{00000000-0005-0000-0000-0000DC750000}"/>
    <cellStyle name="Note 2 20 5 2" xfId="24449" xr:uid="{00000000-0005-0000-0000-0000DD750000}"/>
    <cellStyle name="Note 2 20 6" xfId="32059" xr:uid="{00000000-0005-0000-0000-0000DE750000}"/>
    <cellStyle name="Note 2 21" xfId="7802" xr:uid="{00000000-0005-0000-0000-0000DF750000}"/>
    <cellStyle name="Note 2 21 2" xfId="7803" xr:uid="{00000000-0005-0000-0000-0000E0750000}"/>
    <cellStyle name="Note 2 21 2 2" xfId="13299" xr:uid="{00000000-0005-0000-0000-0000E1750000}"/>
    <cellStyle name="Note 2 21 2 2 2" xfId="26921" xr:uid="{00000000-0005-0000-0000-0000E2750000}"/>
    <cellStyle name="Note 2 21 2 3" xfId="32064" xr:uid="{00000000-0005-0000-0000-0000E3750000}"/>
    <cellStyle name="Note 2 21 3" xfId="7804" xr:uid="{00000000-0005-0000-0000-0000E4750000}"/>
    <cellStyle name="Note 2 21 3 2" xfId="15734" xr:uid="{00000000-0005-0000-0000-0000E5750000}"/>
    <cellStyle name="Note 2 21 3 3" xfId="32065" xr:uid="{00000000-0005-0000-0000-0000E6750000}"/>
    <cellStyle name="Note 2 21 4" xfId="10526" xr:uid="{00000000-0005-0000-0000-0000E7750000}"/>
    <cellStyle name="Note 2 21 4 2" xfId="24468" xr:uid="{00000000-0005-0000-0000-0000E8750000}"/>
    <cellStyle name="Note 2 21 5" xfId="32063" xr:uid="{00000000-0005-0000-0000-0000E9750000}"/>
    <cellStyle name="Note 2 22" xfId="7805" xr:uid="{00000000-0005-0000-0000-0000EA750000}"/>
    <cellStyle name="Note 2 22 2" xfId="11600" xr:uid="{00000000-0005-0000-0000-0000EB750000}"/>
    <cellStyle name="Note 2 22 3" xfId="32066" xr:uid="{00000000-0005-0000-0000-0000EC750000}"/>
    <cellStyle name="Note 2 23" xfId="7806" xr:uid="{00000000-0005-0000-0000-0000ED750000}"/>
    <cellStyle name="Note 2 23 2" xfId="11789" xr:uid="{00000000-0005-0000-0000-0000EE750000}"/>
    <cellStyle name="Note 2 23 2 2" xfId="25504" xr:uid="{00000000-0005-0000-0000-0000EF750000}"/>
    <cellStyle name="Note 2 23 3" xfId="32067" xr:uid="{00000000-0005-0000-0000-0000F0750000}"/>
    <cellStyle name="Note 2 24" xfId="7807" xr:uid="{00000000-0005-0000-0000-0000F1750000}"/>
    <cellStyle name="Note 2 24 2" xfId="13393" xr:uid="{00000000-0005-0000-0000-0000F2750000}"/>
    <cellStyle name="Note 2 24 2 2" xfId="26942" xr:uid="{00000000-0005-0000-0000-0000F3750000}"/>
    <cellStyle name="Note 2 24 3" xfId="32068" xr:uid="{00000000-0005-0000-0000-0000F4750000}"/>
    <cellStyle name="Note 2 25" xfId="7808" xr:uid="{00000000-0005-0000-0000-0000F5750000}"/>
    <cellStyle name="Note 2 25 2" xfId="13974" xr:uid="{00000000-0005-0000-0000-0000F6750000}"/>
    <cellStyle name="Note 2 25 2 2" xfId="27523" xr:uid="{00000000-0005-0000-0000-0000F7750000}"/>
    <cellStyle name="Note 2 25 3" xfId="32069" xr:uid="{00000000-0005-0000-0000-0000F8750000}"/>
    <cellStyle name="Note 2 26" xfId="7809" xr:uid="{00000000-0005-0000-0000-0000F9750000}"/>
    <cellStyle name="Note 2 26 2" xfId="15843" xr:uid="{00000000-0005-0000-0000-0000FA750000}"/>
    <cellStyle name="Note 2 26 2 2" xfId="29250" xr:uid="{00000000-0005-0000-0000-0000FB750000}"/>
    <cellStyle name="Note 2 26 3" xfId="32070" xr:uid="{00000000-0005-0000-0000-0000FC750000}"/>
    <cellStyle name="Note 2 27" xfId="7810" xr:uid="{00000000-0005-0000-0000-0000FD750000}"/>
    <cellStyle name="Note 2 27 2" xfId="15860" xr:uid="{00000000-0005-0000-0000-0000FE750000}"/>
    <cellStyle name="Note 2 27 2 2" xfId="29267" xr:uid="{00000000-0005-0000-0000-0000FF750000}"/>
    <cellStyle name="Note 2 27 3" xfId="32071" xr:uid="{00000000-0005-0000-0000-000000760000}"/>
    <cellStyle name="Note 2 28" xfId="10235" xr:uid="{00000000-0005-0000-0000-000001760000}"/>
    <cellStyle name="Note 2 29" xfId="31938" xr:uid="{00000000-0005-0000-0000-000002760000}"/>
    <cellStyle name="Note 2 3" xfId="7811" xr:uid="{00000000-0005-0000-0000-000003760000}"/>
    <cellStyle name="Note 2 3 10" xfId="10267" xr:uid="{00000000-0005-0000-0000-000004760000}"/>
    <cellStyle name="Note 2 3 11" xfId="32072" xr:uid="{00000000-0005-0000-0000-000005760000}"/>
    <cellStyle name="Note 2 3 2" xfId="7812" xr:uid="{00000000-0005-0000-0000-000006760000}"/>
    <cellStyle name="Note 2 3 2 2" xfId="7813" xr:uid="{00000000-0005-0000-0000-000007760000}"/>
    <cellStyle name="Note 2 3 2 2 2" xfId="7814" xr:uid="{00000000-0005-0000-0000-000008760000}"/>
    <cellStyle name="Note 2 3 2 2 2 2" xfId="7815" xr:uid="{00000000-0005-0000-0000-000009760000}"/>
    <cellStyle name="Note 2 3 2 2 2 2 2" xfId="11621" xr:uid="{00000000-0005-0000-0000-00000A760000}"/>
    <cellStyle name="Note 2 3 2 2 2 2 3" xfId="32076" xr:uid="{00000000-0005-0000-0000-00000B760000}"/>
    <cellStyle name="Note 2 3 2 2 2 3" xfId="7816" xr:uid="{00000000-0005-0000-0000-00000C760000}"/>
    <cellStyle name="Note 2 3 2 2 2 3 2" xfId="16953" xr:uid="{00000000-0005-0000-0000-00000D760000}"/>
    <cellStyle name="Note 2 3 2 2 2 3 2 2" xfId="30360" xr:uid="{00000000-0005-0000-0000-00000E760000}"/>
    <cellStyle name="Note 2 3 2 2 2 3 3" xfId="32077" xr:uid="{00000000-0005-0000-0000-00000F760000}"/>
    <cellStyle name="Note 2 3 2 2 2 4" xfId="10270" xr:uid="{00000000-0005-0000-0000-000010760000}"/>
    <cellStyle name="Note 2 3 2 2 2 5" xfId="32075" xr:uid="{00000000-0005-0000-0000-000011760000}"/>
    <cellStyle name="Note 2 3 2 2 3" xfId="7817" xr:uid="{00000000-0005-0000-0000-000012760000}"/>
    <cellStyle name="Note 2 3 2 2 3 2" xfId="7818" xr:uid="{00000000-0005-0000-0000-000013760000}"/>
    <cellStyle name="Note 2 3 2 2 3 2 2" xfId="13300" xr:uid="{00000000-0005-0000-0000-000014760000}"/>
    <cellStyle name="Note 2 3 2 2 3 2 3" xfId="32079" xr:uid="{00000000-0005-0000-0000-000015760000}"/>
    <cellStyle name="Note 2 3 2 2 3 3" xfId="12341" xr:uid="{00000000-0005-0000-0000-000016760000}"/>
    <cellStyle name="Note 2 3 2 2 3 3 2" xfId="26053" xr:uid="{00000000-0005-0000-0000-000017760000}"/>
    <cellStyle name="Note 2 3 2 2 3 4" xfId="32078" xr:uid="{00000000-0005-0000-0000-000018760000}"/>
    <cellStyle name="Note 2 3 2 2 4" xfId="7819" xr:uid="{00000000-0005-0000-0000-000019760000}"/>
    <cellStyle name="Note 2 3 2 2 4 2" xfId="7820" xr:uid="{00000000-0005-0000-0000-00001A760000}"/>
    <cellStyle name="Note 2 3 2 2 4 2 2" xfId="15735" xr:uid="{00000000-0005-0000-0000-00001B760000}"/>
    <cellStyle name="Note 2 3 2 2 4 2 3" xfId="32081" xr:uid="{00000000-0005-0000-0000-00001C760000}"/>
    <cellStyle name="Note 2 3 2 2 4 3" xfId="13905" xr:uid="{00000000-0005-0000-0000-00001D760000}"/>
    <cellStyle name="Note 2 3 2 2 4 3 2" xfId="27454" xr:uid="{00000000-0005-0000-0000-00001E760000}"/>
    <cellStyle name="Note 2 3 2 2 4 4" xfId="32080" xr:uid="{00000000-0005-0000-0000-00001F760000}"/>
    <cellStyle name="Note 2 3 2 2 5" xfId="7821" xr:uid="{00000000-0005-0000-0000-000020760000}"/>
    <cellStyle name="Note 2 3 2 2 5 2" xfId="14486" xr:uid="{00000000-0005-0000-0000-000021760000}"/>
    <cellStyle name="Note 2 3 2 2 5 2 2" xfId="28035" xr:uid="{00000000-0005-0000-0000-000022760000}"/>
    <cellStyle name="Note 2 3 2 2 5 3" xfId="32082" xr:uid="{00000000-0005-0000-0000-000023760000}"/>
    <cellStyle name="Note 2 3 2 2 6" xfId="7822" xr:uid="{00000000-0005-0000-0000-000024760000}"/>
    <cellStyle name="Note 2 3 2 2 6 2" xfId="16372" xr:uid="{00000000-0005-0000-0000-000025760000}"/>
    <cellStyle name="Note 2 3 2 2 6 2 2" xfId="29779" xr:uid="{00000000-0005-0000-0000-000026760000}"/>
    <cellStyle name="Note 2 3 2 2 6 3" xfId="32083" xr:uid="{00000000-0005-0000-0000-000027760000}"/>
    <cellStyle name="Note 2 3 2 2 7" xfId="10269" xr:uid="{00000000-0005-0000-0000-000028760000}"/>
    <cellStyle name="Note 2 3 2 2 8" xfId="32074" xr:uid="{00000000-0005-0000-0000-000029760000}"/>
    <cellStyle name="Note 2 3 2 3" xfId="7823" xr:uid="{00000000-0005-0000-0000-00002A760000}"/>
    <cellStyle name="Note 2 3 2 3 2" xfId="7824" xr:uid="{00000000-0005-0000-0000-00002B760000}"/>
    <cellStyle name="Note 2 3 2 3 2 2" xfId="11622" xr:uid="{00000000-0005-0000-0000-00002C760000}"/>
    <cellStyle name="Note 2 3 2 3 2 3" xfId="32085" xr:uid="{00000000-0005-0000-0000-00002D760000}"/>
    <cellStyle name="Note 2 3 2 3 3" xfId="7825" xr:uid="{00000000-0005-0000-0000-00002E760000}"/>
    <cellStyle name="Note 2 3 2 3 3 2" xfId="16664" xr:uid="{00000000-0005-0000-0000-00002F760000}"/>
    <cellStyle name="Note 2 3 2 3 3 2 2" xfId="30071" xr:uid="{00000000-0005-0000-0000-000030760000}"/>
    <cellStyle name="Note 2 3 2 3 3 3" xfId="32086" xr:uid="{00000000-0005-0000-0000-000031760000}"/>
    <cellStyle name="Note 2 3 2 3 4" xfId="10271" xr:uid="{00000000-0005-0000-0000-000032760000}"/>
    <cellStyle name="Note 2 3 2 3 5" xfId="32084" xr:uid="{00000000-0005-0000-0000-000033760000}"/>
    <cellStyle name="Note 2 3 2 4" xfId="7826" xr:uid="{00000000-0005-0000-0000-000034760000}"/>
    <cellStyle name="Note 2 3 2 4 2" xfId="7827" xr:uid="{00000000-0005-0000-0000-000035760000}"/>
    <cellStyle name="Note 2 3 2 4 2 2" xfId="13301" xr:uid="{00000000-0005-0000-0000-000036760000}"/>
    <cellStyle name="Note 2 3 2 4 2 3" xfId="32088" xr:uid="{00000000-0005-0000-0000-000037760000}"/>
    <cellStyle name="Note 2 3 2 4 3" xfId="12041" xr:uid="{00000000-0005-0000-0000-000038760000}"/>
    <cellStyle name="Note 2 3 2 4 3 2" xfId="25756" xr:uid="{00000000-0005-0000-0000-000039760000}"/>
    <cellStyle name="Note 2 3 2 4 4" xfId="32087" xr:uid="{00000000-0005-0000-0000-00003A760000}"/>
    <cellStyle name="Note 2 3 2 5" xfId="7828" xr:uid="{00000000-0005-0000-0000-00003B760000}"/>
    <cellStyle name="Note 2 3 2 5 2" xfId="7829" xr:uid="{00000000-0005-0000-0000-00003C760000}"/>
    <cellStyle name="Note 2 3 2 5 2 2" xfId="15736" xr:uid="{00000000-0005-0000-0000-00003D760000}"/>
    <cellStyle name="Note 2 3 2 5 2 3" xfId="32090" xr:uid="{00000000-0005-0000-0000-00003E760000}"/>
    <cellStyle name="Note 2 3 2 5 3" xfId="13616" xr:uid="{00000000-0005-0000-0000-00003F760000}"/>
    <cellStyle name="Note 2 3 2 5 3 2" xfId="27165" xr:uid="{00000000-0005-0000-0000-000040760000}"/>
    <cellStyle name="Note 2 3 2 5 4" xfId="32089" xr:uid="{00000000-0005-0000-0000-000041760000}"/>
    <cellStyle name="Note 2 3 2 6" xfId="7830" xr:uid="{00000000-0005-0000-0000-000042760000}"/>
    <cellStyle name="Note 2 3 2 6 2" xfId="14197" xr:uid="{00000000-0005-0000-0000-000043760000}"/>
    <cellStyle name="Note 2 3 2 6 2 2" xfId="27746" xr:uid="{00000000-0005-0000-0000-000044760000}"/>
    <cellStyle name="Note 2 3 2 6 3" xfId="32091" xr:uid="{00000000-0005-0000-0000-000045760000}"/>
    <cellStyle name="Note 2 3 2 7" xfId="7831" xr:uid="{00000000-0005-0000-0000-000046760000}"/>
    <cellStyle name="Note 2 3 2 7 2" xfId="16083" xr:uid="{00000000-0005-0000-0000-000047760000}"/>
    <cellStyle name="Note 2 3 2 7 2 2" xfId="29490" xr:uid="{00000000-0005-0000-0000-000048760000}"/>
    <cellStyle name="Note 2 3 2 7 3" xfId="32092" xr:uid="{00000000-0005-0000-0000-000049760000}"/>
    <cellStyle name="Note 2 3 2 8" xfId="10268" xr:uid="{00000000-0005-0000-0000-00004A760000}"/>
    <cellStyle name="Note 2 3 2 9" xfId="32073" xr:uid="{00000000-0005-0000-0000-00004B760000}"/>
    <cellStyle name="Note 2 3 3" xfId="7832" xr:uid="{00000000-0005-0000-0000-00004C760000}"/>
    <cellStyle name="Note 2 3 3 2" xfId="7833" xr:uid="{00000000-0005-0000-0000-00004D760000}"/>
    <cellStyle name="Note 2 3 3 2 2" xfId="7834" xr:uid="{00000000-0005-0000-0000-00004E760000}"/>
    <cellStyle name="Note 2 3 3 2 2 2" xfId="11623" xr:uid="{00000000-0005-0000-0000-00004F760000}"/>
    <cellStyle name="Note 2 3 3 2 2 3" xfId="32095" xr:uid="{00000000-0005-0000-0000-000050760000}"/>
    <cellStyle name="Note 2 3 3 2 3" xfId="7835" xr:uid="{00000000-0005-0000-0000-000051760000}"/>
    <cellStyle name="Note 2 3 3 2 3 2" xfId="16810" xr:uid="{00000000-0005-0000-0000-000052760000}"/>
    <cellStyle name="Note 2 3 3 2 3 2 2" xfId="30217" xr:uid="{00000000-0005-0000-0000-000053760000}"/>
    <cellStyle name="Note 2 3 3 2 3 3" xfId="32096" xr:uid="{00000000-0005-0000-0000-000054760000}"/>
    <cellStyle name="Note 2 3 3 2 4" xfId="10273" xr:uid="{00000000-0005-0000-0000-000055760000}"/>
    <cellStyle name="Note 2 3 3 2 5" xfId="32094" xr:uid="{00000000-0005-0000-0000-000056760000}"/>
    <cellStyle name="Note 2 3 3 3" xfId="7836" xr:uid="{00000000-0005-0000-0000-000057760000}"/>
    <cellStyle name="Note 2 3 3 3 2" xfId="7837" xr:uid="{00000000-0005-0000-0000-000058760000}"/>
    <cellStyle name="Note 2 3 3 3 2 2" xfId="13302" xr:uid="{00000000-0005-0000-0000-000059760000}"/>
    <cellStyle name="Note 2 3 3 3 2 3" xfId="32098" xr:uid="{00000000-0005-0000-0000-00005A760000}"/>
    <cellStyle name="Note 2 3 3 3 3" xfId="12198" xr:uid="{00000000-0005-0000-0000-00005B760000}"/>
    <cellStyle name="Note 2 3 3 3 3 2" xfId="25910" xr:uid="{00000000-0005-0000-0000-00005C760000}"/>
    <cellStyle name="Note 2 3 3 3 4" xfId="32097" xr:uid="{00000000-0005-0000-0000-00005D760000}"/>
    <cellStyle name="Note 2 3 3 4" xfId="7838" xr:uid="{00000000-0005-0000-0000-00005E760000}"/>
    <cellStyle name="Note 2 3 3 4 2" xfId="7839" xr:uid="{00000000-0005-0000-0000-00005F760000}"/>
    <cellStyle name="Note 2 3 3 4 2 2" xfId="15737" xr:uid="{00000000-0005-0000-0000-000060760000}"/>
    <cellStyle name="Note 2 3 3 4 2 3" xfId="32100" xr:uid="{00000000-0005-0000-0000-000061760000}"/>
    <cellStyle name="Note 2 3 3 4 3" xfId="13762" xr:uid="{00000000-0005-0000-0000-000062760000}"/>
    <cellStyle name="Note 2 3 3 4 3 2" xfId="27311" xr:uid="{00000000-0005-0000-0000-000063760000}"/>
    <cellStyle name="Note 2 3 3 4 4" xfId="32099" xr:uid="{00000000-0005-0000-0000-000064760000}"/>
    <cellStyle name="Note 2 3 3 5" xfId="7840" xr:uid="{00000000-0005-0000-0000-000065760000}"/>
    <cellStyle name="Note 2 3 3 5 2" xfId="14343" xr:uid="{00000000-0005-0000-0000-000066760000}"/>
    <cellStyle name="Note 2 3 3 5 2 2" xfId="27892" xr:uid="{00000000-0005-0000-0000-000067760000}"/>
    <cellStyle name="Note 2 3 3 5 3" xfId="32101" xr:uid="{00000000-0005-0000-0000-000068760000}"/>
    <cellStyle name="Note 2 3 3 6" xfId="7841" xr:uid="{00000000-0005-0000-0000-000069760000}"/>
    <cellStyle name="Note 2 3 3 6 2" xfId="16229" xr:uid="{00000000-0005-0000-0000-00006A760000}"/>
    <cellStyle name="Note 2 3 3 6 2 2" xfId="29636" xr:uid="{00000000-0005-0000-0000-00006B760000}"/>
    <cellStyle name="Note 2 3 3 6 3" xfId="32102" xr:uid="{00000000-0005-0000-0000-00006C760000}"/>
    <cellStyle name="Note 2 3 3 7" xfId="10272" xr:uid="{00000000-0005-0000-0000-00006D760000}"/>
    <cellStyle name="Note 2 3 3 8" xfId="32093" xr:uid="{00000000-0005-0000-0000-00006E760000}"/>
    <cellStyle name="Note 2 3 4" xfId="7842" xr:uid="{00000000-0005-0000-0000-00006F760000}"/>
    <cellStyle name="Note 2 3 4 2" xfId="7843" xr:uid="{00000000-0005-0000-0000-000070760000}"/>
    <cellStyle name="Note 2 3 4 2 2" xfId="17157" xr:uid="{00000000-0005-0000-0000-000071760000}"/>
    <cellStyle name="Note 2 3 4 2 2 2" xfId="30516" xr:uid="{00000000-0005-0000-0000-000072760000}"/>
    <cellStyle name="Note 2 3 4 2 3" xfId="32104" xr:uid="{00000000-0005-0000-0000-000073760000}"/>
    <cellStyle name="Note 2 3 4 3" xfId="10274" xr:uid="{00000000-0005-0000-0000-000074760000}"/>
    <cellStyle name="Note 2 3 4 4" xfId="32103" xr:uid="{00000000-0005-0000-0000-000075760000}"/>
    <cellStyle name="Note 2 3 5" xfId="7844" xr:uid="{00000000-0005-0000-0000-000076760000}"/>
    <cellStyle name="Note 2 3 5 2" xfId="7845" xr:uid="{00000000-0005-0000-0000-000077760000}"/>
    <cellStyle name="Note 2 3 5 2 2" xfId="11624" xr:uid="{00000000-0005-0000-0000-000078760000}"/>
    <cellStyle name="Note 2 3 5 2 3" xfId="32106" xr:uid="{00000000-0005-0000-0000-000079760000}"/>
    <cellStyle name="Note 2 3 5 3" xfId="7846" xr:uid="{00000000-0005-0000-0000-00007A760000}"/>
    <cellStyle name="Note 2 3 5 3 2" xfId="17246" xr:uid="{00000000-0005-0000-0000-00007B760000}"/>
    <cellStyle name="Note 2 3 5 3 2 2" xfId="30605" xr:uid="{00000000-0005-0000-0000-00007C760000}"/>
    <cellStyle name="Note 2 3 5 3 3" xfId="32107" xr:uid="{00000000-0005-0000-0000-00007D760000}"/>
    <cellStyle name="Note 2 3 5 4" xfId="10275" xr:uid="{00000000-0005-0000-0000-00007E760000}"/>
    <cellStyle name="Note 2 3 5 5" xfId="32105" xr:uid="{00000000-0005-0000-0000-00007F760000}"/>
    <cellStyle name="Note 2 3 6" xfId="7847" xr:uid="{00000000-0005-0000-0000-000080760000}"/>
    <cellStyle name="Note 2 3 6 2" xfId="7848" xr:uid="{00000000-0005-0000-0000-000081760000}"/>
    <cellStyle name="Note 2 3 6 2 2" xfId="13303" xr:uid="{00000000-0005-0000-0000-000082760000}"/>
    <cellStyle name="Note 2 3 6 2 3" xfId="32109" xr:uid="{00000000-0005-0000-0000-000083760000}"/>
    <cellStyle name="Note 2 3 6 3" xfId="7849" xr:uid="{00000000-0005-0000-0000-000084760000}"/>
    <cellStyle name="Note 2 3 6 3 2" xfId="16521" xr:uid="{00000000-0005-0000-0000-000085760000}"/>
    <cellStyle name="Note 2 3 6 3 2 2" xfId="29928" xr:uid="{00000000-0005-0000-0000-000086760000}"/>
    <cellStyle name="Note 2 3 6 3 3" xfId="32110" xr:uid="{00000000-0005-0000-0000-000087760000}"/>
    <cellStyle name="Note 2 3 6 4" xfId="11896" xr:uid="{00000000-0005-0000-0000-000088760000}"/>
    <cellStyle name="Note 2 3 6 4 2" xfId="25611" xr:uid="{00000000-0005-0000-0000-000089760000}"/>
    <cellStyle name="Note 2 3 6 5" xfId="32108" xr:uid="{00000000-0005-0000-0000-00008A760000}"/>
    <cellStyle name="Note 2 3 7" xfId="7850" xr:uid="{00000000-0005-0000-0000-00008B760000}"/>
    <cellStyle name="Note 2 3 7 2" xfId="7851" xr:uid="{00000000-0005-0000-0000-00008C760000}"/>
    <cellStyle name="Note 2 3 7 2 2" xfId="15738" xr:uid="{00000000-0005-0000-0000-00008D760000}"/>
    <cellStyle name="Note 2 3 7 2 3" xfId="32112" xr:uid="{00000000-0005-0000-0000-00008E760000}"/>
    <cellStyle name="Note 2 3 7 3" xfId="13473" xr:uid="{00000000-0005-0000-0000-00008F760000}"/>
    <cellStyle name="Note 2 3 7 3 2" xfId="27022" xr:uid="{00000000-0005-0000-0000-000090760000}"/>
    <cellStyle name="Note 2 3 7 4" xfId="32111" xr:uid="{00000000-0005-0000-0000-000091760000}"/>
    <cellStyle name="Note 2 3 8" xfId="7852" xr:uid="{00000000-0005-0000-0000-000092760000}"/>
    <cellStyle name="Note 2 3 8 2" xfId="14054" xr:uid="{00000000-0005-0000-0000-000093760000}"/>
    <cellStyle name="Note 2 3 8 2 2" xfId="27603" xr:uid="{00000000-0005-0000-0000-000094760000}"/>
    <cellStyle name="Note 2 3 8 3" xfId="32113" xr:uid="{00000000-0005-0000-0000-000095760000}"/>
    <cellStyle name="Note 2 3 9" xfId="7853" xr:uid="{00000000-0005-0000-0000-000096760000}"/>
    <cellStyle name="Note 2 3 9 2" xfId="15940" xr:uid="{00000000-0005-0000-0000-000097760000}"/>
    <cellStyle name="Note 2 3 9 2 2" xfId="29347" xr:uid="{00000000-0005-0000-0000-000098760000}"/>
    <cellStyle name="Note 2 3 9 3" xfId="32114" xr:uid="{00000000-0005-0000-0000-000099760000}"/>
    <cellStyle name="Note 2 30" xfId="33058" xr:uid="{00000000-0005-0000-0000-00009A760000}"/>
    <cellStyle name="Note 2 4" xfId="7854" xr:uid="{00000000-0005-0000-0000-00009B760000}"/>
    <cellStyle name="Note 2 4 10" xfId="32115" xr:uid="{00000000-0005-0000-0000-00009C760000}"/>
    <cellStyle name="Note 2 4 2" xfId="7855" xr:uid="{00000000-0005-0000-0000-00009D760000}"/>
    <cellStyle name="Note 2 4 2 2" xfId="7856" xr:uid="{00000000-0005-0000-0000-00009E760000}"/>
    <cellStyle name="Note 2 4 2 2 2" xfId="7857" xr:uid="{00000000-0005-0000-0000-00009F760000}"/>
    <cellStyle name="Note 2 4 2 2 2 2" xfId="7858" xr:uid="{00000000-0005-0000-0000-0000A0760000}"/>
    <cellStyle name="Note 2 4 2 2 2 2 2" xfId="11625" xr:uid="{00000000-0005-0000-0000-0000A1760000}"/>
    <cellStyle name="Note 2 4 2 2 2 2 3" xfId="32119" xr:uid="{00000000-0005-0000-0000-0000A2760000}"/>
    <cellStyle name="Note 2 4 2 2 2 3" xfId="7859" xr:uid="{00000000-0005-0000-0000-0000A3760000}"/>
    <cellStyle name="Note 2 4 2 2 2 3 2" xfId="16907" xr:uid="{00000000-0005-0000-0000-0000A4760000}"/>
    <cellStyle name="Note 2 4 2 2 2 3 2 2" xfId="30314" xr:uid="{00000000-0005-0000-0000-0000A5760000}"/>
    <cellStyle name="Note 2 4 2 2 2 3 3" xfId="32120" xr:uid="{00000000-0005-0000-0000-0000A6760000}"/>
    <cellStyle name="Note 2 4 2 2 2 4" xfId="10279" xr:uid="{00000000-0005-0000-0000-0000A7760000}"/>
    <cellStyle name="Note 2 4 2 2 2 5" xfId="32118" xr:uid="{00000000-0005-0000-0000-0000A8760000}"/>
    <cellStyle name="Note 2 4 2 2 3" xfId="7860" xr:uid="{00000000-0005-0000-0000-0000A9760000}"/>
    <cellStyle name="Note 2 4 2 2 3 2" xfId="7861" xr:uid="{00000000-0005-0000-0000-0000AA760000}"/>
    <cellStyle name="Note 2 4 2 2 3 2 2" xfId="13304" xr:uid="{00000000-0005-0000-0000-0000AB760000}"/>
    <cellStyle name="Note 2 4 2 2 3 2 3" xfId="32122" xr:uid="{00000000-0005-0000-0000-0000AC760000}"/>
    <cellStyle name="Note 2 4 2 2 3 3" xfId="12295" xr:uid="{00000000-0005-0000-0000-0000AD760000}"/>
    <cellStyle name="Note 2 4 2 2 3 3 2" xfId="26007" xr:uid="{00000000-0005-0000-0000-0000AE760000}"/>
    <cellStyle name="Note 2 4 2 2 3 4" xfId="32121" xr:uid="{00000000-0005-0000-0000-0000AF760000}"/>
    <cellStyle name="Note 2 4 2 2 4" xfId="7862" xr:uid="{00000000-0005-0000-0000-0000B0760000}"/>
    <cellStyle name="Note 2 4 2 2 4 2" xfId="7863" xr:uid="{00000000-0005-0000-0000-0000B1760000}"/>
    <cellStyle name="Note 2 4 2 2 4 2 2" xfId="15739" xr:uid="{00000000-0005-0000-0000-0000B2760000}"/>
    <cellStyle name="Note 2 4 2 2 4 2 3" xfId="32124" xr:uid="{00000000-0005-0000-0000-0000B3760000}"/>
    <cellStyle name="Note 2 4 2 2 4 3" xfId="13859" xr:uid="{00000000-0005-0000-0000-0000B4760000}"/>
    <cellStyle name="Note 2 4 2 2 4 3 2" xfId="27408" xr:uid="{00000000-0005-0000-0000-0000B5760000}"/>
    <cellStyle name="Note 2 4 2 2 4 4" xfId="32123" xr:uid="{00000000-0005-0000-0000-0000B6760000}"/>
    <cellStyle name="Note 2 4 2 2 5" xfId="7864" xr:uid="{00000000-0005-0000-0000-0000B7760000}"/>
    <cellStyle name="Note 2 4 2 2 5 2" xfId="14440" xr:uid="{00000000-0005-0000-0000-0000B8760000}"/>
    <cellStyle name="Note 2 4 2 2 5 2 2" xfId="27989" xr:uid="{00000000-0005-0000-0000-0000B9760000}"/>
    <cellStyle name="Note 2 4 2 2 5 3" xfId="32125" xr:uid="{00000000-0005-0000-0000-0000BA760000}"/>
    <cellStyle name="Note 2 4 2 2 6" xfId="7865" xr:uid="{00000000-0005-0000-0000-0000BB760000}"/>
    <cellStyle name="Note 2 4 2 2 6 2" xfId="16326" xr:uid="{00000000-0005-0000-0000-0000BC760000}"/>
    <cellStyle name="Note 2 4 2 2 6 2 2" xfId="29733" xr:uid="{00000000-0005-0000-0000-0000BD760000}"/>
    <cellStyle name="Note 2 4 2 2 6 3" xfId="32126" xr:uid="{00000000-0005-0000-0000-0000BE760000}"/>
    <cellStyle name="Note 2 4 2 2 7" xfId="10278" xr:uid="{00000000-0005-0000-0000-0000BF760000}"/>
    <cellStyle name="Note 2 4 2 2 8" xfId="32117" xr:uid="{00000000-0005-0000-0000-0000C0760000}"/>
    <cellStyle name="Note 2 4 2 3" xfId="7866" xr:uid="{00000000-0005-0000-0000-0000C1760000}"/>
    <cellStyle name="Note 2 4 2 3 2" xfId="7867" xr:uid="{00000000-0005-0000-0000-0000C2760000}"/>
    <cellStyle name="Note 2 4 2 3 2 2" xfId="11626" xr:uid="{00000000-0005-0000-0000-0000C3760000}"/>
    <cellStyle name="Note 2 4 2 3 2 3" xfId="32128" xr:uid="{00000000-0005-0000-0000-0000C4760000}"/>
    <cellStyle name="Note 2 4 2 3 3" xfId="7868" xr:uid="{00000000-0005-0000-0000-0000C5760000}"/>
    <cellStyle name="Note 2 4 2 3 3 2" xfId="16618" xr:uid="{00000000-0005-0000-0000-0000C6760000}"/>
    <cellStyle name="Note 2 4 2 3 3 2 2" xfId="30025" xr:uid="{00000000-0005-0000-0000-0000C7760000}"/>
    <cellStyle name="Note 2 4 2 3 3 3" xfId="32129" xr:uid="{00000000-0005-0000-0000-0000C8760000}"/>
    <cellStyle name="Note 2 4 2 3 4" xfId="10280" xr:uid="{00000000-0005-0000-0000-0000C9760000}"/>
    <cellStyle name="Note 2 4 2 3 5" xfId="32127" xr:uid="{00000000-0005-0000-0000-0000CA760000}"/>
    <cellStyle name="Note 2 4 2 4" xfId="7869" xr:uid="{00000000-0005-0000-0000-0000CB760000}"/>
    <cellStyle name="Note 2 4 2 4 2" xfId="7870" xr:uid="{00000000-0005-0000-0000-0000CC760000}"/>
    <cellStyle name="Note 2 4 2 4 2 2" xfId="13305" xr:uid="{00000000-0005-0000-0000-0000CD760000}"/>
    <cellStyle name="Note 2 4 2 4 2 3" xfId="32131" xr:uid="{00000000-0005-0000-0000-0000CE760000}"/>
    <cellStyle name="Note 2 4 2 4 3" xfId="11995" xr:uid="{00000000-0005-0000-0000-0000CF760000}"/>
    <cellStyle name="Note 2 4 2 4 3 2" xfId="25710" xr:uid="{00000000-0005-0000-0000-0000D0760000}"/>
    <cellStyle name="Note 2 4 2 4 4" xfId="32130" xr:uid="{00000000-0005-0000-0000-0000D1760000}"/>
    <cellStyle name="Note 2 4 2 5" xfId="7871" xr:uid="{00000000-0005-0000-0000-0000D2760000}"/>
    <cellStyle name="Note 2 4 2 5 2" xfId="7872" xr:uid="{00000000-0005-0000-0000-0000D3760000}"/>
    <cellStyle name="Note 2 4 2 5 2 2" xfId="15740" xr:uid="{00000000-0005-0000-0000-0000D4760000}"/>
    <cellStyle name="Note 2 4 2 5 2 3" xfId="32133" xr:uid="{00000000-0005-0000-0000-0000D5760000}"/>
    <cellStyle name="Note 2 4 2 5 3" xfId="13570" xr:uid="{00000000-0005-0000-0000-0000D6760000}"/>
    <cellStyle name="Note 2 4 2 5 3 2" xfId="27119" xr:uid="{00000000-0005-0000-0000-0000D7760000}"/>
    <cellStyle name="Note 2 4 2 5 4" xfId="32132" xr:uid="{00000000-0005-0000-0000-0000D8760000}"/>
    <cellStyle name="Note 2 4 2 6" xfId="7873" xr:uid="{00000000-0005-0000-0000-0000D9760000}"/>
    <cellStyle name="Note 2 4 2 6 2" xfId="14151" xr:uid="{00000000-0005-0000-0000-0000DA760000}"/>
    <cellStyle name="Note 2 4 2 6 2 2" xfId="27700" xr:uid="{00000000-0005-0000-0000-0000DB760000}"/>
    <cellStyle name="Note 2 4 2 6 3" xfId="32134" xr:uid="{00000000-0005-0000-0000-0000DC760000}"/>
    <cellStyle name="Note 2 4 2 7" xfId="7874" xr:uid="{00000000-0005-0000-0000-0000DD760000}"/>
    <cellStyle name="Note 2 4 2 7 2" xfId="16037" xr:uid="{00000000-0005-0000-0000-0000DE760000}"/>
    <cellStyle name="Note 2 4 2 7 2 2" xfId="29444" xr:uid="{00000000-0005-0000-0000-0000DF760000}"/>
    <cellStyle name="Note 2 4 2 7 3" xfId="32135" xr:uid="{00000000-0005-0000-0000-0000E0760000}"/>
    <cellStyle name="Note 2 4 2 8" xfId="10277" xr:uid="{00000000-0005-0000-0000-0000E1760000}"/>
    <cellStyle name="Note 2 4 2 9" xfId="32116" xr:uid="{00000000-0005-0000-0000-0000E2760000}"/>
    <cellStyle name="Note 2 4 3" xfId="7875" xr:uid="{00000000-0005-0000-0000-0000E3760000}"/>
    <cellStyle name="Note 2 4 3 2" xfId="7876" xr:uid="{00000000-0005-0000-0000-0000E4760000}"/>
    <cellStyle name="Note 2 4 3 2 2" xfId="7877" xr:uid="{00000000-0005-0000-0000-0000E5760000}"/>
    <cellStyle name="Note 2 4 3 2 2 2" xfId="11627" xr:uid="{00000000-0005-0000-0000-0000E6760000}"/>
    <cellStyle name="Note 2 4 3 2 2 3" xfId="32138" xr:uid="{00000000-0005-0000-0000-0000E7760000}"/>
    <cellStyle name="Note 2 4 3 2 3" xfId="7878" xr:uid="{00000000-0005-0000-0000-0000E8760000}"/>
    <cellStyle name="Note 2 4 3 2 3 2" xfId="16767" xr:uid="{00000000-0005-0000-0000-0000E9760000}"/>
    <cellStyle name="Note 2 4 3 2 3 2 2" xfId="30174" xr:uid="{00000000-0005-0000-0000-0000EA760000}"/>
    <cellStyle name="Note 2 4 3 2 3 3" xfId="32139" xr:uid="{00000000-0005-0000-0000-0000EB760000}"/>
    <cellStyle name="Note 2 4 3 2 4" xfId="10282" xr:uid="{00000000-0005-0000-0000-0000EC760000}"/>
    <cellStyle name="Note 2 4 3 2 5" xfId="32137" xr:uid="{00000000-0005-0000-0000-0000ED760000}"/>
    <cellStyle name="Note 2 4 3 3" xfId="7879" xr:uid="{00000000-0005-0000-0000-0000EE760000}"/>
    <cellStyle name="Note 2 4 3 3 2" xfId="7880" xr:uid="{00000000-0005-0000-0000-0000EF760000}"/>
    <cellStyle name="Note 2 4 3 3 2 2" xfId="13306" xr:uid="{00000000-0005-0000-0000-0000F0760000}"/>
    <cellStyle name="Note 2 4 3 3 2 3" xfId="32141" xr:uid="{00000000-0005-0000-0000-0000F1760000}"/>
    <cellStyle name="Note 2 4 3 3 3" xfId="12155" xr:uid="{00000000-0005-0000-0000-0000F2760000}"/>
    <cellStyle name="Note 2 4 3 3 3 2" xfId="25867" xr:uid="{00000000-0005-0000-0000-0000F3760000}"/>
    <cellStyle name="Note 2 4 3 3 4" xfId="32140" xr:uid="{00000000-0005-0000-0000-0000F4760000}"/>
    <cellStyle name="Note 2 4 3 4" xfId="7881" xr:uid="{00000000-0005-0000-0000-0000F5760000}"/>
    <cellStyle name="Note 2 4 3 4 2" xfId="7882" xr:uid="{00000000-0005-0000-0000-0000F6760000}"/>
    <cellStyle name="Note 2 4 3 4 2 2" xfId="15741" xr:uid="{00000000-0005-0000-0000-0000F7760000}"/>
    <cellStyle name="Note 2 4 3 4 2 3" xfId="32143" xr:uid="{00000000-0005-0000-0000-0000F8760000}"/>
    <cellStyle name="Note 2 4 3 4 3" xfId="13719" xr:uid="{00000000-0005-0000-0000-0000F9760000}"/>
    <cellStyle name="Note 2 4 3 4 3 2" xfId="27268" xr:uid="{00000000-0005-0000-0000-0000FA760000}"/>
    <cellStyle name="Note 2 4 3 4 4" xfId="32142" xr:uid="{00000000-0005-0000-0000-0000FB760000}"/>
    <cellStyle name="Note 2 4 3 5" xfId="7883" xr:uid="{00000000-0005-0000-0000-0000FC760000}"/>
    <cellStyle name="Note 2 4 3 5 2" xfId="14300" xr:uid="{00000000-0005-0000-0000-0000FD760000}"/>
    <cellStyle name="Note 2 4 3 5 2 2" xfId="27849" xr:uid="{00000000-0005-0000-0000-0000FE760000}"/>
    <cellStyle name="Note 2 4 3 5 3" xfId="32144" xr:uid="{00000000-0005-0000-0000-0000FF760000}"/>
    <cellStyle name="Note 2 4 3 6" xfId="7884" xr:uid="{00000000-0005-0000-0000-000000770000}"/>
    <cellStyle name="Note 2 4 3 6 2" xfId="16186" xr:uid="{00000000-0005-0000-0000-000001770000}"/>
    <cellStyle name="Note 2 4 3 6 2 2" xfId="29593" xr:uid="{00000000-0005-0000-0000-000002770000}"/>
    <cellStyle name="Note 2 4 3 6 3" xfId="32145" xr:uid="{00000000-0005-0000-0000-000003770000}"/>
    <cellStyle name="Note 2 4 3 7" xfId="10281" xr:uid="{00000000-0005-0000-0000-000004770000}"/>
    <cellStyle name="Note 2 4 3 8" xfId="32136" xr:uid="{00000000-0005-0000-0000-000005770000}"/>
    <cellStyle name="Note 2 4 4" xfId="7885" xr:uid="{00000000-0005-0000-0000-000006770000}"/>
    <cellStyle name="Note 2 4 4 2" xfId="7886" xr:uid="{00000000-0005-0000-0000-000007770000}"/>
    <cellStyle name="Note 2 4 4 2 2" xfId="11628" xr:uid="{00000000-0005-0000-0000-000008770000}"/>
    <cellStyle name="Note 2 4 4 2 3" xfId="32147" xr:uid="{00000000-0005-0000-0000-000009770000}"/>
    <cellStyle name="Note 2 4 4 3" xfId="7887" xr:uid="{00000000-0005-0000-0000-00000A770000}"/>
    <cellStyle name="Note 2 4 4 3 2" xfId="16475" xr:uid="{00000000-0005-0000-0000-00000B770000}"/>
    <cellStyle name="Note 2 4 4 3 2 2" xfId="29882" xr:uid="{00000000-0005-0000-0000-00000C770000}"/>
    <cellStyle name="Note 2 4 4 3 3" xfId="32148" xr:uid="{00000000-0005-0000-0000-00000D770000}"/>
    <cellStyle name="Note 2 4 4 4" xfId="10283" xr:uid="{00000000-0005-0000-0000-00000E770000}"/>
    <cellStyle name="Note 2 4 4 5" xfId="32146" xr:uid="{00000000-0005-0000-0000-00000F770000}"/>
    <cellStyle name="Note 2 4 5" xfId="7888" xr:uid="{00000000-0005-0000-0000-000010770000}"/>
    <cellStyle name="Note 2 4 5 2" xfId="7889" xr:uid="{00000000-0005-0000-0000-000011770000}"/>
    <cellStyle name="Note 2 4 5 2 2" xfId="13307" xr:uid="{00000000-0005-0000-0000-000012770000}"/>
    <cellStyle name="Note 2 4 5 2 3" xfId="32150" xr:uid="{00000000-0005-0000-0000-000013770000}"/>
    <cellStyle name="Note 2 4 5 3" xfId="11826" xr:uid="{00000000-0005-0000-0000-000014770000}"/>
    <cellStyle name="Note 2 4 5 3 2" xfId="25541" xr:uid="{00000000-0005-0000-0000-000015770000}"/>
    <cellStyle name="Note 2 4 5 4" xfId="32149" xr:uid="{00000000-0005-0000-0000-000016770000}"/>
    <cellStyle name="Note 2 4 6" xfId="7890" xr:uid="{00000000-0005-0000-0000-000017770000}"/>
    <cellStyle name="Note 2 4 6 2" xfId="7891" xr:uid="{00000000-0005-0000-0000-000018770000}"/>
    <cellStyle name="Note 2 4 6 2 2" xfId="15742" xr:uid="{00000000-0005-0000-0000-000019770000}"/>
    <cellStyle name="Note 2 4 6 2 3" xfId="32152" xr:uid="{00000000-0005-0000-0000-00001A770000}"/>
    <cellStyle name="Note 2 4 6 3" xfId="13427" xr:uid="{00000000-0005-0000-0000-00001B770000}"/>
    <cellStyle name="Note 2 4 6 3 2" xfId="26976" xr:uid="{00000000-0005-0000-0000-00001C770000}"/>
    <cellStyle name="Note 2 4 6 4" xfId="32151" xr:uid="{00000000-0005-0000-0000-00001D770000}"/>
    <cellStyle name="Note 2 4 7" xfId="7892" xr:uid="{00000000-0005-0000-0000-00001E770000}"/>
    <cellStyle name="Note 2 4 7 2" xfId="14008" xr:uid="{00000000-0005-0000-0000-00001F770000}"/>
    <cellStyle name="Note 2 4 7 2 2" xfId="27557" xr:uid="{00000000-0005-0000-0000-000020770000}"/>
    <cellStyle name="Note 2 4 7 3" xfId="32153" xr:uid="{00000000-0005-0000-0000-000021770000}"/>
    <cellStyle name="Note 2 4 8" xfId="7893" xr:uid="{00000000-0005-0000-0000-000022770000}"/>
    <cellStyle name="Note 2 4 8 2" xfId="15894" xr:uid="{00000000-0005-0000-0000-000023770000}"/>
    <cellStyle name="Note 2 4 8 2 2" xfId="29301" xr:uid="{00000000-0005-0000-0000-000024770000}"/>
    <cellStyle name="Note 2 4 8 3" xfId="32154" xr:uid="{00000000-0005-0000-0000-000025770000}"/>
    <cellStyle name="Note 2 4 9" xfId="10276" xr:uid="{00000000-0005-0000-0000-000026770000}"/>
    <cellStyle name="Note 2 5" xfId="7894" xr:uid="{00000000-0005-0000-0000-000027770000}"/>
    <cellStyle name="Note 2 5 10" xfId="32155" xr:uid="{00000000-0005-0000-0000-000028770000}"/>
    <cellStyle name="Note 2 5 2" xfId="7895" xr:uid="{00000000-0005-0000-0000-000029770000}"/>
    <cellStyle name="Note 2 5 2 2" xfId="7896" xr:uid="{00000000-0005-0000-0000-00002A770000}"/>
    <cellStyle name="Note 2 5 2 2 2" xfId="7897" xr:uid="{00000000-0005-0000-0000-00002B770000}"/>
    <cellStyle name="Note 2 5 2 2 2 2" xfId="7898" xr:uid="{00000000-0005-0000-0000-00002C770000}"/>
    <cellStyle name="Note 2 5 2 2 2 2 2" xfId="11629" xr:uid="{00000000-0005-0000-0000-00002D770000}"/>
    <cellStyle name="Note 2 5 2 2 2 2 3" xfId="32159" xr:uid="{00000000-0005-0000-0000-00002E770000}"/>
    <cellStyle name="Note 2 5 2 2 2 3" xfId="7899" xr:uid="{00000000-0005-0000-0000-00002F770000}"/>
    <cellStyle name="Note 2 5 2 2 2 3 2" xfId="16890" xr:uid="{00000000-0005-0000-0000-000030770000}"/>
    <cellStyle name="Note 2 5 2 2 2 3 2 2" xfId="30297" xr:uid="{00000000-0005-0000-0000-000031770000}"/>
    <cellStyle name="Note 2 5 2 2 2 3 3" xfId="32160" xr:uid="{00000000-0005-0000-0000-000032770000}"/>
    <cellStyle name="Note 2 5 2 2 2 4" xfId="10287" xr:uid="{00000000-0005-0000-0000-000033770000}"/>
    <cellStyle name="Note 2 5 2 2 2 5" xfId="32158" xr:uid="{00000000-0005-0000-0000-000034770000}"/>
    <cellStyle name="Note 2 5 2 2 3" xfId="7900" xr:uid="{00000000-0005-0000-0000-000035770000}"/>
    <cellStyle name="Note 2 5 2 2 3 2" xfId="7901" xr:uid="{00000000-0005-0000-0000-000036770000}"/>
    <cellStyle name="Note 2 5 2 2 3 2 2" xfId="13308" xr:uid="{00000000-0005-0000-0000-000037770000}"/>
    <cellStyle name="Note 2 5 2 2 3 2 3" xfId="32162" xr:uid="{00000000-0005-0000-0000-000038770000}"/>
    <cellStyle name="Note 2 5 2 2 3 3" xfId="12278" xr:uid="{00000000-0005-0000-0000-000039770000}"/>
    <cellStyle name="Note 2 5 2 2 3 3 2" xfId="25990" xr:uid="{00000000-0005-0000-0000-00003A770000}"/>
    <cellStyle name="Note 2 5 2 2 3 4" xfId="32161" xr:uid="{00000000-0005-0000-0000-00003B770000}"/>
    <cellStyle name="Note 2 5 2 2 4" xfId="7902" xr:uid="{00000000-0005-0000-0000-00003C770000}"/>
    <cellStyle name="Note 2 5 2 2 4 2" xfId="7903" xr:uid="{00000000-0005-0000-0000-00003D770000}"/>
    <cellStyle name="Note 2 5 2 2 4 2 2" xfId="15743" xr:uid="{00000000-0005-0000-0000-00003E770000}"/>
    <cellStyle name="Note 2 5 2 2 4 2 3" xfId="32164" xr:uid="{00000000-0005-0000-0000-00003F770000}"/>
    <cellStyle name="Note 2 5 2 2 4 3" xfId="13842" xr:uid="{00000000-0005-0000-0000-000040770000}"/>
    <cellStyle name="Note 2 5 2 2 4 3 2" xfId="27391" xr:uid="{00000000-0005-0000-0000-000041770000}"/>
    <cellStyle name="Note 2 5 2 2 4 4" xfId="32163" xr:uid="{00000000-0005-0000-0000-000042770000}"/>
    <cellStyle name="Note 2 5 2 2 5" xfId="7904" xr:uid="{00000000-0005-0000-0000-000043770000}"/>
    <cellStyle name="Note 2 5 2 2 5 2" xfId="14423" xr:uid="{00000000-0005-0000-0000-000044770000}"/>
    <cellStyle name="Note 2 5 2 2 5 2 2" xfId="27972" xr:uid="{00000000-0005-0000-0000-000045770000}"/>
    <cellStyle name="Note 2 5 2 2 5 3" xfId="32165" xr:uid="{00000000-0005-0000-0000-000046770000}"/>
    <cellStyle name="Note 2 5 2 2 6" xfId="7905" xr:uid="{00000000-0005-0000-0000-000047770000}"/>
    <cellStyle name="Note 2 5 2 2 6 2" xfId="16309" xr:uid="{00000000-0005-0000-0000-000048770000}"/>
    <cellStyle name="Note 2 5 2 2 6 2 2" xfId="29716" xr:uid="{00000000-0005-0000-0000-000049770000}"/>
    <cellStyle name="Note 2 5 2 2 6 3" xfId="32166" xr:uid="{00000000-0005-0000-0000-00004A770000}"/>
    <cellStyle name="Note 2 5 2 2 7" xfId="10286" xr:uid="{00000000-0005-0000-0000-00004B770000}"/>
    <cellStyle name="Note 2 5 2 2 8" xfId="32157" xr:uid="{00000000-0005-0000-0000-00004C770000}"/>
    <cellStyle name="Note 2 5 2 3" xfId="7906" xr:uid="{00000000-0005-0000-0000-00004D770000}"/>
    <cellStyle name="Note 2 5 2 3 2" xfId="7907" xr:uid="{00000000-0005-0000-0000-00004E770000}"/>
    <cellStyle name="Note 2 5 2 3 2 2" xfId="11630" xr:uid="{00000000-0005-0000-0000-00004F770000}"/>
    <cellStyle name="Note 2 5 2 3 2 3" xfId="32168" xr:uid="{00000000-0005-0000-0000-000050770000}"/>
    <cellStyle name="Note 2 5 2 3 3" xfId="7908" xr:uid="{00000000-0005-0000-0000-000051770000}"/>
    <cellStyle name="Note 2 5 2 3 3 2" xfId="16601" xr:uid="{00000000-0005-0000-0000-000052770000}"/>
    <cellStyle name="Note 2 5 2 3 3 2 2" xfId="30008" xr:uid="{00000000-0005-0000-0000-000053770000}"/>
    <cellStyle name="Note 2 5 2 3 3 3" xfId="32169" xr:uid="{00000000-0005-0000-0000-000054770000}"/>
    <cellStyle name="Note 2 5 2 3 4" xfId="10288" xr:uid="{00000000-0005-0000-0000-000055770000}"/>
    <cellStyle name="Note 2 5 2 3 5" xfId="32167" xr:uid="{00000000-0005-0000-0000-000056770000}"/>
    <cellStyle name="Note 2 5 2 4" xfId="7909" xr:uid="{00000000-0005-0000-0000-000057770000}"/>
    <cellStyle name="Note 2 5 2 4 2" xfId="7910" xr:uid="{00000000-0005-0000-0000-000058770000}"/>
    <cellStyle name="Note 2 5 2 4 2 2" xfId="13309" xr:uid="{00000000-0005-0000-0000-000059770000}"/>
    <cellStyle name="Note 2 5 2 4 2 3" xfId="32171" xr:uid="{00000000-0005-0000-0000-00005A770000}"/>
    <cellStyle name="Note 2 5 2 4 3" xfId="11978" xr:uid="{00000000-0005-0000-0000-00005B770000}"/>
    <cellStyle name="Note 2 5 2 4 3 2" xfId="25693" xr:uid="{00000000-0005-0000-0000-00005C770000}"/>
    <cellStyle name="Note 2 5 2 4 4" xfId="32170" xr:uid="{00000000-0005-0000-0000-00005D770000}"/>
    <cellStyle name="Note 2 5 2 5" xfId="7911" xr:uid="{00000000-0005-0000-0000-00005E770000}"/>
    <cellStyle name="Note 2 5 2 5 2" xfId="7912" xr:uid="{00000000-0005-0000-0000-00005F770000}"/>
    <cellStyle name="Note 2 5 2 5 2 2" xfId="15744" xr:uid="{00000000-0005-0000-0000-000060770000}"/>
    <cellStyle name="Note 2 5 2 5 2 3" xfId="32173" xr:uid="{00000000-0005-0000-0000-000061770000}"/>
    <cellStyle name="Note 2 5 2 5 3" xfId="13553" xr:uid="{00000000-0005-0000-0000-000062770000}"/>
    <cellStyle name="Note 2 5 2 5 3 2" xfId="27102" xr:uid="{00000000-0005-0000-0000-000063770000}"/>
    <cellStyle name="Note 2 5 2 5 4" xfId="32172" xr:uid="{00000000-0005-0000-0000-000064770000}"/>
    <cellStyle name="Note 2 5 2 6" xfId="7913" xr:uid="{00000000-0005-0000-0000-000065770000}"/>
    <cellStyle name="Note 2 5 2 6 2" xfId="14134" xr:uid="{00000000-0005-0000-0000-000066770000}"/>
    <cellStyle name="Note 2 5 2 6 2 2" xfId="27683" xr:uid="{00000000-0005-0000-0000-000067770000}"/>
    <cellStyle name="Note 2 5 2 6 3" xfId="32174" xr:uid="{00000000-0005-0000-0000-000068770000}"/>
    <cellStyle name="Note 2 5 2 7" xfId="7914" xr:uid="{00000000-0005-0000-0000-000069770000}"/>
    <cellStyle name="Note 2 5 2 7 2" xfId="16020" xr:uid="{00000000-0005-0000-0000-00006A770000}"/>
    <cellStyle name="Note 2 5 2 7 2 2" xfId="29427" xr:uid="{00000000-0005-0000-0000-00006B770000}"/>
    <cellStyle name="Note 2 5 2 7 3" xfId="32175" xr:uid="{00000000-0005-0000-0000-00006C770000}"/>
    <cellStyle name="Note 2 5 2 8" xfId="10285" xr:uid="{00000000-0005-0000-0000-00006D770000}"/>
    <cellStyle name="Note 2 5 2 9" xfId="32156" xr:uid="{00000000-0005-0000-0000-00006E770000}"/>
    <cellStyle name="Note 2 5 3" xfId="7915" xr:uid="{00000000-0005-0000-0000-00006F770000}"/>
    <cellStyle name="Note 2 5 3 2" xfId="7916" xr:uid="{00000000-0005-0000-0000-000070770000}"/>
    <cellStyle name="Note 2 5 3 2 2" xfId="7917" xr:uid="{00000000-0005-0000-0000-000071770000}"/>
    <cellStyle name="Note 2 5 3 2 2 2" xfId="11631" xr:uid="{00000000-0005-0000-0000-000072770000}"/>
    <cellStyle name="Note 2 5 3 2 2 3" xfId="32178" xr:uid="{00000000-0005-0000-0000-000073770000}"/>
    <cellStyle name="Note 2 5 3 2 3" xfId="7918" xr:uid="{00000000-0005-0000-0000-000074770000}"/>
    <cellStyle name="Note 2 5 3 2 3 2" xfId="16750" xr:uid="{00000000-0005-0000-0000-000075770000}"/>
    <cellStyle name="Note 2 5 3 2 3 2 2" xfId="30157" xr:uid="{00000000-0005-0000-0000-000076770000}"/>
    <cellStyle name="Note 2 5 3 2 3 3" xfId="32179" xr:uid="{00000000-0005-0000-0000-000077770000}"/>
    <cellStyle name="Note 2 5 3 2 4" xfId="10290" xr:uid="{00000000-0005-0000-0000-000078770000}"/>
    <cellStyle name="Note 2 5 3 2 5" xfId="32177" xr:uid="{00000000-0005-0000-0000-000079770000}"/>
    <cellStyle name="Note 2 5 3 3" xfId="7919" xr:uid="{00000000-0005-0000-0000-00007A770000}"/>
    <cellStyle name="Note 2 5 3 3 2" xfId="7920" xr:uid="{00000000-0005-0000-0000-00007B770000}"/>
    <cellStyle name="Note 2 5 3 3 2 2" xfId="13310" xr:uid="{00000000-0005-0000-0000-00007C770000}"/>
    <cellStyle name="Note 2 5 3 3 2 3" xfId="32181" xr:uid="{00000000-0005-0000-0000-00007D770000}"/>
    <cellStyle name="Note 2 5 3 3 3" xfId="12138" xr:uid="{00000000-0005-0000-0000-00007E770000}"/>
    <cellStyle name="Note 2 5 3 3 3 2" xfId="25850" xr:uid="{00000000-0005-0000-0000-00007F770000}"/>
    <cellStyle name="Note 2 5 3 3 4" xfId="32180" xr:uid="{00000000-0005-0000-0000-000080770000}"/>
    <cellStyle name="Note 2 5 3 4" xfId="7921" xr:uid="{00000000-0005-0000-0000-000081770000}"/>
    <cellStyle name="Note 2 5 3 4 2" xfId="7922" xr:uid="{00000000-0005-0000-0000-000082770000}"/>
    <cellStyle name="Note 2 5 3 4 2 2" xfId="15745" xr:uid="{00000000-0005-0000-0000-000083770000}"/>
    <cellStyle name="Note 2 5 3 4 2 3" xfId="32183" xr:uid="{00000000-0005-0000-0000-000084770000}"/>
    <cellStyle name="Note 2 5 3 4 3" xfId="13702" xr:uid="{00000000-0005-0000-0000-000085770000}"/>
    <cellStyle name="Note 2 5 3 4 3 2" xfId="27251" xr:uid="{00000000-0005-0000-0000-000086770000}"/>
    <cellStyle name="Note 2 5 3 4 4" xfId="32182" xr:uid="{00000000-0005-0000-0000-000087770000}"/>
    <cellStyle name="Note 2 5 3 5" xfId="7923" xr:uid="{00000000-0005-0000-0000-000088770000}"/>
    <cellStyle name="Note 2 5 3 5 2" xfId="14283" xr:uid="{00000000-0005-0000-0000-000089770000}"/>
    <cellStyle name="Note 2 5 3 5 2 2" xfId="27832" xr:uid="{00000000-0005-0000-0000-00008A770000}"/>
    <cellStyle name="Note 2 5 3 5 3" xfId="32184" xr:uid="{00000000-0005-0000-0000-00008B770000}"/>
    <cellStyle name="Note 2 5 3 6" xfId="7924" xr:uid="{00000000-0005-0000-0000-00008C770000}"/>
    <cellStyle name="Note 2 5 3 6 2" xfId="16169" xr:uid="{00000000-0005-0000-0000-00008D770000}"/>
    <cellStyle name="Note 2 5 3 6 2 2" xfId="29576" xr:uid="{00000000-0005-0000-0000-00008E770000}"/>
    <cellStyle name="Note 2 5 3 6 3" xfId="32185" xr:uid="{00000000-0005-0000-0000-00008F770000}"/>
    <cellStyle name="Note 2 5 3 7" xfId="10289" xr:uid="{00000000-0005-0000-0000-000090770000}"/>
    <cellStyle name="Note 2 5 3 8" xfId="32176" xr:uid="{00000000-0005-0000-0000-000091770000}"/>
    <cellStyle name="Note 2 5 4" xfId="7925" xr:uid="{00000000-0005-0000-0000-000092770000}"/>
    <cellStyle name="Note 2 5 4 2" xfId="7926" xr:uid="{00000000-0005-0000-0000-000093770000}"/>
    <cellStyle name="Note 2 5 4 2 2" xfId="11632" xr:uid="{00000000-0005-0000-0000-000094770000}"/>
    <cellStyle name="Note 2 5 4 2 3" xfId="32187" xr:uid="{00000000-0005-0000-0000-000095770000}"/>
    <cellStyle name="Note 2 5 4 3" xfId="7927" xr:uid="{00000000-0005-0000-0000-000096770000}"/>
    <cellStyle name="Note 2 5 4 3 2" xfId="16458" xr:uid="{00000000-0005-0000-0000-000097770000}"/>
    <cellStyle name="Note 2 5 4 3 2 2" xfId="29865" xr:uid="{00000000-0005-0000-0000-000098770000}"/>
    <cellStyle name="Note 2 5 4 3 3" xfId="32188" xr:uid="{00000000-0005-0000-0000-000099770000}"/>
    <cellStyle name="Note 2 5 4 4" xfId="10291" xr:uid="{00000000-0005-0000-0000-00009A770000}"/>
    <cellStyle name="Note 2 5 4 5" xfId="32186" xr:uid="{00000000-0005-0000-0000-00009B770000}"/>
    <cellStyle name="Note 2 5 5" xfId="7928" xr:uid="{00000000-0005-0000-0000-00009C770000}"/>
    <cellStyle name="Note 2 5 5 2" xfId="7929" xr:uid="{00000000-0005-0000-0000-00009D770000}"/>
    <cellStyle name="Note 2 5 5 2 2" xfId="13311" xr:uid="{00000000-0005-0000-0000-00009E770000}"/>
    <cellStyle name="Note 2 5 5 2 3" xfId="32190" xr:uid="{00000000-0005-0000-0000-00009F770000}"/>
    <cellStyle name="Note 2 5 5 3" xfId="11809" xr:uid="{00000000-0005-0000-0000-0000A0770000}"/>
    <cellStyle name="Note 2 5 5 3 2" xfId="25524" xr:uid="{00000000-0005-0000-0000-0000A1770000}"/>
    <cellStyle name="Note 2 5 5 4" xfId="32189" xr:uid="{00000000-0005-0000-0000-0000A2770000}"/>
    <cellStyle name="Note 2 5 6" xfId="7930" xr:uid="{00000000-0005-0000-0000-0000A3770000}"/>
    <cellStyle name="Note 2 5 6 2" xfId="7931" xr:uid="{00000000-0005-0000-0000-0000A4770000}"/>
    <cellStyle name="Note 2 5 6 2 2" xfId="15746" xr:uid="{00000000-0005-0000-0000-0000A5770000}"/>
    <cellStyle name="Note 2 5 6 2 3" xfId="32192" xr:uid="{00000000-0005-0000-0000-0000A6770000}"/>
    <cellStyle name="Note 2 5 6 3" xfId="13410" xr:uid="{00000000-0005-0000-0000-0000A7770000}"/>
    <cellStyle name="Note 2 5 6 3 2" xfId="26959" xr:uid="{00000000-0005-0000-0000-0000A8770000}"/>
    <cellStyle name="Note 2 5 6 4" xfId="32191" xr:uid="{00000000-0005-0000-0000-0000A9770000}"/>
    <cellStyle name="Note 2 5 7" xfId="7932" xr:uid="{00000000-0005-0000-0000-0000AA770000}"/>
    <cellStyle name="Note 2 5 7 2" xfId="13991" xr:uid="{00000000-0005-0000-0000-0000AB770000}"/>
    <cellStyle name="Note 2 5 7 2 2" xfId="27540" xr:uid="{00000000-0005-0000-0000-0000AC770000}"/>
    <cellStyle name="Note 2 5 7 3" xfId="32193" xr:uid="{00000000-0005-0000-0000-0000AD770000}"/>
    <cellStyle name="Note 2 5 8" xfId="7933" xr:uid="{00000000-0005-0000-0000-0000AE770000}"/>
    <cellStyle name="Note 2 5 8 2" xfId="15877" xr:uid="{00000000-0005-0000-0000-0000AF770000}"/>
    <cellStyle name="Note 2 5 8 2 2" xfId="29284" xr:uid="{00000000-0005-0000-0000-0000B0770000}"/>
    <cellStyle name="Note 2 5 8 3" xfId="32194" xr:uid="{00000000-0005-0000-0000-0000B1770000}"/>
    <cellStyle name="Note 2 5 9" xfId="10284" xr:uid="{00000000-0005-0000-0000-0000B2770000}"/>
    <cellStyle name="Note 2 6" xfId="7934" xr:uid="{00000000-0005-0000-0000-0000B3770000}"/>
    <cellStyle name="Note 2 6 10" xfId="32195" xr:uid="{00000000-0005-0000-0000-0000B4770000}"/>
    <cellStyle name="Note 2 6 2" xfId="7935" xr:uid="{00000000-0005-0000-0000-0000B5770000}"/>
    <cellStyle name="Note 2 6 2 2" xfId="7936" xr:uid="{00000000-0005-0000-0000-0000B6770000}"/>
    <cellStyle name="Note 2 6 2 2 2" xfId="7937" xr:uid="{00000000-0005-0000-0000-0000B7770000}"/>
    <cellStyle name="Note 2 6 2 2 2 2" xfId="7938" xr:uid="{00000000-0005-0000-0000-0000B8770000}"/>
    <cellStyle name="Note 2 6 2 2 2 2 2" xfId="11633" xr:uid="{00000000-0005-0000-0000-0000B9770000}"/>
    <cellStyle name="Note 2 6 2 2 2 2 3" xfId="32199" xr:uid="{00000000-0005-0000-0000-0000BA770000}"/>
    <cellStyle name="Note 2 6 2 2 2 3" xfId="7939" xr:uid="{00000000-0005-0000-0000-0000BB770000}"/>
    <cellStyle name="Note 2 6 2 2 2 3 2" xfId="16996" xr:uid="{00000000-0005-0000-0000-0000BC770000}"/>
    <cellStyle name="Note 2 6 2 2 2 3 2 2" xfId="30403" xr:uid="{00000000-0005-0000-0000-0000BD770000}"/>
    <cellStyle name="Note 2 6 2 2 2 3 3" xfId="32200" xr:uid="{00000000-0005-0000-0000-0000BE770000}"/>
    <cellStyle name="Note 2 6 2 2 2 4" xfId="10295" xr:uid="{00000000-0005-0000-0000-0000BF770000}"/>
    <cellStyle name="Note 2 6 2 2 2 5" xfId="32198" xr:uid="{00000000-0005-0000-0000-0000C0770000}"/>
    <cellStyle name="Note 2 6 2 2 3" xfId="7940" xr:uid="{00000000-0005-0000-0000-0000C1770000}"/>
    <cellStyle name="Note 2 6 2 2 3 2" xfId="7941" xr:uid="{00000000-0005-0000-0000-0000C2770000}"/>
    <cellStyle name="Note 2 6 2 2 3 2 2" xfId="13312" xr:uid="{00000000-0005-0000-0000-0000C3770000}"/>
    <cellStyle name="Note 2 6 2 2 3 2 3" xfId="32202" xr:uid="{00000000-0005-0000-0000-0000C4770000}"/>
    <cellStyle name="Note 2 6 2 2 3 3" xfId="12384" xr:uid="{00000000-0005-0000-0000-0000C5770000}"/>
    <cellStyle name="Note 2 6 2 2 3 3 2" xfId="26096" xr:uid="{00000000-0005-0000-0000-0000C6770000}"/>
    <cellStyle name="Note 2 6 2 2 3 4" xfId="32201" xr:uid="{00000000-0005-0000-0000-0000C7770000}"/>
    <cellStyle name="Note 2 6 2 2 4" xfId="7942" xr:uid="{00000000-0005-0000-0000-0000C8770000}"/>
    <cellStyle name="Note 2 6 2 2 4 2" xfId="7943" xr:uid="{00000000-0005-0000-0000-0000C9770000}"/>
    <cellStyle name="Note 2 6 2 2 4 2 2" xfId="15747" xr:uid="{00000000-0005-0000-0000-0000CA770000}"/>
    <cellStyle name="Note 2 6 2 2 4 2 3" xfId="32204" xr:uid="{00000000-0005-0000-0000-0000CB770000}"/>
    <cellStyle name="Note 2 6 2 2 4 3" xfId="13948" xr:uid="{00000000-0005-0000-0000-0000CC770000}"/>
    <cellStyle name="Note 2 6 2 2 4 3 2" xfId="27497" xr:uid="{00000000-0005-0000-0000-0000CD770000}"/>
    <cellStyle name="Note 2 6 2 2 4 4" xfId="32203" xr:uid="{00000000-0005-0000-0000-0000CE770000}"/>
    <cellStyle name="Note 2 6 2 2 5" xfId="7944" xr:uid="{00000000-0005-0000-0000-0000CF770000}"/>
    <cellStyle name="Note 2 6 2 2 5 2" xfId="14529" xr:uid="{00000000-0005-0000-0000-0000D0770000}"/>
    <cellStyle name="Note 2 6 2 2 5 2 2" xfId="28078" xr:uid="{00000000-0005-0000-0000-0000D1770000}"/>
    <cellStyle name="Note 2 6 2 2 5 3" xfId="32205" xr:uid="{00000000-0005-0000-0000-0000D2770000}"/>
    <cellStyle name="Note 2 6 2 2 6" xfId="7945" xr:uid="{00000000-0005-0000-0000-0000D3770000}"/>
    <cellStyle name="Note 2 6 2 2 6 2" xfId="16415" xr:uid="{00000000-0005-0000-0000-0000D4770000}"/>
    <cellStyle name="Note 2 6 2 2 6 2 2" xfId="29822" xr:uid="{00000000-0005-0000-0000-0000D5770000}"/>
    <cellStyle name="Note 2 6 2 2 6 3" xfId="32206" xr:uid="{00000000-0005-0000-0000-0000D6770000}"/>
    <cellStyle name="Note 2 6 2 2 7" xfId="10294" xr:uid="{00000000-0005-0000-0000-0000D7770000}"/>
    <cellStyle name="Note 2 6 2 2 8" xfId="32197" xr:uid="{00000000-0005-0000-0000-0000D8770000}"/>
    <cellStyle name="Note 2 6 2 3" xfId="7946" xr:uid="{00000000-0005-0000-0000-0000D9770000}"/>
    <cellStyle name="Note 2 6 2 3 2" xfId="7947" xr:uid="{00000000-0005-0000-0000-0000DA770000}"/>
    <cellStyle name="Note 2 6 2 3 2 2" xfId="11634" xr:uid="{00000000-0005-0000-0000-0000DB770000}"/>
    <cellStyle name="Note 2 6 2 3 2 3" xfId="32208" xr:uid="{00000000-0005-0000-0000-0000DC770000}"/>
    <cellStyle name="Note 2 6 2 3 3" xfId="7948" xr:uid="{00000000-0005-0000-0000-0000DD770000}"/>
    <cellStyle name="Note 2 6 2 3 3 2" xfId="16707" xr:uid="{00000000-0005-0000-0000-0000DE770000}"/>
    <cellStyle name="Note 2 6 2 3 3 2 2" xfId="30114" xr:uid="{00000000-0005-0000-0000-0000DF770000}"/>
    <cellStyle name="Note 2 6 2 3 3 3" xfId="32209" xr:uid="{00000000-0005-0000-0000-0000E0770000}"/>
    <cellStyle name="Note 2 6 2 3 4" xfId="10296" xr:uid="{00000000-0005-0000-0000-0000E1770000}"/>
    <cellStyle name="Note 2 6 2 3 5" xfId="32207" xr:uid="{00000000-0005-0000-0000-0000E2770000}"/>
    <cellStyle name="Note 2 6 2 4" xfId="7949" xr:uid="{00000000-0005-0000-0000-0000E3770000}"/>
    <cellStyle name="Note 2 6 2 4 2" xfId="7950" xr:uid="{00000000-0005-0000-0000-0000E4770000}"/>
    <cellStyle name="Note 2 6 2 4 2 2" xfId="13313" xr:uid="{00000000-0005-0000-0000-0000E5770000}"/>
    <cellStyle name="Note 2 6 2 4 2 3" xfId="32211" xr:uid="{00000000-0005-0000-0000-0000E6770000}"/>
    <cellStyle name="Note 2 6 2 4 3" xfId="12084" xr:uid="{00000000-0005-0000-0000-0000E7770000}"/>
    <cellStyle name="Note 2 6 2 4 3 2" xfId="25799" xr:uid="{00000000-0005-0000-0000-0000E8770000}"/>
    <cellStyle name="Note 2 6 2 4 4" xfId="32210" xr:uid="{00000000-0005-0000-0000-0000E9770000}"/>
    <cellStyle name="Note 2 6 2 5" xfId="7951" xr:uid="{00000000-0005-0000-0000-0000EA770000}"/>
    <cellStyle name="Note 2 6 2 5 2" xfId="7952" xr:uid="{00000000-0005-0000-0000-0000EB770000}"/>
    <cellStyle name="Note 2 6 2 5 2 2" xfId="15748" xr:uid="{00000000-0005-0000-0000-0000EC770000}"/>
    <cellStyle name="Note 2 6 2 5 2 3" xfId="32213" xr:uid="{00000000-0005-0000-0000-0000ED770000}"/>
    <cellStyle name="Note 2 6 2 5 3" xfId="13659" xr:uid="{00000000-0005-0000-0000-0000EE770000}"/>
    <cellStyle name="Note 2 6 2 5 3 2" xfId="27208" xr:uid="{00000000-0005-0000-0000-0000EF770000}"/>
    <cellStyle name="Note 2 6 2 5 4" xfId="32212" xr:uid="{00000000-0005-0000-0000-0000F0770000}"/>
    <cellStyle name="Note 2 6 2 6" xfId="7953" xr:uid="{00000000-0005-0000-0000-0000F1770000}"/>
    <cellStyle name="Note 2 6 2 6 2" xfId="14240" xr:uid="{00000000-0005-0000-0000-0000F2770000}"/>
    <cellStyle name="Note 2 6 2 6 2 2" xfId="27789" xr:uid="{00000000-0005-0000-0000-0000F3770000}"/>
    <cellStyle name="Note 2 6 2 6 3" xfId="32214" xr:uid="{00000000-0005-0000-0000-0000F4770000}"/>
    <cellStyle name="Note 2 6 2 7" xfId="7954" xr:uid="{00000000-0005-0000-0000-0000F5770000}"/>
    <cellStyle name="Note 2 6 2 7 2" xfId="16126" xr:uid="{00000000-0005-0000-0000-0000F6770000}"/>
    <cellStyle name="Note 2 6 2 7 2 2" xfId="29533" xr:uid="{00000000-0005-0000-0000-0000F7770000}"/>
    <cellStyle name="Note 2 6 2 7 3" xfId="32215" xr:uid="{00000000-0005-0000-0000-0000F8770000}"/>
    <cellStyle name="Note 2 6 2 8" xfId="10293" xr:uid="{00000000-0005-0000-0000-0000F9770000}"/>
    <cellStyle name="Note 2 6 2 9" xfId="32196" xr:uid="{00000000-0005-0000-0000-0000FA770000}"/>
    <cellStyle name="Note 2 6 3" xfId="7955" xr:uid="{00000000-0005-0000-0000-0000FB770000}"/>
    <cellStyle name="Note 2 6 3 2" xfId="7956" xr:uid="{00000000-0005-0000-0000-0000FC770000}"/>
    <cellStyle name="Note 2 6 3 2 2" xfId="7957" xr:uid="{00000000-0005-0000-0000-0000FD770000}"/>
    <cellStyle name="Note 2 6 3 2 2 2" xfId="11635" xr:uid="{00000000-0005-0000-0000-0000FE770000}"/>
    <cellStyle name="Note 2 6 3 2 2 3" xfId="32218" xr:uid="{00000000-0005-0000-0000-0000FF770000}"/>
    <cellStyle name="Note 2 6 3 2 3" xfId="7958" xr:uid="{00000000-0005-0000-0000-000000780000}"/>
    <cellStyle name="Note 2 6 3 2 3 2" xfId="16853" xr:uid="{00000000-0005-0000-0000-000001780000}"/>
    <cellStyle name="Note 2 6 3 2 3 2 2" xfId="30260" xr:uid="{00000000-0005-0000-0000-000002780000}"/>
    <cellStyle name="Note 2 6 3 2 3 3" xfId="32219" xr:uid="{00000000-0005-0000-0000-000003780000}"/>
    <cellStyle name="Note 2 6 3 2 4" xfId="10298" xr:uid="{00000000-0005-0000-0000-000004780000}"/>
    <cellStyle name="Note 2 6 3 2 5" xfId="32217" xr:uid="{00000000-0005-0000-0000-000005780000}"/>
    <cellStyle name="Note 2 6 3 3" xfId="7959" xr:uid="{00000000-0005-0000-0000-000006780000}"/>
    <cellStyle name="Note 2 6 3 3 2" xfId="7960" xr:uid="{00000000-0005-0000-0000-000007780000}"/>
    <cellStyle name="Note 2 6 3 3 2 2" xfId="13314" xr:uid="{00000000-0005-0000-0000-000008780000}"/>
    <cellStyle name="Note 2 6 3 3 2 3" xfId="32221" xr:uid="{00000000-0005-0000-0000-000009780000}"/>
    <cellStyle name="Note 2 6 3 3 3" xfId="12241" xr:uid="{00000000-0005-0000-0000-00000A780000}"/>
    <cellStyle name="Note 2 6 3 3 3 2" xfId="25953" xr:uid="{00000000-0005-0000-0000-00000B780000}"/>
    <cellStyle name="Note 2 6 3 3 4" xfId="32220" xr:uid="{00000000-0005-0000-0000-00000C780000}"/>
    <cellStyle name="Note 2 6 3 4" xfId="7961" xr:uid="{00000000-0005-0000-0000-00000D780000}"/>
    <cellStyle name="Note 2 6 3 4 2" xfId="7962" xr:uid="{00000000-0005-0000-0000-00000E780000}"/>
    <cellStyle name="Note 2 6 3 4 2 2" xfId="15749" xr:uid="{00000000-0005-0000-0000-00000F780000}"/>
    <cellStyle name="Note 2 6 3 4 2 3" xfId="32223" xr:uid="{00000000-0005-0000-0000-000010780000}"/>
    <cellStyle name="Note 2 6 3 4 3" xfId="13805" xr:uid="{00000000-0005-0000-0000-000011780000}"/>
    <cellStyle name="Note 2 6 3 4 3 2" xfId="27354" xr:uid="{00000000-0005-0000-0000-000012780000}"/>
    <cellStyle name="Note 2 6 3 4 4" xfId="32222" xr:uid="{00000000-0005-0000-0000-000013780000}"/>
    <cellStyle name="Note 2 6 3 5" xfId="7963" xr:uid="{00000000-0005-0000-0000-000014780000}"/>
    <cellStyle name="Note 2 6 3 5 2" xfId="14386" xr:uid="{00000000-0005-0000-0000-000015780000}"/>
    <cellStyle name="Note 2 6 3 5 2 2" xfId="27935" xr:uid="{00000000-0005-0000-0000-000016780000}"/>
    <cellStyle name="Note 2 6 3 5 3" xfId="32224" xr:uid="{00000000-0005-0000-0000-000017780000}"/>
    <cellStyle name="Note 2 6 3 6" xfId="7964" xr:uid="{00000000-0005-0000-0000-000018780000}"/>
    <cellStyle name="Note 2 6 3 6 2" xfId="16272" xr:uid="{00000000-0005-0000-0000-000019780000}"/>
    <cellStyle name="Note 2 6 3 6 2 2" xfId="29679" xr:uid="{00000000-0005-0000-0000-00001A780000}"/>
    <cellStyle name="Note 2 6 3 6 3" xfId="32225" xr:uid="{00000000-0005-0000-0000-00001B780000}"/>
    <cellStyle name="Note 2 6 3 7" xfId="10297" xr:uid="{00000000-0005-0000-0000-00001C780000}"/>
    <cellStyle name="Note 2 6 3 8" xfId="32216" xr:uid="{00000000-0005-0000-0000-00001D780000}"/>
    <cellStyle name="Note 2 6 4" xfId="7965" xr:uid="{00000000-0005-0000-0000-00001E780000}"/>
    <cellStyle name="Note 2 6 4 2" xfId="7966" xr:uid="{00000000-0005-0000-0000-00001F780000}"/>
    <cellStyle name="Note 2 6 4 2 2" xfId="11636" xr:uid="{00000000-0005-0000-0000-000020780000}"/>
    <cellStyle name="Note 2 6 4 2 3" xfId="32227" xr:uid="{00000000-0005-0000-0000-000021780000}"/>
    <cellStyle name="Note 2 6 4 3" xfId="7967" xr:uid="{00000000-0005-0000-0000-000022780000}"/>
    <cellStyle name="Note 2 6 4 3 2" xfId="16564" xr:uid="{00000000-0005-0000-0000-000023780000}"/>
    <cellStyle name="Note 2 6 4 3 2 2" xfId="29971" xr:uid="{00000000-0005-0000-0000-000024780000}"/>
    <cellStyle name="Note 2 6 4 3 3" xfId="32228" xr:uid="{00000000-0005-0000-0000-000025780000}"/>
    <cellStyle name="Note 2 6 4 4" xfId="10299" xr:uid="{00000000-0005-0000-0000-000026780000}"/>
    <cellStyle name="Note 2 6 4 5" xfId="32226" xr:uid="{00000000-0005-0000-0000-000027780000}"/>
    <cellStyle name="Note 2 6 5" xfId="7968" xr:uid="{00000000-0005-0000-0000-000028780000}"/>
    <cellStyle name="Note 2 6 5 2" xfId="7969" xr:uid="{00000000-0005-0000-0000-000029780000}"/>
    <cellStyle name="Note 2 6 5 2 2" xfId="13315" xr:uid="{00000000-0005-0000-0000-00002A780000}"/>
    <cellStyle name="Note 2 6 5 2 3" xfId="32230" xr:uid="{00000000-0005-0000-0000-00002B780000}"/>
    <cellStyle name="Note 2 6 5 3" xfId="11939" xr:uid="{00000000-0005-0000-0000-00002C780000}"/>
    <cellStyle name="Note 2 6 5 3 2" xfId="25654" xr:uid="{00000000-0005-0000-0000-00002D780000}"/>
    <cellStyle name="Note 2 6 5 4" xfId="32229" xr:uid="{00000000-0005-0000-0000-00002E780000}"/>
    <cellStyle name="Note 2 6 6" xfId="7970" xr:uid="{00000000-0005-0000-0000-00002F780000}"/>
    <cellStyle name="Note 2 6 6 2" xfId="7971" xr:uid="{00000000-0005-0000-0000-000030780000}"/>
    <cellStyle name="Note 2 6 6 2 2" xfId="15750" xr:uid="{00000000-0005-0000-0000-000031780000}"/>
    <cellStyle name="Note 2 6 6 2 3" xfId="32232" xr:uid="{00000000-0005-0000-0000-000032780000}"/>
    <cellStyle name="Note 2 6 6 3" xfId="13516" xr:uid="{00000000-0005-0000-0000-000033780000}"/>
    <cellStyle name="Note 2 6 6 3 2" xfId="27065" xr:uid="{00000000-0005-0000-0000-000034780000}"/>
    <cellStyle name="Note 2 6 6 4" xfId="32231" xr:uid="{00000000-0005-0000-0000-000035780000}"/>
    <cellStyle name="Note 2 6 7" xfId="7972" xr:uid="{00000000-0005-0000-0000-000036780000}"/>
    <cellStyle name="Note 2 6 7 2" xfId="14097" xr:uid="{00000000-0005-0000-0000-000037780000}"/>
    <cellStyle name="Note 2 6 7 2 2" xfId="27646" xr:uid="{00000000-0005-0000-0000-000038780000}"/>
    <cellStyle name="Note 2 6 7 3" xfId="32233" xr:uid="{00000000-0005-0000-0000-000039780000}"/>
    <cellStyle name="Note 2 6 8" xfId="7973" xr:uid="{00000000-0005-0000-0000-00003A780000}"/>
    <cellStyle name="Note 2 6 8 2" xfId="15983" xr:uid="{00000000-0005-0000-0000-00003B780000}"/>
    <cellStyle name="Note 2 6 8 2 2" xfId="29390" xr:uid="{00000000-0005-0000-0000-00003C780000}"/>
    <cellStyle name="Note 2 6 8 3" xfId="32234" xr:uid="{00000000-0005-0000-0000-00003D780000}"/>
    <cellStyle name="Note 2 6 9" xfId="10292" xr:uid="{00000000-0005-0000-0000-00003E780000}"/>
    <cellStyle name="Note 2 7" xfId="7974" xr:uid="{00000000-0005-0000-0000-00003F780000}"/>
    <cellStyle name="Note 2 7 2" xfId="7975" xr:uid="{00000000-0005-0000-0000-000040780000}"/>
    <cellStyle name="Note 2 7 2 2" xfId="7976" xr:uid="{00000000-0005-0000-0000-000041780000}"/>
    <cellStyle name="Note 2 7 2 2 2" xfId="7977" xr:uid="{00000000-0005-0000-0000-000042780000}"/>
    <cellStyle name="Note 2 7 2 2 2 2" xfId="11637" xr:uid="{00000000-0005-0000-0000-000043780000}"/>
    <cellStyle name="Note 2 7 2 2 2 3" xfId="32238" xr:uid="{00000000-0005-0000-0000-000044780000}"/>
    <cellStyle name="Note 2 7 2 2 3" xfId="7978" xr:uid="{00000000-0005-0000-0000-000045780000}"/>
    <cellStyle name="Note 2 7 2 2 3 2" xfId="16873" xr:uid="{00000000-0005-0000-0000-000046780000}"/>
    <cellStyle name="Note 2 7 2 2 3 2 2" xfId="30280" xr:uid="{00000000-0005-0000-0000-000047780000}"/>
    <cellStyle name="Note 2 7 2 2 3 3" xfId="32239" xr:uid="{00000000-0005-0000-0000-000048780000}"/>
    <cellStyle name="Note 2 7 2 2 4" xfId="10302" xr:uid="{00000000-0005-0000-0000-000049780000}"/>
    <cellStyle name="Note 2 7 2 2 5" xfId="32237" xr:uid="{00000000-0005-0000-0000-00004A780000}"/>
    <cellStyle name="Note 2 7 2 3" xfId="7979" xr:uid="{00000000-0005-0000-0000-00004B780000}"/>
    <cellStyle name="Note 2 7 2 3 2" xfId="7980" xr:uid="{00000000-0005-0000-0000-00004C780000}"/>
    <cellStyle name="Note 2 7 2 3 2 2" xfId="13316" xr:uid="{00000000-0005-0000-0000-00004D780000}"/>
    <cellStyle name="Note 2 7 2 3 2 3" xfId="32241" xr:uid="{00000000-0005-0000-0000-00004E780000}"/>
    <cellStyle name="Note 2 7 2 3 3" xfId="12261" xr:uid="{00000000-0005-0000-0000-00004F780000}"/>
    <cellStyle name="Note 2 7 2 3 3 2" xfId="25973" xr:uid="{00000000-0005-0000-0000-000050780000}"/>
    <cellStyle name="Note 2 7 2 3 4" xfId="32240" xr:uid="{00000000-0005-0000-0000-000051780000}"/>
    <cellStyle name="Note 2 7 2 4" xfId="7981" xr:uid="{00000000-0005-0000-0000-000052780000}"/>
    <cellStyle name="Note 2 7 2 4 2" xfId="7982" xr:uid="{00000000-0005-0000-0000-000053780000}"/>
    <cellStyle name="Note 2 7 2 4 2 2" xfId="15751" xr:uid="{00000000-0005-0000-0000-000054780000}"/>
    <cellStyle name="Note 2 7 2 4 2 3" xfId="32243" xr:uid="{00000000-0005-0000-0000-000055780000}"/>
    <cellStyle name="Note 2 7 2 4 3" xfId="13825" xr:uid="{00000000-0005-0000-0000-000056780000}"/>
    <cellStyle name="Note 2 7 2 4 3 2" xfId="27374" xr:uid="{00000000-0005-0000-0000-000057780000}"/>
    <cellStyle name="Note 2 7 2 4 4" xfId="32242" xr:uid="{00000000-0005-0000-0000-000058780000}"/>
    <cellStyle name="Note 2 7 2 5" xfId="7983" xr:uid="{00000000-0005-0000-0000-000059780000}"/>
    <cellStyle name="Note 2 7 2 5 2" xfId="14406" xr:uid="{00000000-0005-0000-0000-00005A780000}"/>
    <cellStyle name="Note 2 7 2 5 2 2" xfId="27955" xr:uid="{00000000-0005-0000-0000-00005B780000}"/>
    <cellStyle name="Note 2 7 2 5 3" xfId="32244" xr:uid="{00000000-0005-0000-0000-00005C780000}"/>
    <cellStyle name="Note 2 7 2 6" xfId="7984" xr:uid="{00000000-0005-0000-0000-00005D780000}"/>
    <cellStyle name="Note 2 7 2 6 2" xfId="16292" xr:uid="{00000000-0005-0000-0000-00005E780000}"/>
    <cellStyle name="Note 2 7 2 6 2 2" xfId="29699" xr:uid="{00000000-0005-0000-0000-00005F780000}"/>
    <cellStyle name="Note 2 7 2 6 3" xfId="32245" xr:uid="{00000000-0005-0000-0000-000060780000}"/>
    <cellStyle name="Note 2 7 2 7" xfId="10301" xr:uid="{00000000-0005-0000-0000-000061780000}"/>
    <cellStyle name="Note 2 7 2 8" xfId="32236" xr:uid="{00000000-0005-0000-0000-000062780000}"/>
    <cellStyle name="Note 2 7 3" xfId="7985" xr:uid="{00000000-0005-0000-0000-000063780000}"/>
    <cellStyle name="Note 2 7 3 2" xfId="7986" xr:uid="{00000000-0005-0000-0000-000064780000}"/>
    <cellStyle name="Note 2 7 3 2 2" xfId="11638" xr:uid="{00000000-0005-0000-0000-000065780000}"/>
    <cellStyle name="Note 2 7 3 2 3" xfId="32247" xr:uid="{00000000-0005-0000-0000-000066780000}"/>
    <cellStyle name="Note 2 7 3 3" xfId="7987" xr:uid="{00000000-0005-0000-0000-000067780000}"/>
    <cellStyle name="Note 2 7 3 3 2" xfId="16584" xr:uid="{00000000-0005-0000-0000-000068780000}"/>
    <cellStyle name="Note 2 7 3 3 2 2" xfId="29991" xr:uid="{00000000-0005-0000-0000-000069780000}"/>
    <cellStyle name="Note 2 7 3 3 3" xfId="32248" xr:uid="{00000000-0005-0000-0000-00006A780000}"/>
    <cellStyle name="Note 2 7 3 4" xfId="10303" xr:uid="{00000000-0005-0000-0000-00006B780000}"/>
    <cellStyle name="Note 2 7 3 5" xfId="32246" xr:uid="{00000000-0005-0000-0000-00006C780000}"/>
    <cellStyle name="Note 2 7 4" xfId="7988" xr:uid="{00000000-0005-0000-0000-00006D780000}"/>
    <cellStyle name="Note 2 7 4 2" xfId="7989" xr:uid="{00000000-0005-0000-0000-00006E780000}"/>
    <cellStyle name="Note 2 7 4 2 2" xfId="13317" xr:uid="{00000000-0005-0000-0000-00006F780000}"/>
    <cellStyle name="Note 2 7 4 2 3" xfId="32250" xr:uid="{00000000-0005-0000-0000-000070780000}"/>
    <cellStyle name="Note 2 7 4 3" xfId="11961" xr:uid="{00000000-0005-0000-0000-000071780000}"/>
    <cellStyle name="Note 2 7 4 3 2" xfId="25676" xr:uid="{00000000-0005-0000-0000-000072780000}"/>
    <cellStyle name="Note 2 7 4 4" xfId="32249" xr:uid="{00000000-0005-0000-0000-000073780000}"/>
    <cellStyle name="Note 2 7 5" xfId="7990" xr:uid="{00000000-0005-0000-0000-000074780000}"/>
    <cellStyle name="Note 2 7 5 2" xfId="7991" xr:uid="{00000000-0005-0000-0000-000075780000}"/>
    <cellStyle name="Note 2 7 5 2 2" xfId="15752" xr:uid="{00000000-0005-0000-0000-000076780000}"/>
    <cellStyle name="Note 2 7 5 2 3" xfId="32252" xr:uid="{00000000-0005-0000-0000-000077780000}"/>
    <cellStyle name="Note 2 7 5 3" xfId="13536" xr:uid="{00000000-0005-0000-0000-000078780000}"/>
    <cellStyle name="Note 2 7 5 3 2" xfId="27085" xr:uid="{00000000-0005-0000-0000-000079780000}"/>
    <cellStyle name="Note 2 7 5 4" xfId="32251" xr:uid="{00000000-0005-0000-0000-00007A780000}"/>
    <cellStyle name="Note 2 7 6" xfId="7992" xr:uid="{00000000-0005-0000-0000-00007B780000}"/>
    <cellStyle name="Note 2 7 6 2" xfId="14117" xr:uid="{00000000-0005-0000-0000-00007C780000}"/>
    <cellStyle name="Note 2 7 6 2 2" xfId="27666" xr:uid="{00000000-0005-0000-0000-00007D780000}"/>
    <cellStyle name="Note 2 7 6 3" xfId="32253" xr:uid="{00000000-0005-0000-0000-00007E780000}"/>
    <cellStyle name="Note 2 7 7" xfId="7993" xr:uid="{00000000-0005-0000-0000-00007F780000}"/>
    <cellStyle name="Note 2 7 7 2" xfId="16003" xr:uid="{00000000-0005-0000-0000-000080780000}"/>
    <cellStyle name="Note 2 7 7 2 2" xfId="29410" xr:uid="{00000000-0005-0000-0000-000081780000}"/>
    <cellStyle name="Note 2 7 7 3" xfId="32254" xr:uid="{00000000-0005-0000-0000-000082780000}"/>
    <cellStyle name="Note 2 7 8" xfId="10300" xr:uid="{00000000-0005-0000-0000-000083780000}"/>
    <cellStyle name="Note 2 7 9" xfId="32235" xr:uid="{00000000-0005-0000-0000-000084780000}"/>
    <cellStyle name="Note 2 8" xfId="7994" xr:uid="{00000000-0005-0000-0000-000085780000}"/>
    <cellStyle name="Note 2 8 2" xfId="7995" xr:uid="{00000000-0005-0000-0000-000086780000}"/>
    <cellStyle name="Note 2 8 2 2" xfId="7996" xr:uid="{00000000-0005-0000-0000-000087780000}"/>
    <cellStyle name="Note 2 8 2 2 2" xfId="11639" xr:uid="{00000000-0005-0000-0000-000088780000}"/>
    <cellStyle name="Note 2 8 2 2 3" xfId="32257" xr:uid="{00000000-0005-0000-0000-000089780000}"/>
    <cellStyle name="Note 2 8 2 3" xfId="7997" xr:uid="{00000000-0005-0000-0000-00008A780000}"/>
    <cellStyle name="Note 2 8 2 3 2" xfId="16729" xr:uid="{00000000-0005-0000-0000-00008B780000}"/>
    <cellStyle name="Note 2 8 2 3 2 2" xfId="30136" xr:uid="{00000000-0005-0000-0000-00008C780000}"/>
    <cellStyle name="Note 2 8 2 3 3" xfId="32258" xr:uid="{00000000-0005-0000-0000-00008D780000}"/>
    <cellStyle name="Note 2 8 2 4" xfId="10305" xr:uid="{00000000-0005-0000-0000-00008E780000}"/>
    <cellStyle name="Note 2 8 2 5" xfId="32256" xr:uid="{00000000-0005-0000-0000-00008F780000}"/>
    <cellStyle name="Note 2 8 3" xfId="7998" xr:uid="{00000000-0005-0000-0000-000090780000}"/>
    <cellStyle name="Note 2 8 3 2" xfId="7999" xr:uid="{00000000-0005-0000-0000-000091780000}"/>
    <cellStyle name="Note 2 8 3 2 2" xfId="13318" xr:uid="{00000000-0005-0000-0000-000092780000}"/>
    <cellStyle name="Note 2 8 3 2 3" xfId="32260" xr:uid="{00000000-0005-0000-0000-000093780000}"/>
    <cellStyle name="Note 2 8 3 3" xfId="12117" xr:uid="{00000000-0005-0000-0000-000094780000}"/>
    <cellStyle name="Note 2 8 3 3 2" xfId="25829" xr:uid="{00000000-0005-0000-0000-000095780000}"/>
    <cellStyle name="Note 2 8 3 4" xfId="32259" xr:uid="{00000000-0005-0000-0000-000096780000}"/>
    <cellStyle name="Note 2 8 4" xfId="8000" xr:uid="{00000000-0005-0000-0000-000097780000}"/>
    <cellStyle name="Note 2 8 4 2" xfId="8001" xr:uid="{00000000-0005-0000-0000-000098780000}"/>
    <cellStyle name="Note 2 8 4 2 2" xfId="15753" xr:uid="{00000000-0005-0000-0000-000099780000}"/>
    <cellStyle name="Note 2 8 4 2 3" xfId="32262" xr:uid="{00000000-0005-0000-0000-00009A780000}"/>
    <cellStyle name="Note 2 8 4 3" xfId="13681" xr:uid="{00000000-0005-0000-0000-00009B780000}"/>
    <cellStyle name="Note 2 8 4 3 2" xfId="27230" xr:uid="{00000000-0005-0000-0000-00009C780000}"/>
    <cellStyle name="Note 2 8 4 4" xfId="32261" xr:uid="{00000000-0005-0000-0000-00009D780000}"/>
    <cellStyle name="Note 2 8 5" xfId="8002" xr:uid="{00000000-0005-0000-0000-00009E780000}"/>
    <cellStyle name="Note 2 8 5 2" xfId="14262" xr:uid="{00000000-0005-0000-0000-00009F780000}"/>
    <cellStyle name="Note 2 8 5 2 2" xfId="27811" xr:uid="{00000000-0005-0000-0000-0000A0780000}"/>
    <cellStyle name="Note 2 8 5 3" xfId="32263" xr:uid="{00000000-0005-0000-0000-0000A1780000}"/>
    <cellStyle name="Note 2 8 6" xfId="8003" xr:uid="{00000000-0005-0000-0000-0000A2780000}"/>
    <cellStyle name="Note 2 8 6 2" xfId="16148" xr:uid="{00000000-0005-0000-0000-0000A3780000}"/>
    <cellStyle name="Note 2 8 6 2 2" xfId="29555" xr:uid="{00000000-0005-0000-0000-0000A4780000}"/>
    <cellStyle name="Note 2 8 6 3" xfId="32264" xr:uid="{00000000-0005-0000-0000-0000A5780000}"/>
    <cellStyle name="Note 2 8 7" xfId="10304" xr:uid="{00000000-0005-0000-0000-0000A6780000}"/>
    <cellStyle name="Note 2 8 8" xfId="32255" xr:uid="{00000000-0005-0000-0000-0000A7780000}"/>
    <cellStyle name="Note 2 9" xfId="8004" xr:uid="{00000000-0005-0000-0000-0000A8780000}"/>
    <cellStyle name="Note 2 9 2" xfId="8005" xr:uid="{00000000-0005-0000-0000-0000A9780000}"/>
    <cellStyle name="Note 2 9 2 2" xfId="13319" xr:uid="{00000000-0005-0000-0000-0000AA780000}"/>
    <cellStyle name="Note 2 9 2 3" xfId="32266" xr:uid="{00000000-0005-0000-0000-0000AB780000}"/>
    <cellStyle name="Note 2 9 3" xfId="8006" xr:uid="{00000000-0005-0000-0000-0000AC780000}"/>
    <cellStyle name="Note 2 9 3 2" xfId="17052" xr:uid="{00000000-0005-0000-0000-0000AD780000}"/>
    <cellStyle name="Note 2 9 3 2 2" xfId="30451" xr:uid="{00000000-0005-0000-0000-0000AE780000}"/>
    <cellStyle name="Note 2 9 3 3" xfId="32267" xr:uid="{00000000-0005-0000-0000-0000AF780000}"/>
    <cellStyle name="Note 2 9 4" xfId="10306" xr:uid="{00000000-0005-0000-0000-0000B0780000}"/>
    <cellStyle name="Note 2 9 5" xfId="32265" xr:uid="{00000000-0005-0000-0000-0000B1780000}"/>
    <cellStyle name="Note 3" xfId="8007" xr:uid="{00000000-0005-0000-0000-0000B2780000}"/>
    <cellStyle name="Note 3 10" xfId="10307" xr:uid="{00000000-0005-0000-0000-0000B3780000}"/>
    <cellStyle name="Note 3 11" xfId="32268" xr:uid="{00000000-0005-0000-0000-0000B4780000}"/>
    <cellStyle name="Note 3 2" xfId="8008" xr:uid="{00000000-0005-0000-0000-0000B5780000}"/>
    <cellStyle name="Note 3 2 10" xfId="32269" xr:uid="{00000000-0005-0000-0000-0000B6780000}"/>
    <cellStyle name="Note 3 2 2" xfId="8009" xr:uid="{00000000-0005-0000-0000-0000B7780000}"/>
    <cellStyle name="Note 3 2 2 2" xfId="8010" xr:uid="{00000000-0005-0000-0000-0000B8780000}"/>
    <cellStyle name="Note 3 2 2 2 2" xfId="8011" xr:uid="{00000000-0005-0000-0000-0000B9780000}"/>
    <cellStyle name="Note 3 2 2 2 2 2" xfId="8012" xr:uid="{00000000-0005-0000-0000-0000BA780000}"/>
    <cellStyle name="Note 3 2 2 2 2 2 2" xfId="11640" xr:uid="{00000000-0005-0000-0000-0000BB780000}"/>
    <cellStyle name="Note 3 2 2 2 2 2 3" xfId="32273" xr:uid="{00000000-0005-0000-0000-0000BC780000}"/>
    <cellStyle name="Note 3 2 2 2 2 3" xfId="8013" xr:uid="{00000000-0005-0000-0000-0000BD780000}"/>
    <cellStyle name="Note 3 2 2 2 2 3 2" xfId="16960" xr:uid="{00000000-0005-0000-0000-0000BE780000}"/>
    <cellStyle name="Note 3 2 2 2 2 3 2 2" xfId="30367" xr:uid="{00000000-0005-0000-0000-0000BF780000}"/>
    <cellStyle name="Note 3 2 2 2 2 3 3" xfId="32274" xr:uid="{00000000-0005-0000-0000-0000C0780000}"/>
    <cellStyle name="Note 3 2 2 2 2 4" xfId="10311" xr:uid="{00000000-0005-0000-0000-0000C1780000}"/>
    <cellStyle name="Note 3 2 2 2 2 5" xfId="32272" xr:uid="{00000000-0005-0000-0000-0000C2780000}"/>
    <cellStyle name="Note 3 2 2 2 3" xfId="8014" xr:uid="{00000000-0005-0000-0000-0000C3780000}"/>
    <cellStyle name="Note 3 2 2 2 3 2" xfId="8015" xr:uid="{00000000-0005-0000-0000-0000C4780000}"/>
    <cellStyle name="Note 3 2 2 2 3 2 2" xfId="13320" xr:uid="{00000000-0005-0000-0000-0000C5780000}"/>
    <cellStyle name="Note 3 2 2 2 3 2 3" xfId="32276" xr:uid="{00000000-0005-0000-0000-0000C6780000}"/>
    <cellStyle name="Note 3 2 2 2 3 3" xfId="12348" xr:uid="{00000000-0005-0000-0000-0000C7780000}"/>
    <cellStyle name="Note 3 2 2 2 3 3 2" xfId="26060" xr:uid="{00000000-0005-0000-0000-0000C8780000}"/>
    <cellStyle name="Note 3 2 2 2 3 4" xfId="32275" xr:uid="{00000000-0005-0000-0000-0000C9780000}"/>
    <cellStyle name="Note 3 2 2 2 4" xfId="8016" xr:uid="{00000000-0005-0000-0000-0000CA780000}"/>
    <cellStyle name="Note 3 2 2 2 4 2" xfId="8017" xr:uid="{00000000-0005-0000-0000-0000CB780000}"/>
    <cellStyle name="Note 3 2 2 2 4 2 2" xfId="15754" xr:uid="{00000000-0005-0000-0000-0000CC780000}"/>
    <cellStyle name="Note 3 2 2 2 4 2 3" xfId="32278" xr:uid="{00000000-0005-0000-0000-0000CD780000}"/>
    <cellStyle name="Note 3 2 2 2 4 3" xfId="13912" xr:uid="{00000000-0005-0000-0000-0000CE780000}"/>
    <cellStyle name="Note 3 2 2 2 4 3 2" xfId="27461" xr:uid="{00000000-0005-0000-0000-0000CF780000}"/>
    <cellStyle name="Note 3 2 2 2 4 4" xfId="32277" xr:uid="{00000000-0005-0000-0000-0000D0780000}"/>
    <cellStyle name="Note 3 2 2 2 5" xfId="8018" xr:uid="{00000000-0005-0000-0000-0000D1780000}"/>
    <cellStyle name="Note 3 2 2 2 5 2" xfId="14493" xr:uid="{00000000-0005-0000-0000-0000D2780000}"/>
    <cellStyle name="Note 3 2 2 2 5 2 2" xfId="28042" xr:uid="{00000000-0005-0000-0000-0000D3780000}"/>
    <cellStyle name="Note 3 2 2 2 5 3" xfId="32279" xr:uid="{00000000-0005-0000-0000-0000D4780000}"/>
    <cellStyle name="Note 3 2 2 2 6" xfId="8019" xr:uid="{00000000-0005-0000-0000-0000D5780000}"/>
    <cellStyle name="Note 3 2 2 2 6 2" xfId="16379" xr:uid="{00000000-0005-0000-0000-0000D6780000}"/>
    <cellStyle name="Note 3 2 2 2 6 2 2" xfId="29786" xr:uid="{00000000-0005-0000-0000-0000D7780000}"/>
    <cellStyle name="Note 3 2 2 2 6 3" xfId="32280" xr:uid="{00000000-0005-0000-0000-0000D8780000}"/>
    <cellStyle name="Note 3 2 2 2 7" xfId="10310" xr:uid="{00000000-0005-0000-0000-0000D9780000}"/>
    <cellStyle name="Note 3 2 2 2 8" xfId="32271" xr:uid="{00000000-0005-0000-0000-0000DA780000}"/>
    <cellStyle name="Note 3 2 2 3" xfId="8020" xr:uid="{00000000-0005-0000-0000-0000DB780000}"/>
    <cellStyle name="Note 3 2 2 3 2" xfId="8021" xr:uid="{00000000-0005-0000-0000-0000DC780000}"/>
    <cellStyle name="Note 3 2 2 3 2 2" xfId="11641" xr:uid="{00000000-0005-0000-0000-0000DD780000}"/>
    <cellStyle name="Note 3 2 2 3 2 3" xfId="32282" xr:uid="{00000000-0005-0000-0000-0000DE780000}"/>
    <cellStyle name="Note 3 2 2 3 3" xfId="8022" xr:uid="{00000000-0005-0000-0000-0000DF780000}"/>
    <cellStyle name="Note 3 2 2 3 3 2" xfId="16671" xr:uid="{00000000-0005-0000-0000-0000E0780000}"/>
    <cellStyle name="Note 3 2 2 3 3 2 2" xfId="30078" xr:uid="{00000000-0005-0000-0000-0000E1780000}"/>
    <cellStyle name="Note 3 2 2 3 3 3" xfId="32283" xr:uid="{00000000-0005-0000-0000-0000E2780000}"/>
    <cellStyle name="Note 3 2 2 3 4" xfId="10312" xr:uid="{00000000-0005-0000-0000-0000E3780000}"/>
    <cellStyle name="Note 3 2 2 3 5" xfId="32281" xr:uid="{00000000-0005-0000-0000-0000E4780000}"/>
    <cellStyle name="Note 3 2 2 4" xfId="8023" xr:uid="{00000000-0005-0000-0000-0000E5780000}"/>
    <cellStyle name="Note 3 2 2 4 2" xfId="8024" xr:uid="{00000000-0005-0000-0000-0000E6780000}"/>
    <cellStyle name="Note 3 2 2 4 2 2" xfId="13321" xr:uid="{00000000-0005-0000-0000-0000E7780000}"/>
    <cellStyle name="Note 3 2 2 4 2 3" xfId="32285" xr:uid="{00000000-0005-0000-0000-0000E8780000}"/>
    <cellStyle name="Note 3 2 2 4 3" xfId="12048" xr:uid="{00000000-0005-0000-0000-0000E9780000}"/>
    <cellStyle name="Note 3 2 2 4 3 2" xfId="25763" xr:uid="{00000000-0005-0000-0000-0000EA780000}"/>
    <cellStyle name="Note 3 2 2 4 4" xfId="32284" xr:uid="{00000000-0005-0000-0000-0000EB780000}"/>
    <cellStyle name="Note 3 2 2 5" xfId="8025" xr:uid="{00000000-0005-0000-0000-0000EC780000}"/>
    <cellStyle name="Note 3 2 2 5 2" xfId="8026" xr:uid="{00000000-0005-0000-0000-0000ED780000}"/>
    <cellStyle name="Note 3 2 2 5 2 2" xfId="15755" xr:uid="{00000000-0005-0000-0000-0000EE780000}"/>
    <cellStyle name="Note 3 2 2 5 2 3" xfId="32287" xr:uid="{00000000-0005-0000-0000-0000EF780000}"/>
    <cellStyle name="Note 3 2 2 5 3" xfId="13623" xr:uid="{00000000-0005-0000-0000-0000F0780000}"/>
    <cellStyle name="Note 3 2 2 5 3 2" xfId="27172" xr:uid="{00000000-0005-0000-0000-0000F1780000}"/>
    <cellStyle name="Note 3 2 2 5 4" xfId="32286" xr:uid="{00000000-0005-0000-0000-0000F2780000}"/>
    <cellStyle name="Note 3 2 2 6" xfId="8027" xr:uid="{00000000-0005-0000-0000-0000F3780000}"/>
    <cellStyle name="Note 3 2 2 6 2" xfId="14204" xr:uid="{00000000-0005-0000-0000-0000F4780000}"/>
    <cellStyle name="Note 3 2 2 6 2 2" xfId="27753" xr:uid="{00000000-0005-0000-0000-0000F5780000}"/>
    <cellStyle name="Note 3 2 2 6 3" xfId="32288" xr:uid="{00000000-0005-0000-0000-0000F6780000}"/>
    <cellStyle name="Note 3 2 2 7" xfId="8028" xr:uid="{00000000-0005-0000-0000-0000F7780000}"/>
    <cellStyle name="Note 3 2 2 7 2" xfId="16090" xr:uid="{00000000-0005-0000-0000-0000F8780000}"/>
    <cellStyle name="Note 3 2 2 7 2 2" xfId="29497" xr:uid="{00000000-0005-0000-0000-0000F9780000}"/>
    <cellStyle name="Note 3 2 2 7 3" xfId="32289" xr:uid="{00000000-0005-0000-0000-0000FA780000}"/>
    <cellStyle name="Note 3 2 2 8" xfId="10309" xr:uid="{00000000-0005-0000-0000-0000FB780000}"/>
    <cellStyle name="Note 3 2 2 9" xfId="32270" xr:uid="{00000000-0005-0000-0000-0000FC780000}"/>
    <cellStyle name="Note 3 2 3" xfId="8029" xr:uid="{00000000-0005-0000-0000-0000FD780000}"/>
    <cellStyle name="Note 3 2 3 2" xfId="8030" xr:uid="{00000000-0005-0000-0000-0000FE780000}"/>
    <cellStyle name="Note 3 2 3 2 2" xfId="8031" xr:uid="{00000000-0005-0000-0000-0000FF780000}"/>
    <cellStyle name="Note 3 2 3 2 2 2" xfId="11642" xr:uid="{00000000-0005-0000-0000-000000790000}"/>
    <cellStyle name="Note 3 2 3 2 2 3" xfId="32292" xr:uid="{00000000-0005-0000-0000-000001790000}"/>
    <cellStyle name="Note 3 2 3 2 3" xfId="8032" xr:uid="{00000000-0005-0000-0000-000002790000}"/>
    <cellStyle name="Note 3 2 3 2 3 2" xfId="16817" xr:uid="{00000000-0005-0000-0000-000003790000}"/>
    <cellStyle name="Note 3 2 3 2 3 2 2" xfId="30224" xr:uid="{00000000-0005-0000-0000-000004790000}"/>
    <cellStyle name="Note 3 2 3 2 3 3" xfId="32293" xr:uid="{00000000-0005-0000-0000-000005790000}"/>
    <cellStyle name="Note 3 2 3 2 4" xfId="10314" xr:uid="{00000000-0005-0000-0000-000006790000}"/>
    <cellStyle name="Note 3 2 3 2 5" xfId="32291" xr:uid="{00000000-0005-0000-0000-000007790000}"/>
    <cellStyle name="Note 3 2 3 3" xfId="8033" xr:uid="{00000000-0005-0000-0000-000008790000}"/>
    <cellStyle name="Note 3 2 3 3 2" xfId="8034" xr:uid="{00000000-0005-0000-0000-000009790000}"/>
    <cellStyle name="Note 3 2 3 3 2 2" xfId="13322" xr:uid="{00000000-0005-0000-0000-00000A790000}"/>
    <cellStyle name="Note 3 2 3 3 2 3" xfId="32295" xr:uid="{00000000-0005-0000-0000-00000B790000}"/>
    <cellStyle name="Note 3 2 3 3 3" xfId="12205" xr:uid="{00000000-0005-0000-0000-00000C790000}"/>
    <cellStyle name="Note 3 2 3 3 3 2" xfId="25917" xr:uid="{00000000-0005-0000-0000-00000D790000}"/>
    <cellStyle name="Note 3 2 3 3 4" xfId="32294" xr:uid="{00000000-0005-0000-0000-00000E790000}"/>
    <cellStyle name="Note 3 2 3 4" xfId="8035" xr:uid="{00000000-0005-0000-0000-00000F790000}"/>
    <cellStyle name="Note 3 2 3 4 2" xfId="8036" xr:uid="{00000000-0005-0000-0000-000010790000}"/>
    <cellStyle name="Note 3 2 3 4 2 2" xfId="15756" xr:uid="{00000000-0005-0000-0000-000011790000}"/>
    <cellStyle name="Note 3 2 3 4 2 3" xfId="32297" xr:uid="{00000000-0005-0000-0000-000012790000}"/>
    <cellStyle name="Note 3 2 3 4 3" xfId="13769" xr:uid="{00000000-0005-0000-0000-000013790000}"/>
    <cellStyle name="Note 3 2 3 4 3 2" xfId="27318" xr:uid="{00000000-0005-0000-0000-000014790000}"/>
    <cellStyle name="Note 3 2 3 4 4" xfId="32296" xr:uid="{00000000-0005-0000-0000-000015790000}"/>
    <cellStyle name="Note 3 2 3 5" xfId="8037" xr:uid="{00000000-0005-0000-0000-000016790000}"/>
    <cellStyle name="Note 3 2 3 5 2" xfId="14350" xr:uid="{00000000-0005-0000-0000-000017790000}"/>
    <cellStyle name="Note 3 2 3 5 2 2" xfId="27899" xr:uid="{00000000-0005-0000-0000-000018790000}"/>
    <cellStyle name="Note 3 2 3 5 3" xfId="32298" xr:uid="{00000000-0005-0000-0000-000019790000}"/>
    <cellStyle name="Note 3 2 3 6" xfId="8038" xr:uid="{00000000-0005-0000-0000-00001A790000}"/>
    <cellStyle name="Note 3 2 3 6 2" xfId="16236" xr:uid="{00000000-0005-0000-0000-00001B790000}"/>
    <cellStyle name="Note 3 2 3 6 2 2" xfId="29643" xr:uid="{00000000-0005-0000-0000-00001C790000}"/>
    <cellStyle name="Note 3 2 3 6 3" xfId="32299" xr:uid="{00000000-0005-0000-0000-00001D790000}"/>
    <cellStyle name="Note 3 2 3 7" xfId="10313" xr:uid="{00000000-0005-0000-0000-00001E790000}"/>
    <cellStyle name="Note 3 2 3 8" xfId="32290" xr:uid="{00000000-0005-0000-0000-00001F790000}"/>
    <cellStyle name="Note 3 2 4" xfId="8039" xr:uid="{00000000-0005-0000-0000-000020790000}"/>
    <cellStyle name="Note 3 2 4 2" xfId="8040" xr:uid="{00000000-0005-0000-0000-000021790000}"/>
    <cellStyle name="Note 3 2 4 2 2" xfId="11643" xr:uid="{00000000-0005-0000-0000-000022790000}"/>
    <cellStyle name="Note 3 2 4 2 3" xfId="32301" xr:uid="{00000000-0005-0000-0000-000023790000}"/>
    <cellStyle name="Note 3 2 4 3" xfId="8041" xr:uid="{00000000-0005-0000-0000-000024790000}"/>
    <cellStyle name="Note 3 2 4 3 2" xfId="17164" xr:uid="{00000000-0005-0000-0000-000025790000}"/>
    <cellStyle name="Note 3 2 4 3 2 2" xfId="30523" xr:uid="{00000000-0005-0000-0000-000026790000}"/>
    <cellStyle name="Note 3 2 4 3 3" xfId="32302" xr:uid="{00000000-0005-0000-0000-000027790000}"/>
    <cellStyle name="Note 3 2 4 4" xfId="10315" xr:uid="{00000000-0005-0000-0000-000028790000}"/>
    <cellStyle name="Note 3 2 4 5" xfId="32300" xr:uid="{00000000-0005-0000-0000-000029790000}"/>
    <cellStyle name="Note 3 2 5" xfId="8042" xr:uid="{00000000-0005-0000-0000-00002A790000}"/>
    <cellStyle name="Note 3 2 5 2" xfId="8043" xr:uid="{00000000-0005-0000-0000-00002B790000}"/>
    <cellStyle name="Note 3 2 5 2 2" xfId="13323" xr:uid="{00000000-0005-0000-0000-00002C790000}"/>
    <cellStyle name="Note 3 2 5 2 3" xfId="32304" xr:uid="{00000000-0005-0000-0000-00002D790000}"/>
    <cellStyle name="Note 3 2 5 3" xfId="8044" xr:uid="{00000000-0005-0000-0000-00002E790000}"/>
    <cellStyle name="Note 3 2 5 3 2" xfId="17253" xr:uid="{00000000-0005-0000-0000-00002F790000}"/>
    <cellStyle name="Note 3 2 5 3 2 2" xfId="30612" xr:uid="{00000000-0005-0000-0000-000030790000}"/>
    <cellStyle name="Note 3 2 5 3 3" xfId="32305" xr:uid="{00000000-0005-0000-0000-000031790000}"/>
    <cellStyle name="Note 3 2 5 4" xfId="11903" xr:uid="{00000000-0005-0000-0000-000032790000}"/>
    <cellStyle name="Note 3 2 5 4 2" xfId="25618" xr:uid="{00000000-0005-0000-0000-000033790000}"/>
    <cellStyle name="Note 3 2 5 5" xfId="32303" xr:uid="{00000000-0005-0000-0000-000034790000}"/>
    <cellStyle name="Note 3 2 6" xfId="8045" xr:uid="{00000000-0005-0000-0000-000035790000}"/>
    <cellStyle name="Note 3 2 6 2" xfId="8046" xr:uid="{00000000-0005-0000-0000-000036790000}"/>
    <cellStyle name="Note 3 2 6 2 2" xfId="15757" xr:uid="{00000000-0005-0000-0000-000037790000}"/>
    <cellStyle name="Note 3 2 6 2 3" xfId="32307" xr:uid="{00000000-0005-0000-0000-000038790000}"/>
    <cellStyle name="Note 3 2 6 3" xfId="8047" xr:uid="{00000000-0005-0000-0000-000039790000}"/>
    <cellStyle name="Note 3 2 6 3 2" xfId="16528" xr:uid="{00000000-0005-0000-0000-00003A790000}"/>
    <cellStyle name="Note 3 2 6 3 2 2" xfId="29935" xr:uid="{00000000-0005-0000-0000-00003B790000}"/>
    <cellStyle name="Note 3 2 6 3 3" xfId="32308" xr:uid="{00000000-0005-0000-0000-00003C790000}"/>
    <cellStyle name="Note 3 2 6 4" xfId="13480" xr:uid="{00000000-0005-0000-0000-00003D790000}"/>
    <cellStyle name="Note 3 2 6 4 2" xfId="27029" xr:uid="{00000000-0005-0000-0000-00003E790000}"/>
    <cellStyle name="Note 3 2 6 5" xfId="32306" xr:uid="{00000000-0005-0000-0000-00003F790000}"/>
    <cellStyle name="Note 3 2 7" xfId="8048" xr:uid="{00000000-0005-0000-0000-000040790000}"/>
    <cellStyle name="Note 3 2 7 2" xfId="14061" xr:uid="{00000000-0005-0000-0000-000041790000}"/>
    <cellStyle name="Note 3 2 7 2 2" xfId="27610" xr:uid="{00000000-0005-0000-0000-000042790000}"/>
    <cellStyle name="Note 3 2 7 3" xfId="32309" xr:uid="{00000000-0005-0000-0000-000043790000}"/>
    <cellStyle name="Note 3 2 8" xfId="8049" xr:uid="{00000000-0005-0000-0000-000044790000}"/>
    <cellStyle name="Note 3 2 8 2" xfId="15947" xr:uid="{00000000-0005-0000-0000-000045790000}"/>
    <cellStyle name="Note 3 2 8 2 2" xfId="29354" xr:uid="{00000000-0005-0000-0000-000046790000}"/>
    <cellStyle name="Note 3 2 8 3" xfId="32310" xr:uid="{00000000-0005-0000-0000-000047790000}"/>
    <cellStyle name="Note 3 2 9" xfId="10308" xr:uid="{00000000-0005-0000-0000-000048790000}"/>
    <cellStyle name="Note 3 3" xfId="8050" xr:uid="{00000000-0005-0000-0000-000049790000}"/>
    <cellStyle name="Note 3 3 2" xfId="8051" xr:uid="{00000000-0005-0000-0000-00004A790000}"/>
    <cellStyle name="Note 3 3 2 2" xfId="8052" xr:uid="{00000000-0005-0000-0000-00004B790000}"/>
    <cellStyle name="Note 3 3 2 2 2" xfId="8053" xr:uid="{00000000-0005-0000-0000-00004C790000}"/>
    <cellStyle name="Note 3 3 2 2 2 2" xfId="11644" xr:uid="{00000000-0005-0000-0000-00004D790000}"/>
    <cellStyle name="Note 3 3 2 2 2 3" xfId="32314" xr:uid="{00000000-0005-0000-0000-00004E790000}"/>
    <cellStyle name="Note 3 3 2 2 3" xfId="8054" xr:uid="{00000000-0005-0000-0000-00004F790000}"/>
    <cellStyle name="Note 3 3 2 2 3 2" xfId="16914" xr:uid="{00000000-0005-0000-0000-000050790000}"/>
    <cellStyle name="Note 3 3 2 2 3 2 2" xfId="30321" xr:uid="{00000000-0005-0000-0000-000051790000}"/>
    <cellStyle name="Note 3 3 2 2 3 3" xfId="32315" xr:uid="{00000000-0005-0000-0000-000052790000}"/>
    <cellStyle name="Note 3 3 2 2 4" xfId="10318" xr:uid="{00000000-0005-0000-0000-000053790000}"/>
    <cellStyle name="Note 3 3 2 2 5" xfId="32313" xr:uid="{00000000-0005-0000-0000-000054790000}"/>
    <cellStyle name="Note 3 3 2 3" xfId="8055" xr:uid="{00000000-0005-0000-0000-000055790000}"/>
    <cellStyle name="Note 3 3 2 3 2" xfId="8056" xr:uid="{00000000-0005-0000-0000-000056790000}"/>
    <cellStyle name="Note 3 3 2 3 2 2" xfId="13324" xr:uid="{00000000-0005-0000-0000-000057790000}"/>
    <cellStyle name="Note 3 3 2 3 2 3" xfId="32317" xr:uid="{00000000-0005-0000-0000-000058790000}"/>
    <cellStyle name="Note 3 3 2 3 3" xfId="12302" xr:uid="{00000000-0005-0000-0000-000059790000}"/>
    <cellStyle name="Note 3 3 2 3 3 2" xfId="26014" xr:uid="{00000000-0005-0000-0000-00005A790000}"/>
    <cellStyle name="Note 3 3 2 3 4" xfId="32316" xr:uid="{00000000-0005-0000-0000-00005B790000}"/>
    <cellStyle name="Note 3 3 2 4" xfId="8057" xr:uid="{00000000-0005-0000-0000-00005C790000}"/>
    <cellStyle name="Note 3 3 2 4 2" xfId="8058" xr:uid="{00000000-0005-0000-0000-00005D790000}"/>
    <cellStyle name="Note 3 3 2 4 2 2" xfId="15758" xr:uid="{00000000-0005-0000-0000-00005E790000}"/>
    <cellStyle name="Note 3 3 2 4 2 3" xfId="32319" xr:uid="{00000000-0005-0000-0000-00005F790000}"/>
    <cellStyle name="Note 3 3 2 4 3" xfId="13866" xr:uid="{00000000-0005-0000-0000-000060790000}"/>
    <cellStyle name="Note 3 3 2 4 3 2" xfId="27415" xr:uid="{00000000-0005-0000-0000-000061790000}"/>
    <cellStyle name="Note 3 3 2 4 4" xfId="32318" xr:uid="{00000000-0005-0000-0000-000062790000}"/>
    <cellStyle name="Note 3 3 2 5" xfId="8059" xr:uid="{00000000-0005-0000-0000-000063790000}"/>
    <cellStyle name="Note 3 3 2 5 2" xfId="14447" xr:uid="{00000000-0005-0000-0000-000064790000}"/>
    <cellStyle name="Note 3 3 2 5 2 2" xfId="27996" xr:uid="{00000000-0005-0000-0000-000065790000}"/>
    <cellStyle name="Note 3 3 2 5 3" xfId="32320" xr:uid="{00000000-0005-0000-0000-000066790000}"/>
    <cellStyle name="Note 3 3 2 6" xfId="8060" xr:uid="{00000000-0005-0000-0000-000067790000}"/>
    <cellStyle name="Note 3 3 2 6 2" xfId="16333" xr:uid="{00000000-0005-0000-0000-000068790000}"/>
    <cellStyle name="Note 3 3 2 6 2 2" xfId="29740" xr:uid="{00000000-0005-0000-0000-000069790000}"/>
    <cellStyle name="Note 3 3 2 6 3" xfId="32321" xr:uid="{00000000-0005-0000-0000-00006A790000}"/>
    <cellStyle name="Note 3 3 2 7" xfId="10317" xr:uid="{00000000-0005-0000-0000-00006B790000}"/>
    <cellStyle name="Note 3 3 2 8" xfId="32312" xr:uid="{00000000-0005-0000-0000-00006C790000}"/>
    <cellStyle name="Note 3 3 3" xfId="8061" xr:uid="{00000000-0005-0000-0000-00006D790000}"/>
    <cellStyle name="Note 3 3 3 2" xfId="8062" xr:uid="{00000000-0005-0000-0000-00006E790000}"/>
    <cellStyle name="Note 3 3 3 2 2" xfId="11645" xr:uid="{00000000-0005-0000-0000-00006F790000}"/>
    <cellStyle name="Note 3 3 3 2 3" xfId="32323" xr:uid="{00000000-0005-0000-0000-000070790000}"/>
    <cellStyle name="Note 3 3 3 3" xfId="8063" xr:uid="{00000000-0005-0000-0000-000071790000}"/>
    <cellStyle name="Note 3 3 3 3 2" xfId="16625" xr:uid="{00000000-0005-0000-0000-000072790000}"/>
    <cellStyle name="Note 3 3 3 3 2 2" xfId="30032" xr:uid="{00000000-0005-0000-0000-000073790000}"/>
    <cellStyle name="Note 3 3 3 3 3" xfId="32324" xr:uid="{00000000-0005-0000-0000-000074790000}"/>
    <cellStyle name="Note 3 3 3 4" xfId="10319" xr:uid="{00000000-0005-0000-0000-000075790000}"/>
    <cellStyle name="Note 3 3 3 5" xfId="32322" xr:uid="{00000000-0005-0000-0000-000076790000}"/>
    <cellStyle name="Note 3 3 4" xfId="8064" xr:uid="{00000000-0005-0000-0000-000077790000}"/>
    <cellStyle name="Note 3 3 4 2" xfId="8065" xr:uid="{00000000-0005-0000-0000-000078790000}"/>
    <cellStyle name="Note 3 3 4 2 2" xfId="13325" xr:uid="{00000000-0005-0000-0000-000079790000}"/>
    <cellStyle name="Note 3 3 4 2 3" xfId="32326" xr:uid="{00000000-0005-0000-0000-00007A790000}"/>
    <cellStyle name="Note 3 3 4 3" xfId="12002" xr:uid="{00000000-0005-0000-0000-00007B790000}"/>
    <cellStyle name="Note 3 3 4 3 2" xfId="25717" xr:uid="{00000000-0005-0000-0000-00007C790000}"/>
    <cellStyle name="Note 3 3 4 4" xfId="32325" xr:uid="{00000000-0005-0000-0000-00007D790000}"/>
    <cellStyle name="Note 3 3 5" xfId="8066" xr:uid="{00000000-0005-0000-0000-00007E790000}"/>
    <cellStyle name="Note 3 3 5 2" xfId="8067" xr:uid="{00000000-0005-0000-0000-00007F790000}"/>
    <cellStyle name="Note 3 3 5 2 2" xfId="15759" xr:uid="{00000000-0005-0000-0000-000080790000}"/>
    <cellStyle name="Note 3 3 5 2 3" xfId="32328" xr:uid="{00000000-0005-0000-0000-000081790000}"/>
    <cellStyle name="Note 3 3 5 3" xfId="13577" xr:uid="{00000000-0005-0000-0000-000082790000}"/>
    <cellStyle name="Note 3 3 5 3 2" xfId="27126" xr:uid="{00000000-0005-0000-0000-000083790000}"/>
    <cellStyle name="Note 3 3 5 4" xfId="32327" xr:uid="{00000000-0005-0000-0000-000084790000}"/>
    <cellStyle name="Note 3 3 6" xfId="8068" xr:uid="{00000000-0005-0000-0000-000085790000}"/>
    <cellStyle name="Note 3 3 6 2" xfId="14158" xr:uid="{00000000-0005-0000-0000-000086790000}"/>
    <cellStyle name="Note 3 3 6 2 2" xfId="27707" xr:uid="{00000000-0005-0000-0000-000087790000}"/>
    <cellStyle name="Note 3 3 6 3" xfId="32329" xr:uid="{00000000-0005-0000-0000-000088790000}"/>
    <cellStyle name="Note 3 3 7" xfId="8069" xr:uid="{00000000-0005-0000-0000-000089790000}"/>
    <cellStyle name="Note 3 3 7 2" xfId="16044" xr:uid="{00000000-0005-0000-0000-00008A790000}"/>
    <cellStyle name="Note 3 3 7 2 2" xfId="29451" xr:uid="{00000000-0005-0000-0000-00008B790000}"/>
    <cellStyle name="Note 3 3 7 3" xfId="32330" xr:uid="{00000000-0005-0000-0000-00008C790000}"/>
    <cellStyle name="Note 3 3 8" xfId="10316" xr:uid="{00000000-0005-0000-0000-00008D790000}"/>
    <cellStyle name="Note 3 3 9" xfId="32311" xr:uid="{00000000-0005-0000-0000-00008E790000}"/>
    <cellStyle name="Note 3 4" xfId="8070" xr:uid="{00000000-0005-0000-0000-00008F790000}"/>
    <cellStyle name="Note 3 4 2" xfId="8071" xr:uid="{00000000-0005-0000-0000-000090790000}"/>
    <cellStyle name="Note 3 4 2 2" xfId="8072" xr:uid="{00000000-0005-0000-0000-000091790000}"/>
    <cellStyle name="Note 3 4 2 2 2" xfId="11646" xr:uid="{00000000-0005-0000-0000-000092790000}"/>
    <cellStyle name="Note 3 4 2 2 3" xfId="32333" xr:uid="{00000000-0005-0000-0000-000093790000}"/>
    <cellStyle name="Note 3 4 2 3" xfId="8073" xr:uid="{00000000-0005-0000-0000-000094790000}"/>
    <cellStyle name="Note 3 4 2 3 2" xfId="16771" xr:uid="{00000000-0005-0000-0000-000095790000}"/>
    <cellStyle name="Note 3 4 2 3 2 2" xfId="30178" xr:uid="{00000000-0005-0000-0000-000096790000}"/>
    <cellStyle name="Note 3 4 2 3 3" xfId="32334" xr:uid="{00000000-0005-0000-0000-000097790000}"/>
    <cellStyle name="Note 3 4 2 4" xfId="10321" xr:uid="{00000000-0005-0000-0000-000098790000}"/>
    <cellStyle name="Note 3 4 2 5" xfId="32332" xr:uid="{00000000-0005-0000-0000-000099790000}"/>
    <cellStyle name="Note 3 4 3" xfId="8074" xr:uid="{00000000-0005-0000-0000-00009A790000}"/>
    <cellStyle name="Note 3 4 3 2" xfId="8075" xr:uid="{00000000-0005-0000-0000-00009B790000}"/>
    <cellStyle name="Note 3 4 3 2 2" xfId="13326" xr:uid="{00000000-0005-0000-0000-00009C790000}"/>
    <cellStyle name="Note 3 4 3 2 3" xfId="32336" xr:uid="{00000000-0005-0000-0000-00009D790000}"/>
    <cellStyle name="Note 3 4 3 3" xfId="12159" xr:uid="{00000000-0005-0000-0000-00009E790000}"/>
    <cellStyle name="Note 3 4 3 3 2" xfId="25871" xr:uid="{00000000-0005-0000-0000-00009F790000}"/>
    <cellStyle name="Note 3 4 3 4" xfId="32335" xr:uid="{00000000-0005-0000-0000-0000A0790000}"/>
    <cellStyle name="Note 3 4 4" xfId="8076" xr:uid="{00000000-0005-0000-0000-0000A1790000}"/>
    <cellStyle name="Note 3 4 4 2" xfId="8077" xr:uid="{00000000-0005-0000-0000-0000A2790000}"/>
    <cellStyle name="Note 3 4 4 2 2" xfId="15760" xr:uid="{00000000-0005-0000-0000-0000A3790000}"/>
    <cellStyle name="Note 3 4 4 2 3" xfId="32338" xr:uid="{00000000-0005-0000-0000-0000A4790000}"/>
    <cellStyle name="Note 3 4 4 3" xfId="13723" xr:uid="{00000000-0005-0000-0000-0000A5790000}"/>
    <cellStyle name="Note 3 4 4 3 2" xfId="27272" xr:uid="{00000000-0005-0000-0000-0000A6790000}"/>
    <cellStyle name="Note 3 4 4 4" xfId="32337" xr:uid="{00000000-0005-0000-0000-0000A7790000}"/>
    <cellStyle name="Note 3 4 5" xfId="8078" xr:uid="{00000000-0005-0000-0000-0000A8790000}"/>
    <cellStyle name="Note 3 4 5 2" xfId="14304" xr:uid="{00000000-0005-0000-0000-0000A9790000}"/>
    <cellStyle name="Note 3 4 5 2 2" xfId="27853" xr:uid="{00000000-0005-0000-0000-0000AA790000}"/>
    <cellStyle name="Note 3 4 5 3" xfId="32339" xr:uid="{00000000-0005-0000-0000-0000AB790000}"/>
    <cellStyle name="Note 3 4 6" xfId="8079" xr:uid="{00000000-0005-0000-0000-0000AC790000}"/>
    <cellStyle name="Note 3 4 6 2" xfId="16190" xr:uid="{00000000-0005-0000-0000-0000AD790000}"/>
    <cellStyle name="Note 3 4 6 2 2" xfId="29597" xr:uid="{00000000-0005-0000-0000-0000AE790000}"/>
    <cellStyle name="Note 3 4 6 3" xfId="32340" xr:uid="{00000000-0005-0000-0000-0000AF790000}"/>
    <cellStyle name="Note 3 4 7" xfId="10320" xr:uid="{00000000-0005-0000-0000-0000B0790000}"/>
    <cellStyle name="Note 3 4 8" xfId="32331" xr:uid="{00000000-0005-0000-0000-0000B1790000}"/>
    <cellStyle name="Note 3 5" xfId="8080" xr:uid="{00000000-0005-0000-0000-0000B2790000}"/>
    <cellStyle name="Note 3 5 2" xfId="8081" xr:uid="{00000000-0005-0000-0000-0000B3790000}"/>
    <cellStyle name="Note 3 5 2 2" xfId="11647" xr:uid="{00000000-0005-0000-0000-0000B4790000}"/>
    <cellStyle name="Note 3 5 2 3" xfId="32342" xr:uid="{00000000-0005-0000-0000-0000B5790000}"/>
    <cellStyle name="Note 3 5 3" xfId="8082" xr:uid="{00000000-0005-0000-0000-0000B6790000}"/>
    <cellStyle name="Note 3 5 3 2" xfId="17118" xr:uid="{00000000-0005-0000-0000-0000B7790000}"/>
    <cellStyle name="Note 3 5 3 2 2" xfId="30477" xr:uid="{00000000-0005-0000-0000-0000B8790000}"/>
    <cellStyle name="Note 3 5 3 3" xfId="32343" xr:uid="{00000000-0005-0000-0000-0000B9790000}"/>
    <cellStyle name="Note 3 5 4" xfId="10322" xr:uid="{00000000-0005-0000-0000-0000BA790000}"/>
    <cellStyle name="Note 3 5 5" xfId="32341" xr:uid="{00000000-0005-0000-0000-0000BB790000}"/>
    <cellStyle name="Note 3 6" xfId="8083" xr:uid="{00000000-0005-0000-0000-0000BC790000}"/>
    <cellStyle name="Note 3 6 2" xfId="8084" xr:uid="{00000000-0005-0000-0000-0000BD790000}"/>
    <cellStyle name="Note 3 6 2 2" xfId="13327" xr:uid="{00000000-0005-0000-0000-0000BE790000}"/>
    <cellStyle name="Note 3 6 2 3" xfId="32345" xr:uid="{00000000-0005-0000-0000-0000BF790000}"/>
    <cellStyle name="Note 3 6 3" xfId="8085" xr:uid="{00000000-0005-0000-0000-0000C0790000}"/>
    <cellStyle name="Note 3 6 3 2" xfId="17207" xr:uid="{00000000-0005-0000-0000-0000C1790000}"/>
    <cellStyle name="Note 3 6 3 2 2" xfId="30566" xr:uid="{00000000-0005-0000-0000-0000C2790000}"/>
    <cellStyle name="Note 3 6 3 3" xfId="32346" xr:uid="{00000000-0005-0000-0000-0000C3790000}"/>
    <cellStyle name="Note 3 6 4" xfId="11834" xr:uid="{00000000-0005-0000-0000-0000C4790000}"/>
    <cellStyle name="Note 3 6 4 2" xfId="25549" xr:uid="{00000000-0005-0000-0000-0000C5790000}"/>
    <cellStyle name="Note 3 6 5" xfId="32344" xr:uid="{00000000-0005-0000-0000-0000C6790000}"/>
    <cellStyle name="Note 3 7" xfId="8086" xr:uid="{00000000-0005-0000-0000-0000C7790000}"/>
    <cellStyle name="Note 3 7 2" xfId="8087" xr:uid="{00000000-0005-0000-0000-0000C8790000}"/>
    <cellStyle name="Note 3 7 2 2" xfId="15761" xr:uid="{00000000-0005-0000-0000-0000C9790000}"/>
    <cellStyle name="Note 3 7 2 3" xfId="32348" xr:uid="{00000000-0005-0000-0000-0000CA790000}"/>
    <cellStyle name="Note 3 7 3" xfId="8088" xr:uid="{00000000-0005-0000-0000-0000CB790000}"/>
    <cellStyle name="Note 3 7 3 2" xfId="16482" xr:uid="{00000000-0005-0000-0000-0000CC790000}"/>
    <cellStyle name="Note 3 7 3 2 2" xfId="29889" xr:uid="{00000000-0005-0000-0000-0000CD790000}"/>
    <cellStyle name="Note 3 7 3 3" xfId="32349" xr:uid="{00000000-0005-0000-0000-0000CE790000}"/>
    <cellStyle name="Note 3 7 4" xfId="13434" xr:uid="{00000000-0005-0000-0000-0000CF790000}"/>
    <cellStyle name="Note 3 7 4 2" xfId="26983" xr:uid="{00000000-0005-0000-0000-0000D0790000}"/>
    <cellStyle name="Note 3 7 5" xfId="32347" xr:uid="{00000000-0005-0000-0000-0000D1790000}"/>
    <cellStyle name="Note 3 8" xfId="8089" xr:uid="{00000000-0005-0000-0000-0000D2790000}"/>
    <cellStyle name="Note 3 8 2" xfId="14015" xr:uid="{00000000-0005-0000-0000-0000D3790000}"/>
    <cellStyle name="Note 3 8 2 2" xfId="27564" xr:uid="{00000000-0005-0000-0000-0000D4790000}"/>
    <cellStyle name="Note 3 8 3" xfId="32350" xr:uid="{00000000-0005-0000-0000-0000D5790000}"/>
    <cellStyle name="Note 3 9" xfId="8090" xr:uid="{00000000-0005-0000-0000-0000D6790000}"/>
    <cellStyle name="Note 3 9 2" xfId="15901" xr:uid="{00000000-0005-0000-0000-0000D7790000}"/>
    <cellStyle name="Note 3 9 2 2" xfId="29308" xr:uid="{00000000-0005-0000-0000-0000D8790000}"/>
    <cellStyle name="Note 3 9 3" xfId="32351" xr:uid="{00000000-0005-0000-0000-0000D9790000}"/>
    <cellStyle name="Note 4" xfId="17373" xr:uid="{00000000-0005-0000-0000-0000DA790000}"/>
    <cellStyle name="Note 4 2" xfId="30689" xr:uid="{00000000-0005-0000-0000-0000DB790000}"/>
    <cellStyle name="Note 5" xfId="17294" xr:uid="{00000000-0005-0000-0000-0000DC790000}"/>
    <cellStyle name="Note 5 2" xfId="30653" xr:uid="{00000000-0005-0000-0000-0000DD790000}"/>
    <cellStyle name="Output" xfId="23" builtinId="21" customBuiltin="1"/>
    <cellStyle name="Output 10" xfId="8091" xr:uid="{00000000-0005-0000-0000-0000DF790000}"/>
    <cellStyle name="Output 10 2" xfId="10324" xr:uid="{00000000-0005-0000-0000-0000E0790000}"/>
    <cellStyle name="Output 10 3" xfId="32352" xr:uid="{00000000-0005-0000-0000-0000E1790000}"/>
    <cellStyle name="Output 11" xfId="8092" xr:uid="{00000000-0005-0000-0000-0000E2790000}"/>
    <cellStyle name="Output 11 2" xfId="10325" xr:uid="{00000000-0005-0000-0000-0000E3790000}"/>
    <cellStyle name="Output 11 3" xfId="32353" xr:uid="{00000000-0005-0000-0000-0000E4790000}"/>
    <cellStyle name="Output 12" xfId="8093" xr:uid="{00000000-0005-0000-0000-0000E5790000}"/>
    <cellStyle name="Output 12 2" xfId="8094" xr:uid="{00000000-0005-0000-0000-0000E6790000}"/>
    <cellStyle name="Output 12 2 2" xfId="15762" xr:uid="{00000000-0005-0000-0000-0000E7790000}"/>
    <cellStyle name="Output 12 2 3" xfId="32355" xr:uid="{00000000-0005-0000-0000-0000E8790000}"/>
    <cellStyle name="Output 12 3" xfId="10499" xr:uid="{00000000-0005-0000-0000-0000E9790000}"/>
    <cellStyle name="Output 12 4" xfId="32354" xr:uid="{00000000-0005-0000-0000-0000EA790000}"/>
    <cellStyle name="Output 13" xfId="8095" xr:uid="{00000000-0005-0000-0000-0000EB790000}"/>
    <cellStyle name="Output 13 2" xfId="11648" xr:uid="{00000000-0005-0000-0000-0000EC790000}"/>
    <cellStyle name="Output 13 3" xfId="32356" xr:uid="{00000000-0005-0000-0000-0000ED790000}"/>
    <cellStyle name="Output 14" xfId="8096" xr:uid="{00000000-0005-0000-0000-0000EE790000}"/>
    <cellStyle name="Output 14 2" xfId="10323" xr:uid="{00000000-0005-0000-0000-0000EF790000}"/>
    <cellStyle name="Output 14 3" xfId="32357" xr:uid="{00000000-0005-0000-0000-0000F0790000}"/>
    <cellStyle name="Output 2" xfId="8097" xr:uid="{00000000-0005-0000-0000-0000F1790000}"/>
    <cellStyle name="Output 2 2" xfId="10326" xr:uid="{00000000-0005-0000-0000-0000F2790000}"/>
    <cellStyle name="Output 2 3" xfId="32358" xr:uid="{00000000-0005-0000-0000-0000F3790000}"/>
    <cellStyle name="Output 2 4" xfId="33053" xr:uid="{00000000-0005-0000-0000-0000F4790000}"/>
    <cellStyle name="Output 3" xfId="8098" xr:uid="{00000000-0005-0000-0000-0000F5790000}"/>
    <cellStyle name="Output 3 2" xfId="8099" xr:uid="{00000000-0005-0000-0000-0000F6790000}"/>
    <cellStyle name="Output 3 2 2" xfId="10328" xr:uid="{00000000-0005-0000-0000-0000F7790000}"/>
    <cellStyle name="Output 3 2 3" xfId="32360" xr:uid="{00000000-0005-0000-0000-0000F8790000}"/>
    <cellStyle name="Output 3 3" xfId="10327" xr:uid="{00000000-0005-0000-0000-0000F9790000}"/>
    <cellStyle name="Output 3 4" xfId="32359" xr:uid="{00000000-0005-0000-0000-0000FA790000}"/>
    <cellStyle name="Output 4" xfId="8100" xr:uid="{00000000-0005-0000-0000-0000FB790000}"/>
    <cellStyle name="Output 4 2" xfId="8101" xr:uid="{00000000-0005-0000-0000-0000FC790000}"/>
    <cellStyle name="Output 4 2 2" xfId="13329" xr:uid="{00000000-0005-0000-0000-0000FD790000}"/>
    <cellStyle name="Output 4 2 3" xfId="32362" xr:uid="{00000000-0005-0000-0000-0000FE790000}"/>
    <cellStyle name="Output 4 3" xfId="8102" xr:uid="{00000000-0005-0000-0000-0000FF790000}"/>
    <cellStyle name="Output 4 3 2" xfId="13328" xr:uid="{00000000-0005-0000-0000-0000007A0000}"/>
    <cellStyle name="Output 4 3 3" xfId="32363" xr:uid="{00000000-0005-0000-0000-0000017A0000}"/>
    <cellStyle name="Output 4 4" xfId="10329" xr:uid="{00000000-0005-0000-0000-0000027A0000}"/>
    <cellStyle name="Output 4 5" xfId="32361" xr:uid="{00000000-0005-0000-0000-0000037A0000}"/>
    <cellStyle name="Output 5" xfId="8103" xr:uid="{00000000-0005-0000-0000-0000047A0000}"/>
    <cellStyle name="Output 5 2" xfId="8104" xr:uid="{00000000-0005-0000-0000-0000057A0000}"/>
    <cellStyle name="Output 5 2 2" xfId="10331" xr:uid="{00000000-0005-0000-0000-0000067A0000}"/>
    <cellStyle name="Output 5 2 3" xfId="32365" xr:uid="{00000000-0005-0000-0000-0000077A0000}"/>
    <cellStyle name="Output 5 3" xfId="10330" xr:uid="{00000000-0005-0000-0000-0000087A0000}"/>
    <cellStyle name="Output 5 4" xfId="32364" xr:uid="{00000000-0005-0000-0000-0000097A0000}"/>
    <cellStyle name="Output 6" xfId="8105" xr:uid="{00000000-0005-0000-0000-00000A7A0000}"/>
    <cellStyle name="Output 6 2" xfId="10332" xr:uid="{00000000-0005-0000-0000-00000B7A0000}"/>
    <cellStyle name="Output 6 3" xfId="32366" xr:uid="{00000000-0005-0000-0000-00000C7A0000}"/>
    <cellStyle name="Output 7" xfId="8106" xr:uid="{00000000-0005-0000-0000-00000D7A0000}"/>
    <cellStyle name="Output 7 2" xfId="10333" xr:uid="{00000000-0005-0000-0000-00000E7A0000}"/>
    <cellStyle name="Output 7 3" xfId="32367" xr:uid="{00000000-0005-0000-0000-00000F7A0000}"/>
    <cellStyle name="Output 8" xfId="8107" xr:uid="{00000000-0005-0000-0000-0000107A0000}"/>
    <cellStyle name="Output 8 2" xfId="10334" xr:uid="{00000000-0005-0000-0000-0000117A0000}"/>
    <cellStyle name="Output 8 3" xfId="32368" xr:uid="{00000000-0005-0000-0000-0000127A0000}"/>
    <cellStyle name="Output 9" xfId="8108" xr:uid="{00000000-0005-0000-0000-0000137A0000}"/>
    <cellStyle name="Output 9 2" xfId="10335" xr:uid="{00000000-0005-0000-0000-0000147A0000}"/>
    <cellStyle name="Output 9 3" xfId="32369" xr:uid="{00000000-0005-0000-0000-0000157A0000}"/>
    <cellStyle name="Percent" xfId="9" builtinId="5"/>
    <cellStyle name="Percent 10" xfId="10336" xr:uid="{00000000-0005-0000-0000-0000177A0000}"/>
    <cellStyle name="Percent 11" xfId="17374" xr:uid="{00000000-0005-0000-0000-0000187A0000}"/>
    <cellStyle name="Percent 11 2" xfId="30690" xr:uid="{00000000-0005-0000-0000-0000197A0000}"/>
    <cellStyle name="Percent 12" xfId="8787" xr:uid="{00000000-0005-0000-0000-00001A7A0000}"/>
    <cellStyle name="Percent 13" xfId="51" xr:uid="{00000000-0005-0000-0000-00001B7A0000}"/>
    <cellStyle name="Percent 2" xfId="10" xr:uid="{00000000-0005-0000-0000-00001C7A0000}"/>
    <cellStyle name="Percent 2 10" xfId="8110" xr:uid="{00000000-0005-0000-0000-00001D7A0000}"/>
    <cellStyle name="Percent 2 10 2" xfId="10338" xr:uid="{00000000-0005-0000-0000-00001E7A0000}"/>
    <cellStyle name="Percent 2 10 3" xfId="32370" xr:uid="{00000000-0005-0000-0000-00001F7A0000}"/>
    <cellStyle name="Percent 2 11" xfId="8111" xr:uid="{00000000-0005-0000-0000-0000207A0000}"/>
    <cellStyle name="Percent 2 11 2" xfId="8112" xr:uid="{00000000-0005-0000-0000-0000217A0000}"/>
    <cellStyle name="Percent 2 11 2 2" xfId="13330" xr:uid="{00000000-0005-0000-0000-0000227A0000}"/>
    <cellStyle name="Percent 2 11 2 3" xfId="32372" xr:uid="{00000000-0005-0000-0000-0000237A0000}"/>
    <cellStyle name="Percent 2 11 3" xfId="8113" xr:uid="{00000000-0005-0000-0000-0000247A0000}"/>
    <cellStyle name="Percent 2 11 3 2" xfId="17054" xr:uid="{00000000-0005-0000-0000-0000257A0000}"/>
    <cellStyle name="Percent 2 11 3 2 2" xfId="30453" xr:uid="{00000000-0005-0000-0000-0000267A0000}"/>
    <cellStyle name="Percent 2 11 3 3" xfId="32373" xr:uid="{00000000-0005-0000-0000-0000277A0000}"/>
    <cellStyle name="Percent 2 11 4" xfId="10339" xr:uid="{00000000-0005-0000-0000-0000287A0000}"/>
    <cellStyle name="Percent 2 11 5" xfId="32371" xr:uid="{00000000-0005-0000-0000-0000297A0000}"/>
    <cellStyle name="Percent 2 12" xfId="8114" xr:uid="{00000000-0005-0000-0000-00002A7A0000}"/>
    <cellStyle name="Percent 2 12 2" xfId="8115" xr:uid="{00000000-0005-0000-0000-00002B7A0000}"/>
    <cellStyle name="Percent 2 12 2 2" xfId="13332" xr:uid="{00000000-0005-0000-0000-00002C7A0000}"/>
    <cellStyle name="Percent 2 12 2 3" xfId="32375" xr:uid="{00000000-0005-0000-0000-00002D7A0000}"/>
    <cellStyle name="Percent 2 12 3" xfId="8116" xr:uid="{00000000-0005-0000-0000-00002E7A0000}"/>
    <cellStyle name="Percent 2 12 3 2" xfId="13331" xr:uid="{00000000-0005-0000-0000-00002F7A0000}"/>
    <cellStyle name="Percent 2 12 3 2 2" xfId="26922" xr:uid="{00000000-0005-0000-0000-0000307A0000}"/>
    <cellStyle name="Percent 2 12 3 3" xfId="32376" xr:uid="{00000000-0005-0000-0000-0000317A0000}"/>
    <cellStyle name="Percent 2 12 4" xfId="8117" xr:uid="{00000000-0005-0000-0000-0000327A0000}"/>
    <cellStyle name="Percent 2 12 4 2" xfId="17112" xr:uid="{00000000-0005-0000-0000-0000337A0000}"/>
    <cellStyle name="Percent 2 12 4 2 2" xfId="30471" xr:uid="{00000000-0005-0000-0000-0000347A0000}"/>
    <cellStyle name="Percent 2 12 4 3" xfId="32377" xr:uid="{00000000-0005-0000-0000-0000357A0000}"/>
    <cellStyle name="Percent 2 12 5" xfId="10340" xr:uid="{00000000-0005-0000-0000-0000367A0000}"/>
    <cellStyle name="Percent 2 12 6" xfId="32374" xr:uid="{00000000-0005-0000-0000-0000377A0000}"/>
    <cellStyle name="Percent 2 13" xfId="8118" xr:uid="{00000000-0005-0000-0000-0000387A0000}"/>
    <cellStyle name="Percent 2 13 2" xfId="8119" xr:uid="{00000000-0005-0000-0000-0000397A0000}"/>
    <cellStyle name="Percent 2 13 2 2" xfId="17201" xr:uid="{00000000-0005-0000-0000-00003A7A0000}"/>
    <cellStyle name="Percent 2 13 2 2 2" xfId="30560" xr:uid="{00000000-0005-0000-0000-00003B7A0000}"/>
    <cellStyle name="Percent 2 13 2 3" xfId="32379" xr:uid="{00000000-0005-0000-0000-00003C7A0000}"/>
    <cellStyle name="Percent 2 13 3" xfId="10341" xr:uid="{00000000-0005-0000-0000-00003D7A0000}"/>
    <cellStyle name="Percent 2 13 4" xfId="32378" xr:uid="{00000000-0005-0000-0000-00003E7A0000}"/>
    <cellStyle name="Percent 2 14" xfId="8120" xr:uid="{00000000-0005-0000-0000-00003F7A0000}"/>
    <cellStyle name="Percent 2 14 2" xfId="8121" xr:uid="{00000000-0005-0000-0000-0000407A0000}"/>
    <cellStyle name="Percent 2 14 2 2" xfId="8122" xr:uid="{00000000-0005-0000-0000-0000417A0000}"/>
    <cellStyle name="Percent 2 14 2 2 2" xfId="11651" xr:uid="{00000000-0005-0000-0000-0000427A0000}"/>
    <cellStyle name="Percent 2 14 2 2 3" xfId="32382" xr:uid="{00000000-0005-0000-0000-0000437A0000}"/>
    <cellStyle name="Percent 2 14 2 3" xfId="10343" xr:uid="{00000000-0005-0000-0000-0000447A0000}"/>
    <cellStyle name="Percent 2 14 2 4" xfId="32381" xr:uid="{00000000-0005-0000-0000-0000457A0000}"/>
    <cellStyle name="Percent 2 14 3" xfId="8123" xr:uid="{00000000-0005-0000-0000-0000467A0000}"/>
    <cellStyle name="Percent 2 14 3 2" xfId="11650" xr:uid="{00000000-0005-0000-0000-0000477A0000}"/>
    <cellStyle name="Percent 2 14 3 3" xfId="32383" xr:uid="{00000000-0005-0000-0000-0000487A0000}"/>
    <cellStyle name="Percent 2 14 4" xfId="8124" xr:uid="{00000000-0005-0000-0000-0000497A0000}"/>
    <cellStyle name="Percent 2 14 4 2" xfId="17290" xr:uid="{00000000-0005-0000-0000-00004A7A0000}"/>
    <cellStyle name="Percent 2 14 4 2 2" xfId="30649" xr:uid="{00000000-0005-0000-0000-00004B7A0000}"/>
    <cellStyle name="Percent 2 14 4 3" xfId="32384" xr:uid="{00000000-0005-0000-0000-00004C7A0000}"/>
    <cellStyle name="Percent 2 14 5" xfId="10342" xr:uid="{00000000-0005-0000-0000-00004D7A0000}"/>
    <cellStyle name="Percent 2 14 6" xfId="32380" xr:uid="{00000000-0005-0000-0000-00004E7A0000}"/>
    <cellStyle name="Percent 2 15" xfId="8125" xr:uid="{00000000-0005-0000-0000-00004F7A0000}"/>
    <cellStyle name="Percent 2 15 2" xfId="8126" xr:uid="{00000000-0005-0000-0000-0000507A0000}"/>
    <cellStyle name="Percent 2 15 2 2" xfId="11652" xr:uid="{00000000-0005-0000-0000-0000517A0000}"/>
    <cellStyle name="Percent 2 15 2 3" xfId="32386" xr:uid="{00000000-0005-0000-0000-0000527A0000}"/>
    <cellStyle name="Percent 2 15 3" xfId="8127" xr:uid="{00000000-0005-0000-0000-0000537A0000}"/>
    <cellStyle name="Percent 2 15 3 2" xfId="16442" xr:uid="{00000000-0005-0000-0000-0000547A0000}"/>
    <cellStyle name="Percent 2 15 3 2 2" xfId="29849" xr:uid="{00000000-0005-0000-0000-0000557A0000}"/>
    <cellStyle name="Percent 2 15 3 3" xfId="32387" xr:uid="{00000000-0005-0000-0000-0000567A0000}"/>
    <cellStyle name="Percent 2 15 4" xfId="10344" xr:uid="{00000000-0005-0000-0000-0000577A0000}"/>
    <cellStyle name="Percent 2 15 5" xfId="32385" xr:uid="{00000000-0005-0000-0000-0000587A0000}"/>
    <cellStyle name="Percent 2 16" xfId="8128" xr:uid="{00000000-0005-0000-0000-0000597A0000}"/>
    <cellStyle name="Percent 2 16 2" xfId="8129" xr:uid="{00000000-0005-0000-0000-00005A7A0000}"/>
    <cellStyle name="Percent 2 16 2 2" xfId="11653" xr:uid="{00000000-0005-0000-0000-00005B7A0000}"/>
    <cellStyle name="Percent 2 16 2 3" xfId="32389" xr:uid="{00000000-0005-0000-0000-00005C7A0000}"/>
    <cellStyle name="Percent 2 16 3" xfId="10345" xr:uid="{00000000-0005-0000-0000-00005D7A0000}"/>
    <cellStyle name="Percent 2 16 4" xfId="32388" xr:uid="{00000000-0005-0000-0000-00005E7A0000}"/>
    <cellStyle name="Percent 2 17" xfId="8130" xr:uid="{00000000-0005-0000-0000-00005F7A0000}"/>
    <cellStyle name="Percent 2 17 2" xfId="8131" xr:uid="{00000000-0005-0000-0000-0000607A0000}"/>
    <cellStyle name="Percent 2 17 2 2" xfId="11654" xr:uid="{00000000-0005-0000-0000-0000617A0000}"/>
    <cellStyle name="Percent 2 17 2 3" xfId="32391" xr:uid="{00000000-0005-0000-0000-0000627A0000}"/>
    <cellStyle name="Percent 2 17 3" xfId="10346" xr:uid="{00000000-0005-0000-0000-0000637A0000}"/>
    <cellStyle name="Percent 2 17 4" xfId="32390" xr:uid="{00000000-0005-0000-0000-0000647A0000}"/>
    <cellStyle name="Percent 2 18" xfId="8132" xr:uid="{00000000-0005-0000-0000-0000657A0000}"/>
    <cellStyle name="Percent 2 18 2" xfId="8133" xr:uid="{00000000-0005-0000-0000-0000667A0000}"/>
    <cellStyle name="Percent 2 18 2 2" xfId="11655" xr:uid="{00000000-0005-0000-0000-0000677A0000}"/>
    <cellStyle name="Percent 2 18 2 3" xfId="32393" xr:uid="{00000000-0005-0000-0000-0000687A0000}"/>
    <cellStyle name="Percent 2 18 3" xfId="10347" xr:uid="{00000000-0005-0000-0000-0000697A0000}"/>
    <cellStyle name="Percent 2 18 4" xfId="32392" xr:uid="{00000000-0005-0000-0000-00006A7A0000}"/>
    <cellStyle name="Percent 2 19" xfId="8134" xr:uid="{00000000-0005-0000-0000-00006B7A0000}"/>
    <cellStyle name="Percent 2 19 2" xfId="8135" xr:uid="{00000000-0005-0000-0000-00006C7A0000}"/>
    <cellStyle name="Percent 2 19 2 2" xfId="11656" xr:uid="{00000000-0005-0000-0000-00006D7A0000}"/>
    <cellStyle name="Percent 2 19 2 3" xfId="32395" xr:uid="{00000000-0005-0000-0000-00006E7A0000}"/>
    <cellStyle name="Percent 2 19 3" xfId="10348" xr:uid="{00000000-0005-0000-0000-00006F7A0000}"/>
    <cellStyle name="Percent 2 19 4" xfId="32394" xr:uid="{00000000-0005-0000-0000-0000707A0000}"/>
    <cellStyle name="Percent 2 2" xfId="8136" xr:uid="{00000000-0005-0000-0000-0000717A0000}"/>
    <cellStyle name="Percent 2 2 10" xfId="8137" xr:uid="{00000000-0005-0000-0000-0000727A0000}"/>
    <cellStyle name="Percent 2 2 10 2" xfId="11657" xr:uid="{00000000-0005-0000-0000-0000737A0000}"/>
    <cellStyle name="Percent 2 2 10 3" xfId="32397" xr:uid="{00000000-0005-0000-0000-0000747A0000}"/>
    <cellStyle name="Percent 2 2 11" xfId="8138" xr:uid="{00000000-0005-0000-0000-0000757A0000}"/>
    <cellStyle name="Percent 2 2 11 2" xfId="8139" xr:uid="{00000000-0005-0000-0000-0000767A0000}"/>
    <cellStyle name="Percent 2 2 11 2 2" xfId="13333" xr:uid="{00000000-0005-0000-0000-0000777A0000}"/>
    <cellStyle name="Percent 2 2 11 2 2 2" xfId="26923" xr:uid="{00000000-0005-0000-0000-0000787A0000}"/>
    <cellStyle name="Percent 2 2 11 2 3" xfId="32399" xr:uid="{00000000-0005-0000-0000-0000797A0000}"/>
    <cellStyle name="Percent 2 2 11 3" xfId="8140" xr:uid="{00000000-0005-0000-0000-00007A7A0000}"/>
    <cellStyle name="Percent 2 2 11 3 2" xfId="15763" xr:uid="{00000000-0005-0000-0000-00007B7A0000}"/>
    <cellStyle name="Percent 2 2 11 3 3" xfId="32400" xr:uid="{00000000-0005-0000-0000-00007C7A0000}"/>
    <cellStyle name="Percent 2 2 11 4" xfId="11733" xr:uid="{00000000-0005-0000-0000-00007D7A0000}"/>
    <cellStyle name="Percent 2 2 11 5" xfId="32398" xr:uid="{00000000-0005-0000-0000-00007E7A0000}"/>
    <cellStyle name="Percent 2 2 12" xfId="8141" xr:uid="{00000000-0005-0000-0000-00007F7A0000}"/>
    <cellStyle name="Percent 2 2 12 2" xfId="11863" xr:uid="{00000000-0005-0000-0000-0000807A0000}"/>
    <cellStyle name="Percent 2 2 12 2 2" xfId="25578" xr:uid="{00000000-0005-0000-0000-0000817A0000}"/>
    <cellStyle name="Percent 2 2 12 3" xfId="32401" xr:uid="{00000000-0005-0000-0000-0000827A0000}"/>
    <cellStyle name="Percent 2 2 13" xfId="8142" xr:uid="{00000000-0005-0000-0000-0000837A0000}"/>
    <cellStyle name="Percent 2 2 13 2" xfId="13451" xr:uid="{00000000-0005-0000-0000-0000847A0000}"/>
    <cellStyle name="Percent 2 2 13 2 2" xfId="27000" xr:uid="{00000000-0005-0000-0000-0000857A0000}"/>
    <cellStyle name="Percent 2 2 13 3" xfId="32402" xr:uid="{00000000-0005-0000-0000-0000867A0000}"/>
    <cellStyle name="Percent 2 2 14" xfId="8143" xr:uid="{00000000-0005-0000-0000-0000877A0000}"/>
    <cellStyle name="Percent 2 2 14 2" xfId="14032" xr:uid="{00000000-0005-0000-0000-0000887A0000}"/>
    <cellStyle name="Percent 2 2 14 2 2" xfId="27581" xr:uid="{00000000-0005-0000-0000-0000897A0000}"/>
    <cellStyle name="Percent 2 2 14 3" xfId="32403" xr:uid="{00000000-0005-0000-0000-00008A7A0000}"/>
    <cellStyle name="Percent 2 2 15" xfId="8144" xr:uid="{00000000-0005-0000-0000-00008B7A0000}"/>
    <cellStyle name="Percent 2 2 15 2" xfId="15918" xr:uid="{00000000-0005-0000-0000-00008C7A0000}"/>
    <cellStyle name="Percent 2 2 15 2 2" xfId="29325" xr:uid="{00000000-0005-0000-0000-00008D7A0000}"/>
    <cellStyle name="Percent 2 2 15 3" xfId="32404" xr:uid="{00000000-0005-0000-0000-00008E7A0000}"/>
    <cellStyle name="Percent 2 2 16" xfId="8145" xr:uid="{00000000-0005-0000-0000-00008F7A0000}"/>
    <cellStyle name="Percent 2 2 16 2" xfId="10349" xr:uid="{00000000-0005-0000-0000-0000907A0000}"/>
    <cellStyle name="Percent 2 2 16 3" xfId="32405" xr:uid="{00000000-0005-0000-0000-0000917A0000}"/>
    <cellStyle name="Percent 2 2 17" xfId="8709" xr:uid="{00000000-0005-0000-0000-0000927A0000}"/>
    <cellStyle name="Percent 2 2 18" xfId="32396" xr:uid="{00000000-0005-0000-0000-0000937A0000}"/>
    <cellStyle name="Percent 2 2 2" xfId="8146" xr:uid="{00000000-0005-0000-0000-0000947A0000}"/>
    <cellStyle name="Percent 2 2 2 10" xfId="10350" xr:uid="{00000000-0005-0000-0000-0000957A0000}"/>
    <cellStyle name="Percent 2 2 2 11" xfId="32406" xr:uid="{00000000-0005-0000-0000-0000967A0000}"/>
    <cellStyle name="Percent 2 2 2 2" xfId="8147" xr:uid="{00000000-0005-0000-0000-0000977A0000}"/>
    <cellStyle name="Percent 2 2 2 2 2" xfId="8148" xr:uid="{00000000-0005-0000-0000-0000987A0000}"/>
    <cellStyle name="Percent 2 2 2 2 2 2" xfId="8149" xr:uid="{00000000-0005-0000-0000-0000997A0000}"/>
    <cellStyle name="Percent 2 2 2 2 2 2 2" xfId="8150" xr:uid="{00000000-0005-0000-0000-00009A7A0000}"/>
    <cellStyle name="Percent 2 2 2 2 2 2 2 2" xfId="11658" xr:uid="{00000000-0005-0000-0000-00009B7A0000}"/>
    <cellStyle name="Percent 2 2 2 2 2 2 2 3" xfId="32410" xr:uid="{00000000-0005-0000-0000-00009C7A0000}"/>
    <cellStyle name="Percent 2 2 2 2 2 2 3" xfId="8151" xr:uid="{00000000-0005-0000-0000-00009D7A0000}"/>
    <cellStyle name="Percent 2 2 2 2 2 2 3 2" xfId="16977" xr:uid="{00000000-0005-0000-0000-00009E7A0000}"/>
    <cellStyle name="Percent 2 2 2 2 2 2 3 2 2" xfId="30384" xr:uid="{00000000-0005-0000-0000-00009F7A0000}"/>
    <cellStyle name="Percent 2 2 2 2 2 2 3 3" xfId="32411" xr:uid="{00000000-0005-0000-0000-0000A07A0000}"/>
    <cellStyle name="Percent 2 2 2 2 2 2 4" xfId="10353" xr:uid="{00000000-0005-0000-0000-0000A17A0000}"/>
    <cellStyle name="Percent 2 2 2 2 2 2 5" xfId="32409" xr:uid="{00000000-0005-0000-0000-0000A27A0000}"/>
    <cellStyle name="Percent 2 2 2 2 2 3" xfId="8152" xr:uid="{00000000-0005-0000-0000-0000A37A0000}"/>
    <cellStyle name="Percent 2 2 2 2 2 3 2" xfId="8153" xr:uid="{00000000-0005-0000-0000-0000A47A0000}"/>
    <cellStyle name="Percent 2 2 2 2 2 3 2 2" xfId="13334" xr:uid="{00000000-0005-0000-0000-0000A57A0000}"/>
    <cellStyle name="Percent 2 2 2 2 2 3 2 3" xfId="32413" xr:uid="{00000000-0005-0000-0000-0000A67A0000}"/>
    <cellStyle name="Percent 2 2 2 2 2 3 3" xfId="12365" xr:uid="{00000000-0005-0000-0000-0000A77A0000}"/>
    <cellStyle name="Percent 2 2 2 2 2 3 3 2" xfId="26077" xr:uid="{00000000-0005-0000-0000-0000A87A0000}"/>
    <cellStyle name="Percent 2 2 2 2 2 3 4" xfId="32412" xr:uid="{00000000-0005-0000-0000-0000A97A0000}"/>
    <cellStyle name="Percent 2 2 2 2 2 4" xfId="8154" xr:uid="{00000000-0005-0000-0000-0000AA7A0000}"/>
    <cellStyle name="Percent 2 2 2 2 2 4 2" xfId="8155" xr:uid="{00000000-0005-0000-0000-0000AB7A0000}"/>
    <cellStyle name="Percent 2 2 2 2 2 4 2 2" xfId="15764" xr:uid="{00000000-0005-0000-0000-0000AC7A0000}"/>
    <cellStyle name="Percent 2 2 2 2 2 4 2 3" xfId="32415" xr:uid="{00000000-0005-0000-0000-0000AD7A0000}"/>
    <cellStyle name="Percent 2 2 2 2 2 4 3" xfId="13929" xr:uid="{00000000-0005-0000-0000-0000AE7A0000}"/>
    <cellStyle name="Percent 2 2 2 2 2 4 3 2" xfId="27478" xr:uid="{00000000-0005-0000-0000-0000AF7A0000}"/>
    <cellStyle name="Percent 2 2 2 2 2 4 4" xfId="32414" xr:uid="{00000000-0005-0000-0000-0000B07A0000}"/>
    <cellStyle name="Percent 2 2 2 2 2 5" xfId="8156" xr:uid="{00000000-0005-0000-0000-0000B17A0000}"/>
    <cellStyle name="Percent 2 2 2 2 2 5 2" xfId="14510" xr:uid="{00000000-0005-0000-0000-0000B27A0000}"/>
    <cellStyle name="Percent 2 2 2 2 2 5 2 2" xfId="28059" xr:uid="{00000000-0005-0000-0000-0000B37A0000}"/>
    <cellStyle name="Percent 2 2 2 2 2 5 3" xfId="32416" xr:uid="{00000000-0005-0000-0000-0000B47A0000}"/>
    <cellStyle name="Percent 2 2 2 2 2 6" xfId="8157" xr:uid="{00000000-0005-0000-0000-0000B57A0000}"/>
    <cellStyle name="Percent 2 2 2 2 2 6 2" xfId="16396" xr:uid="{00000000-0005-0000-0000-0000B67A0000}"/>
    <cellStyle name="Percent 2 2 2 2 2 6 2 2" xfId="29803" xr:uid="{00000000-0005-0000-0000-0000B77A0000}"/>
    <cellStyle name="Percent 2 2 2 2 2 6 3" xfId="32417" xr:uid="{00000000-0005-0000-0000-0000B87A0000}"/>
    <cellStyle name="Percent 2 2 2 2 2 7" xfId="10352" xr:uid="{00000000-0005-0000-0000-0000B97A0000}"/>
    <cellStyle name="Percent 2 2 2 2 2 8" xfId="32408" xr:uid="{00000000-0005-0000-0000-0000BA7A0000}"/>
    <cellStyle name="Percent 2 2 2 2 3" xfId="8158" xr:uid="{00000000-0005-0000-0000-0000BB7A0000}"/>
    <cellStyle name="Percent 2 2 2 2 3 2" xfId="8159" xr:uid="{00000000-0005-0000-0000-0000BC7A0000}"/>
    <cellStyle name="Percent 2 2 2 2 3 2 2" xfId="11659" xr:uid="{00000000-0005-0000-0000-0000BD7A0000}"/>
    <cellStyle name="Percent 2 2 2 2 3 2 3" xfId="32419" xr:uid="{00000000-0005-0000-0000-0000BE7A0000}"/>
    <cellStyle name="Percent 2 2 2 2 3 3" xfId="8160" xr:uid="{00000000-0005-0000-0000-0000BF7A0000}"/>
    <cellStyle name="Percent 2 2 2 2 3 3 2" xfId="16688" xr:uid="{00000000-0005-0000-0000-0000C07A0000}"/>
    <cellStyle name="Percent 2 2 2 2 3 3 2 2" xfId="30095" xr:uid="{00000000-0005-0000-0000-0000C17A0000}"/>
    <cellStyle name="Percent 2 2 2 2 3 3 3" xfId="32420" xr:uid="{00000000-0005-0000-0000-0000C27A0000}"/>
    <cellStyle name="Percent 2 2 2 2 3 4" xfId="10354" xr:uid="{00000000-0005-0000-0000-0000C37A0000}"/>
    <cellStyle name="Percent 2 2 2 2 3 5" xfId="32418" xr:uid="{00000000-0005-0000-0000-0000C47A0000}"/>
    <cellStyle name="Percent 2 2 2 2 4" xfId="8161" xr:uid="{00000000-0005-0000-0000-0000C57A0000}"/>
    <cellStyle name="Percent 2 2 2 2 4 2" xfId="8162" xr:uid="{00000000-0005-0000-0000-0000C67A0000}"/>
    <cellStyle name="Percent 2 2 2 2 4 2 2" xfId="13335" xr:uid="{00000000-0005-0000-0000-0000C77A0000}"/>
    <cellStyle name="Percent 2 2 2 2 4 2 3" xfId="32422" xr:uid="{00000000-0005-0000-0000-0000C87A0000}"/>
    <cellStyle name="Percent 2 2 2 2 4 3" xfId="12065" xr:uid="{00000000-0005-0000-0000-0000C97A0000}"/>
    <cellStyle name="Percent 2 2 2 2 4 3 2" xfId="25780" xr:uid="{00000000-0005-0000-0000-0000CA7A0000}"/>
    <cellStyle name="Percent 2 2 2 2 4 4" xfId="32421" xr:uid="{00000000-0005-0000-0000-0000CB7A0000}"/>
    <cellStyle name="Percent 2 2 2 2 5" xfId="8163" xr:uid="{00000000-0005-0000-0000-0000CC7A0000}"/>
    <cellStyle name="Percent 2 2 2 2 5 2" xfId="8164" xr:uid="{00000000-0005-0000-0000-0000CD7A0000}"/>
    <cellStyle name="Percent 2 2 2 2 5 2 2" xfId="15765" xr:uid="{00000000-0005-0000-0000-0000CE7A0000}"/>
    <cellStyle name="Percent 2 2 2 2 5 2 3" xfId="32424" xr:uid="{00000000-0005-0000-0000-0000CF7A0000}"/>
    <cellStyle name="Percent 2 2 2 2 5 3" xfId="13640" xr:uid="{00000000-0005-0000-0000-0000D07A0000}"/>
    <cellStyle name="Percent 2 2 2 2 5 3 2" xfId="27189" xr:uid="{00000000-0005-0000-0000-0000D17A0000}"/>
    <cellStyle name="Percent 2 2 2 2 5 4" xfId="32423" xr:uid="{00000000-0005-0000-0000-0000D27A0000}"/>
    <cellStyle name="Percent 2 2 2 2 6" xfId="8165" xr:uid="{00000000-0005-0000-0000-0000D37A0000}"/>
    <cellStyle name="Percent 2 2 2 2 6 2" xfId="14221" xr:uid="{00000000-0005-0000-0000-0000D47A0000}"/>
    <cellStyle name="Percent 2 2 2 2 6 2 2" xfId="27770" xr:uid="{00000000-0005-0000-0000-0000D57A0000}"/>
    <cellStyle name="Percent 2 2 2 2 6 3" xfId="32425" xr:uid="{00000000-0005-0000-0000-0000D67A0000}"/>
    <cellStyle name="Percent 2 2 2 2 7" xfId="8166" xr:uid="{00000000-0005-0000-0000-0000D77A0000}"/>
    <cellStyle name="Percent 2 2 2 2 7 2" xfId="16107" xr:uid="{00000000-0005-0000-0000-0000D87A0000}"/>
    <cellStyle name="Percent 2 2 2 2 7 2 2" xfId="29514" xr:uid="{00000000-0005-0000-0000-0000D97A0000}"/>
    <cellStyle name="Percent 2 2 2 2 7 3" xfId="32426" xr:uid="{00000000-0005-0000-0000-0000DA7A0000}"/>
    <cellStyle name="Percent 2 2 2 2 8" xfId="10351" xr:uid="{00000000-0005-0000-0000-0000DB7A0000}"/>
    <cellStyle name="Percent 2 2 2 2 9" xfId="32407" xr:uid="{00000000-0005-0000-0000-0000DC7A0000}"/>
    <cellStyle name="Percent 2 2 2 3" xfId="8167" xr:uid="{00000000-0005-0000-0000-0000DD7A0000}"/>
    <cellStyle name="Percent 2 2 2 3 2" xfId="8168" xr:uid="{00000000-0005-0000-0000-0000DE7A0000}"/>
    <cellStyle name="Percent 2 2 2 3 2 2" xfId="8169" xr:uid="{00000000-0005-0000-0000-0000DF7A0000}"/>
    <cellStyle name="Percent 2 2 2 3 2 2 2" xfId="11660" xr:uid="{00000000-0005-0000-0000-0000E07A0000}"/>
    <cellStyle name="Percent 2 2 2 3 2 2 3" xfId="32429" xr:uid="{00000000-0005-0000-0000-0000E17A0000}"/>
    <cellStyle name="Percent 2 2 2 3 2 3" xfId="8170" xr:uid="{00000000-0005-0000-0000-0000E27A0000}"/>
    <cellStyle name="Percent 2 2 2 3 2 3 2" xfId="16834" xr:uid="{00000000-0005-0000-0000-0000E37A0000}"/>
    <cellStyle name="Percent 2 2 2 3 2 3 2 2" xfId="30241" xr:uid="{00000000-0005-0000-0000-0000E47A0000}"/>
    <cellStyle name="Percent 2 2 2 3 2 3 3" xfId="32430" xr:uid="{00000000-0005-0000-0000-0000E57A0000}"/>
    <cellStyle name="Percent 2 2 2 3 2 4" xfId="10356" xr:uid="{00000000-0005-0000-0000-0000E67A0000}"/>
    <cellStyle name="Percent 2 2 2 3 2 5" xfId="32428" xr:uid="{00000000-0005-0000-0000-0000E77A0000}"/>
    <cellStyle name="Percent 2 2 2 3 3" xfId="8171" xr:uid="{00000000-0005-0000-0000-0000E87A0000}"/>
    <cellStyle name="Percent 2 2 2 3 3 2" xfId="8172" xr:uid="{00000000-0005-0000-0000-0000E97A0000}"/>
    <cellStyle name="Percent 2 2 2 3 3 2 2" xfId="13336" xr:uid="{00000000-0005-0000-0000-0000EA7A0000}"/>
    <cellStyle name="Percent 2 2 2 3 3 2 3" xfId="32432" xr:uid="{00000000-0005-0000-0000-0000EB7A0000}"/>
    <cellStyle name="Percent 2 2 2 3 3 3" xfId="12222" xr:uid="{00000000-0005-0000-0000-0000EC7A0000}"/>
    <cellStyle name="Percent 2 2 2 3 3 3 2" xfId="25934" xr:uid="{00000000-0005-0000-0000-0000ED7A0000}"/>
    <cellStyle name="Percent 2 2 2 3 3 4" xfId="32431" xr:uid="{00000000-0005-0000-0000-0000EE7A0000}"/>
    <cellStyle name="Percent 2 2 2 3 4" xfId="8173" xr:uid="{00000000-0005-0000-0000-0000EF7A0000}"/>
    <cellStyle name="Percent 2 2 2 3 4 2" xfId="8174" xr:uid="{00000000-0005-0000-0000-0000F07A0000}"/>
    <cellStyle name="Percent 2 2 2 3 4 2 2" xfId="15766" xr:uid="{00000000-0005-0000-0000-0000F17A0000}"/>
    <cellStyle name="Percent 2 2 2 3 4 2 3" xfId="32434" xr:uid="{00000000-0005-0000-0000-0000F27A0000}"/>
    <cellStyle name="Percent 2 2 2 3 4 3" xfId="13786" xr:uid="{00000000-0005-0000-0000-0000F37A0000}"/>
    <cellStyle name="Percent 2 2 2 3 4 3 2" xfId="27335" xr:uid="{00000000-0005-0000-0000-0000F47A0000}"/>
    <cellStyle name="Percent 2 2 2 3 4 4" xfId="32433" xr:uid="{00000000-0005-0000-0000-0000F57A0000}"/>
    <cellStyle name="Percent 2 2 2 3 5" xfId="8175" xr:uid="{00000000-0005-0000-0000-0000F67A0000}"/>
    <cellStyle name="Percent 2 2 2 3 5 2" xfId="14367" xr:uid="{00000000-0005-0000-0000-0000F77A0000}"/>
    <cellStyle name="Percent 2 2 2 3 5 2 2" xfId="27916" xr:uid="{00000000-0005-0000-0000-0000F87A0000}"/>
    <cellStyle name="Percent 2 2 2 3 5 3" xfId="32435" xr:uid="{00000000-0005-0000-0000-0000F97A0000}"/>
    <cellStyle name="Percent 2 2 2 3 6" xfId="8176" xr:uid="{00000000-0005-0000-0000-0000FA7A0000}"/>
    <cellStyle name="Percent 2 2 2 3 6 2" xfId="16253" xr:uid="{00000000-0005-0000-0000-0000FB7A0000}"/>
    <cellStyle name="Percent 2 2 2 3 6 2 2" xfId="29660" xr:uid="{00000000-0005-0000-0000-0000FC7A0000}"/>
    <cellStyle name="Percent 2 2 2 3 6 3" xfId="32436" xr:uid="{00000000-0005-0000-0000-0000FD7A0000}"/>
    <cellStyle name="Percent 2 2 2 3 7" xfId="10355" xr:uid="{00000000-0005-0000-0000-0000FE7A0000}"/>
    <cellStyle name="Percent 2 2 2 3 8" xfId="32427" xr:uid="{00000000-0005-0000-0000-0000FF7A0000}"/>
    <cellStyle name="Percent 2 2 2 4" xfId="8177" xr:uid="{00000000-0005-0000-0000-0000007B0000}"/>
    <cellStyle name="Percent 2 2 2 4 2" xfId="8178" xr:uid="{00000000-0005-0000-0000-0000017B0000}"/>
    <cellStyle name="Percent 2 2 2 4 2 2" xfId="17181" xr:uid="{00000000-0005-0000-0000-0000027B0000}"/>
    <cellStyle name="Percent 2 2 2 4 2 2 2" xfId="30540" xr:uid="{00000000-0005-0000-0000-0000037B0000}"/>
    <cellStyle name="Percent 2 2 2 4 2 3" xfId="32438" xr:uid="{00000000-0005-0000-0000-0000047B0000}"/>
    <cellStyle name="Percent 2 2 2 4 3" xfId="10357" xr:uid="{00000000-0005-0000-0000-0000057B0000}"/>
    <cellStyle name="Percent 2 2 2 4 4" xfId="32437" xr:uid="{00000000-0005-0000-0000-0000067B0000}"/>
    <cellStyle name="Percent 2 2 2 5" xfId="8179" xr:uid="{00000000-0005-0000-0000-0000077B0000}"/>
    <cellStyle name="Percent 2 2 2 5 2" xfId="8180" xr:uid="{00000000-0005-0000-0000-0000087B0000}"/>
    <cellStyle name="Percent 2 2 2 5 2 2" xfId="11661" xr:uid="{00000000-0005-0000-0000-0000097B0000}"/>
    <cellStyle name="Percent 2 2 2 5 2 3" xfId="32440" xr:uid="{00000000-0005-0000-0000-00000A7B0000}"/>
    <cellStyle name="Percent 2 2 2 5 3" xfId="8181" xr:uid="{00000000-0005-0000-0000-00000B7B0000}"/>
    <cellStyle name="Percent 2 2 2 5 3 2" xfId="17270" xr:uid="{00000000-0005-0000-0000-00000C7B0000}"/>
    <cellStyle name="Percent 2 2 2 5 3 2 2" xfId="30629" xr:uid="{00000000-0005-0000-0000-00000D7B0000}"/>
    <cellStyle name="Percent 2 2 2 5 3 3" xfId="32441" xr:uid="{00000000-0005-0000-0000-00000E7B0000}"/>
    <cellStyle name="Percent 2 2 2 5 4" xfId="10358" xr:uid="{00000000-0005-0000-0000-00000F7B0000}"/>
    <cellStyle name="Percent 2 2 2 5 5" xfId="32439" xr:uid="{00000000-0005-0000-0000-0000107B0000}"/>
    <cellStyle name="Percent 2 2 2 6" xfId="8182" xr:uid="{00000000-0005-0000-0000-0000117B0000}"/>
    <cellStyle name="Percent 2 2 2 6 2" xfId="8183" xr:uid="{00000000-0005-0000-0000-0000127B0000}"/>
    <cellStyle name="Percent 2 2 2 6 2 2" xfId="13337" xr:uid="{00000000-0005-0000-0000-0000137B0000}"/>
    <cellStyle name="Percent 2 2 2 6 2 3" xfId="32443" xr:uid="{00000000-0005-0000-0000-0000147B0000}"/>
    <cellStyle name="Percent 2 2 2 6 3" xfId="8184" xr:uid="{00000000-0005-0000-0000-0000157B0000}"/>
    <cellStyle name="Percent 2 2 2 6 3 2" xfId="16545" xr:uid="{00000000-0005-0000-0000-0000167B0000}"/>
    <cellStyle name="Percent 2 2 2 6 3 2 2" xfId="29952" xr:uid="{00000000-0005-0000-0000-0000177B0000}"/>
    <cellStyle name="Percent 2 2 2 6 3 3" xfId="32444" xr:uid="{00000000-0005-0000-0000-0000187B0000}"/>
    <cellStyle name="Percent 2 2 2 6 4" xfId="11920" xr:uid="{00000000-0005-0000-0000-0000197B0000}"/>
    <cellStyle name="Percent 2 2 2 6 4 2" xfId="25635" xr:uid="{00000000-0005-0000-0000-00001A7B0000}"/>
    <cellStyle name="Percent 2 2 2 6 5" xfId="32442" xr:uid="{00000000-0005-0000-0000-00001B7B0000}"/>
    <cellStyle name="Percent 2 2 2 7" xfId="8185" xr:uid="{00000000-0005-0000-0000-00001C7B0000}"/>
    <cellStyle name="Percent 2 2 2 7 2" xfId="8186" xr:uid="{00000000-0005-0000-0000-00001D7B0000}"/>
    <cellStyle name="Percent 2 2 2 7 2 2" xfId="15767" xr:uid="{00000000-0005-0000-0000-00001E7B0000}"/>
    <cellStyle name="Percent 2 2 2 7 2 3" xfId="32446" xr:uid="{00000000-0005-0000-0000-00001F7B0000}"/>
    <cellStyle name="Percent 2 2 2 7 3" xfId="13497" xr:uid="{00000000-0005-0000-0000-0000207B0000}"/>
    <cellStyle name="Percent 2 2 2 7 3 2" xfId="27046" xr:uid="{00000000-0005-0000-0000-0000217B0000}"/>
    <cellStyle name="Percent 2 2 2 7 4" xfId="32445" xr:uid="{00000000-0005-0000-0000-0000227B0000}"/>
    <cellStyle name="Percent 2 2 2 8" xfId="8187" xr:uid="{00000000-0005-0000-0000-0000237B0000}"/>
    <cellStyle name="Percent 2 2 2 8 2" xfId="14078" xr:uid="{00000000-0005-0000-0000-0000247B0000}"/>
    <cellStyle name="Percent 2 2 2 8 2 2" xfId="27627" xr:uid="{00000000-0005-0000-0000-0000257B0000}"/>
    <cellStyle name="Percent 2 2 2 8 3" xfId="32447" xr:uid="{00000000-0005-0000-0000-0000267B0000}"/>
    <cellStyle name="Percent 2 2 2 9" xfId="8188" xr:uid="{00000000-0005-0000-0000-0000277B0000}"/>
    <cellStyle name="Percent 2 2 2 9 2" xfId="15964" xr:uid="{00000000-0005-0000-0000-0000287B0000}"/>
    <cellStyle name="Percent 2 2 2 9 2 2" xfId="29371" xr:uid="{00000000-0005-0000-0000-0000297B0000}"/>
    <cellStyle name="Percent 2 2 2 9 3" xfId="32448" xr:uid="{00000000-0005-0000-0000-00002A7B0000}"/>
    <cellStyle name="Percent 2 2 3" xfId="8189" xr:uid="{00000000-0005-0000-0000-00002B7B0000}"/>
    <cellStyle name="Percent 2 2 3 2" xfId="8190" xr:uid="{00000000-0005-0000-0000-00002C7B0000}"/>
    <cellStyle name="Percent 2 2 3 2 2" xfId="8191" xr:uid="{00000000-0005-0000-0000-00002D7B0000}"/>
    <cellStyle name="Percent 2 2 3 2 2 2" xfId="8192" xr:uid="{00000000-0005-0000-0000-00002E7B0000}"/>
    <cellStyle name="Percent 2 2 3 2 2 2 2" xfId="11662" xr:uid="{00000000-0005-0000-0000-00002F7B0000}"/>
    <cellStyle name="Percent 2 2 3 2 2 2 3" xfId="32452" xr:uid="{00000000-0005-0000-0000-0000307B0000}"/>
    <cellStyle name="Percent 2 2 3 2 2 3" xfId="8193" xr:uid="{00000000-0005-0000-0000-0000317B0000}"/>
    <cellStyle name="Percent 2 2 3 2 2 3 2" xfId="16931" xr:uid="{00000000-0005-0000-0000-0000327B0000}"/>
    <cellStyle name="Percent 2 2 3 2 2 3 2 2" xfId="30338" xr:uid="{00000000-0005-0000-0000-0000337B0000}"/>
    <cellStyle name="Percent 2 2 3 2 2 3 3" xfId="32453" xr:uid="{00000000-0005-0000-0000-0000347B0000}"/>
    <cellStyle name="Percent 2 2 3 2 2 4" xfId="10361" xr:uid="{00000000-0005-0000-0000-0000357B0000}"/>
    <cellStyle name="Percent 2 2 3 2 2 5" xfId="32451" xr:uid="{00000000-0005-0000-0000-0000367B0000}"/>
    <cellStyle name="Percent 2 2 3 2 3" xfId="8194" xr:uid="{00000000-0005-0000-0000-0000377B0000}"/>
    <cellStyle name="Percent 2 2 3 2 3 2" xfId="8195" xr:uid="{00000000-0005-0000-0000-0000387B0000}"/>
    <cellStyle name="Percent 2 2 3 2 3 2 2" xfId="13338" xr:uid="{00000000-0005-0000-0000-0000397B0000}"/>
    <cellStyle name="Percent 2 2 3 2 3 2 3" xfId="32455" xr:uid="{00000000-0005-0000-0000-00003A7B0000}"/>
    <cellStyle name="Percent 2 2 3 2 3 3" xfId="12319" xr:uid="{00000000-0005-0000-0000-00003B7B0000}"/>
    <cellStyle name="Percent 2 2 3 2 3 3 2" xfId="26031" xr:uid="{00000000-0005-0000-0000-00003C7B0000}"/>
    <cellStyle name="Percent 2 2 3 2 3 4" xfId="32454" xr:uid="{00000000-0005-0000-0000-00003D7B0000}"/>
    <cellStyle name="Percent 2 2 3 2 4" xfId="8196" xr:uid="{00000000-0005-0000-0000-00003E7B0000}"/>
    <cellStyle name="Percent 2 2 3 2 4 2" xfId="8197" xr:uid="{00000000-0005-0000-0000-00003F7B0000}"/>
    <cellStyle name="Percent 2 2 3 2 4 2 2" xfId="15768" xr:uid="{00000000-0005-0000-0000-0000407B0000}"/>
    <cellStyle name="Percent 2 2 3 2 4 2 3" xfId="32457" xr:uid="{00000000-0005-0000-0000-0000417B0000}"/>
    <cellStyle name="Percent 2 2 3 2 4 3" xfId="13883" xr:uid="{00000000-0005-0000-0000-0000427B0000}"/>
    <cellStyle name="Percent 2 2 3 2 4 3 2" xfId="27432" xr:uid="{00000000-0005-0000-0000-0000437B0000}"/>
    <cellStyle name="Percent 2 2 3 2 4 4" xfId="32456" xr:uid="{00000000-0005-0000-0000-0000447B0000}"/>
    <cellStyle name="Percent 2 2 3 2 5" xfId="8198" xr:uid="{00000000-0005-0000-0000-0000457B0000}"/>
    <cellStyle name="Percent 2 2 3 2 5 2" xfId="14464" xr:uid="{00000000-0005-0000-0000-0000467B0000}"/>
    <cellStyle name="Percent 2 2 3 2 5 2 2" xfId="28013" xr:uid="{00000000-0005-0000-0000-0000477B0000}"/>
    <cellStyle name="Percent 2 2 3 2 5 3" xfId="32458" xr:uid="{00000000-0005-0000-0000-0000487B0000}"/>
    <cellStyle name="Percent 2 2 3 2 6" xfId="8199" xr:uid="{00000000-0005-0000-0000-0000497B0000}"/>
    <cellStyle name="Percent 2 2 3 2 6 2" xfId="16350" xr:uid="{00000000-0005-0000-0000-00004A7B0000}"/>
    <cellStyle name="Percent 2 2 3 2 6 2 2" xfId="29757" xr:uid="{00000000-0005-0000-0000-00004B7B0000}"/>
    <cellStyle name="Percent 2 2 3 2 6 3" xfId="32459" xr:uid="{00000000-0005-0000-0000-00004C7B0000}"/>
    <cellStyle name="Percent 2 2 3 2 7" xfId="10360" xr:uid="{00000000-0005-0000-0000-00004D7B0000}"/>
    <cellStyle name="Percent 2 2 3 2 8" xfId="32450" xr:uid="{00000000-0005-0000-0000-00004E7B0000}"/>
    <cellStyle name="Percent 2 2 3 3" xfId="8200" xr:uid="{00000000-0005-0000-0000-00004F7B0000}"/>
    <cellStyle name="Percent 2 2 3 3 2" xfId="8201" xr:uid="{00000000-0005-0000-0000-0000507B0000}"/>
    <cellStyle name="Percent 2 2 3 3 2 2" xfId="11663" xr:uid="{00000000-0005-0000-0000-0000517B0000}"/>
    <cellStyle name="Percent 2 2 3 3 2 3" xfId="32461" xr:uid="{00000000-0005-0000-0000-0000527B0000}"/>
    <cellStyle name="Percent 2 2 3 3 3" xfId="8202" xr:uid="{00000000-0005-0000-0000-0000537B0000}"/>
    <cellStyle name="Percent 2 2 3 3 3 2" xfId="16642" xr:uid="{00000000-0005-0000-0000-0000547B0000}"/>
    <cellStyle name="Percent 2 2 3 3 3 2 2" xfId="30049" xr:uid="{00000000-0005-0000-0000-0000557B0000}"/>
    <cellStyle name="Percent 2 2 3 3 3 3" xfId="32462" xr:uid="{00000000-0005-0000-0000-0000567B0000}"/>
    <cellStyle name="Percent 2 2 3 3 4" xfId="10362" xr:uid="{00000000-0005-0000-0000-0000577B0000}"/>
    <cellStyle name="Percent 2 2 3 3 5" xfId="32460" xr:uid="{00000000-0005-0000-0000-0000587B0000}"/>
    <cellStyle name="Percent 2 2 3 4" xfId="8203" xr:uid="{00000000-0005-0000-0000-0000597B0000}"/>
    <cellStyle name="Percent 2 2 3 4 2" xfId="8204" xr:uid="{00000000-0005-0000-0000-00005A7B0000}"/>
    <cellStyle name="Percent 2 2 3 4 2 2" xfId="13339" xr:uid="{00000000-0005-0000-0000-00005B7B0000}"/>
    <cellStyle name="Percent 2 2 3 4 2 3" xfId="32464" xr:uid="{00000000-0005-0000-0000-00005C7B0000}"/>
    <cellStyle name="Percent 2 2 3 4 3" xfId="12019" xr:uid="{00000000-0005-0000-0000-00005D7B0000}"/>
    <cellStyle name="Percent 2 2 3 4 3 2" xfId="25734" xr:uid="{00000000-0005-0000-0000-00005E7B0000}"/>
    <cellStyle name="Percent 2 2 3 4 4" xfId="32463" xr:uid="{00000000-0005-0000-0000-00005F7B0000}"/>
    <cellStyle name="Percent 2 2 3 5" xfId="8205" xr:uid="{00000000-0005-0000-0000-0000607B0000}"/>
    <cellStyle name="Percent 2 2 3 5 2" xfId="8206" xr:uid="{00000000-0005-0000-0000-0000617B0000}"/>
    <cellStyle name="Percent 2 2 3 5 2 2" xfId="15769" xr:uid="{00000000-0005-0000-0000-0000627B0000}"/>
    <cellStyle name="Percent 2 2 3 5 2 3" xfId="32466" xr:uid="{00000000-0005-0000-0000-0000637B0000}"/>
    <cellStyle name="Percent 2 2 3 5 3" xfId="13594" xr:uid="{00000000-0005-0000-0000-0000647B0000}"/>
    <cellStyle name="Percent 2 2 3 5 3 2" xfId="27143" xr:uid="{00000000-0005-0000-0000-0000657B0000}"/>
    <cellStyle name="Percent 2 2 3 5 4" xfId="32465" xr:uid="{00000000-0005-0000-0000-0000667B0000}"/>
    <cellStyle name="Percent 2 2 3 6" xfId="8207" xr:uid="{00000000-0005-0000-0000-0000677B0000}"/>
    <cellStyle name="Percent 2 2 3 6 2" xfId="14175" xr:uid="{00000000-0005-0000-0000-0000687B0000}"/>
    <cellStyle name="Percent 2 2 3 6 2 2" xfId="27724" xr:uid="{00000000-0005-0000-0000-0000697B0000}"/>
    <cellStyle name="Percent 2 2 3 6 3" xfId="32467" xr:uid="{00000000-0005-0000-0000-00006A7B0000}"/>
    <cellStyle name="Percent 2 2 3 7" xfId="8208" xr:uid="{00000000-0005-0000-0000-00006B7B0000}"/>
    <cellStyle name="Percent 2 2 3 7 2" xfId="16061" xr:uid="{00000000-0005-0000-0000-00006C7B0000}"/>
    <cellStyle name="Percent 2 2 3 7 2 2" xfId="29468" xr:uid="{00000000-0005-0000-0000-00006D7B0000}"/>
    <cellStyle name="Percent 2 2 3 7 3" xfId="32468" xr:uid="{00000000-0005-0000-0000-00006E7B0000}"/>
    <cellStyle name="Percent 2 2 3 8" xfId="10359" xr:uid="{00000000-0005-0000-0000-00006F7B0000}"/>
    <cellStyle name="Percent 2 2 3 9" xfId="32449" xr:uid="{00000000-0005-0000-0000-0000707B0000}"/>
    <cellStyle name="Percent 2 2 4" xfId="8209" xr:uid="{00000000-0005-0000-0000-0000717B0000}"/>
    <cellStyle name="Percent 2 2 4 2" xfId="8210" xr:uid="{00000000-0005-0000-0000-0000727B0000}"/>
    <cellStyle name="Percent 2 2 4 2 2" xfId="8211" xr:uid="{00000000-0005-0000-0000-0000737B0000}"/>
    <cellStyle name="Percent 2 2 4 2 2 2" xfId="11665" xr:uid="{00000000-0005-0000-0000-0000747B0000}"/>
    <cellStyle name="Percent 2 2 4 2 2 3" xfId="32471" xr:uid="{00000000-0005-0000-0000-0000757B0000}"/>
    <cellStyle name="Percent 2 2 4 2 3" xfId="8212" xr:uid="{00000000-0005-0000-0000-0000767B0000}"/>
    <cellStyle name="Percent 2 2 4 2 3 2" xfId="16788" xr:uid="{00000000-0005-0000-0000-0000777B0000}"/>
    <cellStyle name="Percent 2 2 4 2 3 2 2" xfId="30195" xr:uid="{00000000-0005-0000-0000-0000787B0000}"/>
    <cellStyle name="Percent 2 2 4 2 3 3" xfId="32472" xr:uid="{00000000-0005-0000-0000-0000797B0000}"/>
    <cellStyle name="Percent 2 2 4 2 4" xfId="10364" xr:uid="{00000000-0005-0000-0000-00007A7B0000}"/>
    <cellStyle name="Percent 2 2 4 2 5" xfId="32470" xr:uid="{00000000-0005-0000-0000-00007B7B0000}"/>
    <cellStyle name="Percent 2 2 4 3" xfId="8213" xr:uid="{00000000-0005-0000-0000-00007C7B0000}"/>
    <cellStyle name="Percent 2 2 4 3 2" xfId="8214" xr:uid="{00000000-0005-0000-0000-00007D7B0000}"/>
    <cellStyle name="Percent 2 2 4 3 2 2" xfId="13340" xr:uid="{00000000-0005-0000-0000-00007E7B0000}"/>
    <cellStyle name="Percent 2 2 4 3 2 3" xfId="32474" xr:uid="{00000000-0005-0000-0000-00007F7B0000}"/>
    <cellStyle name="Percent 2 2 4 3 3" xfId="12176" xr:uid="{00000000-0005-0000-0000-0000807B0000}"/>
    <cellStyle name="Percent 2 2 4 3 3 2" xfId="25888" xr:uid="{00000000-0005-0000-0000-0000817B0000}"/>
    <cellStyle name="Percent 2 2 4 3 4" xfId="32473" xr:uid="{00000000-0005-0000-0000-0000827B0000}"/>
    <cellStyle name="Percent 2 2 4 4" xfId="8215" xr:uid="{00000000-0005-0000-0000-0000837B0000}"/>
    <cellStyle name="Percent 2 2 4 4 2" xfId="8216" xr:uid="{00000000-0005-0000-0000-0000847B0000}"/>
    <cellStyle name="Percent 2 2 4 4 2 2" xfId="15770" xr:uid="{00000000-0005-0000-0000-0000857B0000}"/>
    <cellStyle name="Percent 2 2 4 4 2 3" xfId="32476" xr:uid="{00000000-0005-0000-0000-0000867B0000}"/>
    <cellStyle name="Percent 2 2 4 4 3" xfId="13740" xr:uid="{00000000-0005-0000-0000-0000877B0000}"/>
    <cellStyle name="Percent 2 2 4 4 3 2" xfId="27289" xr:uid="{00000000-0005-0000-0000-0000887B0000}"/>
    <cellStyle name="Percent 2 2 4 4 4" xfId="32475" xr:uid="{00000000-0005-0000-0000-0000897B0000}"/>
    <cellStyle name="Percent 2 2 4 5" xfId="8217" xr:uid="{00000000-0005-0000-0000-00008A7B0000}"/>
    <cellStyle name="Percent 2 2 4 5 2" xfId="14321" xr:uid="{00000000-0005-0000-0000-00008B7B0000}"/>
    <cellStyle name="Percent 2 2 4 5 2 2" xfId="27870" xr:uid="{00000000-0005-0000-0000-00008C7B0000}"/>
    <cellStyle name="Percent 2 2 4 5 3" xfId="32477" xr:uid="{00000000-0005-0000-0000-00008D7B0000}"/>
    <cellStyle name="Percent 2 2 4 6" xfId="8218" xr:uid="{00000000-0005-0000-0000-00008E7B0000}"/>
    <cellStyle name="Percent 2 2 4 6 2" xfId="16207" xr:uid="{00000000-0005-0000-0000-00008F7B0000}"/>
    <cellStyle name="Percent 2 2 4 6 2 2" xfId="29614" xr:uid="{00000000-0005-0000-0000-0000907B0000}"/>
    <cellStyle name="Percent 2 2 4 6 3" xfId="32478" xr:uid="{00000000-0005-0000-0000-0000917B0000}"/>
    <cellStyle name="Percent 2 2 4 7" xfId="10363" xr:uid="{00000000-0005-0000-0000-0000927B0000}"/>
    <cellStyle name="Percent 2 2 4 8" xfId="32469" xr:uid="{00000000-0005-0000-0000-0000937B0000}"/>
    <cellStyle name="Percent 2 2 5" xfId="8219" xr:uid="{00000000-0005-0000-0000-0000947B0000}"/>
    <cellStyle name="Percent 2 2 5 2" xfId="8220" xr:uid="{00000000-0005-0000-0000-0000957B0000}"/>
    <cellStyle name="Percent 2 2 5 2 2" xfId="8221" xr:uid="{00000000-0005-0000-0000-0000967B0000}"/>
    <cellStyle name="Percent 2 2 5 2 2 2" xfId="11667" xr:uid="{00000000-0005-0000-0000-0000977B0000}"/>
    <cellStyle name="Percent 2 2 5 2 2 3" xfId="32481" xr:uid="{00000000-0005-0000-0000-0000987B0000}"/>
    <cellStyle name="Percent 2 2 5 2 3" xfId="10366" xr:uid="{00000000-0005-0000-0000-0000997B0000}"/>
    <cellStyle name="Percent 2 2 5 2 4" xfId="32480" xr:uid="{00000000-0005-0000-0000-00009A7B0000}"/>
    <cellStyle name="Percent 2 2 5 3" xfId="8222" xr:uid="{00000000-0005-0000-0000-00009B7B0000}"/>
    <cellStyle name="Percent 2 2 5 3 2" xfId="11666" xr:uid="{00000000-0005-0000-0000-00009C7B0000}"/>
    <cellStyle name="Percent 2 2 5 3 3" xfId="32482" xr:uid="{00000000-0005-0000-0000-00009D7B0000}"/>
    <cellStyle name="Percent 2 2 5 4" xfId="8223" xr:uid="{00000000-0005-0000-0000-00009E7B0000}"/>
    <cellStyle name="Percent 2 2 5 4 2" xfId="17055" xr:uid="{00000000-0005-0000-0000-00009F7B0000}"/>
    <cellStyle name="Percent 2 2 5 4 2 2" xfId="30454" xr:uid="{00000000-0005-0000-0000-0000A07B0000}"/>
    <cellStyle name="Percent 2 2 5 4 3" xfId="32483" xr:uid="{00000000-0005-0000-0000-0000A17B0000}"/>
    <cellStyle name="Percent 2 2 5 5" xfId="10365" xr:uid="{00000000-0005-0000-0000-0000A27B0000}"/>
    <cellStyle name="Percent 2 2 5 6" xfId="32479" xr:uid="{00000000-0005-0000-0000-0000A37B0000}"/>
    <cellStyle name="Percent 2 2 6" xfId="8224" xr:uid="{00000000-0005-0000-0000-0000A47B0000}"/>
    <cellStyle name="Percent 2 2 6 2" xfId="8225" xr:uid="{00000000-0005-0000-0000-0000A57B0000}"/>
    <cellStyle name="Percent 2 2 6 2 2" xfId="17135" xr:uid="{00000000-0005-0000-0000-0000A67B0000}"/>
    <cellStyle name="Percent 2 2 6 2 2 2" xfId="30494" xr:uid="{00000000-0005-0000-0000-0000A77B0000}"/>
    <cellStyle name="Percent 2 2 6 2 3" xfId="32485" xr:uid="{00000000-0005-0000-0000-0000A87B0000}"/>
    <cellStyle name="Percent 2 2 6 3" xfId="10367" xr:uid="{00000000-0005-0000-0000-0000A97B0000}"/>
    <cellStyle name="Percent 2 2 6 4" xfId="32484" xr:uid="{00000000-0005-0000-0000-0000AA7B0000}"/>
    <cellStyle name="Percent 2 2 7" xfId="8226" xr:uid="{00000000-0005-0000-0000-0000AB7B0000}"/>
    <cellStyle name="Percent 2 2 7 2" xfId="8227" xr:uid="{00000000-0005-0000-0000-0000AC7B0000}"/>
    <cellStyle name="Percent 2 2 7 2 2" xfId="11668" xr:uid="{00000000-0005-0000-0000-0000AD7B0000}"/>
    <cellStyle name="Percent 2 2 7 2 3" xfId="32487" xr:uid="{00000000-0005-0000-0000-0000AE7B0000}"/>
    <cellStyle name="Percent 2 2 7 3" xfId="8228" xr:uid="{00000000-0005-0000-0000-0000AF7B0000}"/>
    <cellStyle name="Percent 2 2 7 3 2" xfId="17224" xr:uid="{00000000-0005-0000-0000-0000B07B0000}"/>
    <cellStyle name="Percent 2 2 7 3 2 2" xfId="30583" xr:uid="{00000000-0005-0000-0000-0000B17B0000}"/>
    <cellStyle name="Percent 2 2 7 3 3" xfId="32488" xr:uid="{00000000-0005-0000-0000-0000B27B0000}"/>
    <cellStyle name="Percent 2 2 7 4" xfId="10368" xr:uid="{00000000-0005-0000-0000-0000B37B0000}"/>
    <cellStyle name="Percent 2 2 7 5" xfId="32486" xr:uid="{00000000-0005-0000-0000-0000B47B0000}"/>
    <cellStyle name="Percent 2 2 8" xfId="8229" xr:uid="{00000000-0005-0000-0000-0000B57B0000}"/>
    <cellStyle name="Percent 2 2 8 2" xfId="8230" xr:uid="{00000000-0005-0000-0000-0000B67B0000}"/>
    <cellStyle name="Percent 2 2 8 2 2" xfId="11669" xr:uid="{00000000-0005-0000-0000-0000B77B0000}"/>
    <cellStyle name="Percent 2 2 8 2 3" xfId="32490" xr:uid="{00000000-0005-0000-0000-0000B87B0000}"/>
    <cellStyle name="Percent 2 2 8 3" xfId="8231" xr:uid="{00000000-0005-0000-0000-0000B97B0000}"/>
    <cellStyle name="Percent 2 2 8 3 2" xfId="16499" xr:uid="{00000000-0005-0000-0000-0000BA7B0000}"/>
    <cellStyle name="Percent 2 2 8 3 2 2" xfId="29906" xr:uid="{00000000-0005-0000-0000-0000BB7B0000}"/>
    <cellStyle name="Percent 2 2 8 3 3" xfId="32491" xr:uid="{00000000-0005-0000-0000-0000BC7B0000}"/>
    <cellStyle name="Percent 2 2 8 4" xfId="10369" xr:uid="{00000000-0005-0000-0000-0000BD7B0000}"/>
    <cellStyle name="Percent 2 2 8 5" xfId="32489" xr:uid="{00000000-0005-0000-0000-0000BE7B0000}"/>
    <cellStyle name="Percent 2 2 9" xfId="8232" xr:uid="{00000000-0005-0000-0000-0000BF7B0000}"/>
    <cellStyle name="Percent 2 2 9 2" xfId="8233" xr:uid="{00000000-0005-0000-0000-0000C07B0000}"/>
    <cellStyle name="Percent 2 2 9 2 2" xfId="13341" xr:uid="{00000000-0005-0000-0000-0000C17B0000}"/>
    <cellStyle name="Percent 2 2 9 2 2 2" xfId="26924" xr:uid="{00000000-0005-0000-0000-0000C27B0000}"/>
    <cellStyle name="Percent 2 2 9 2 3" xfId="32493" xr:uid="{00000000-0005-0000-0000-0000C37B0000}"/>
    <cellStyle name="Percent 2 2 9 3" xfId="8234" xr:uid="{00000000-0005-0000-0000-0000C47B0000}"/>
    <cellStyle name="Percent 2 2 9 3 2" xfId="15771" xr:uid="{00000000-0005-0000-0000-0000C57B0000}"/>
    <cellStyle name="Percent 2 2 9 3 3" xfId="32494" xr:uid="{00000000-0005-0000-0000-0000C67B0000}"/>
    <cellStyle name="Percent 2 2 9 4" xfId="10544" xr:uid="{00000000-0005-0000-0000-0000C77B0000}"/>
    <cellStyle name="Percent 2 2 9 4 2" xfId="24486" xr:uid="{00000000-0005-0000-0000-0000C87B0000}"/>
    <cellStyle name="Percent 2 2 9 5" xfId="32492" xr:uid="{00000000-0005-0000-0000-0000C97B0000}"/>
    <cellStyle name="Percent 2 20" xfId="8235" xr:uid="{00000000-0005-0000-0000-0000CA7B0000}"/>
    <cellStyle name="Percent 2 20 2" xfId="8236" xr:uid="{00000000-0005-0000-0000-0000CB7B0000}"/>
    <cellStyle name="Percent 2 20 2 2" xfId="11670" xr:uid="{00000000-0005-0000-0000-0000CC7B0000}"/>
    <cellStyle name="Percent 2 20 2 3" xfId="32496" xr:uid="{00000000-0005-0000-0000-0000CD7B0000}"/>
    <cellStyle name="Percent 2 20 3" xfId="10370" xr:uid="{00000000-0005-0000-0000-0000CE7B0000}"/>
    <cellStyle name="Percent 2 20 4" xfId="32495" xr:uid="{00000000-0005-0000-0000-0000CF7B0000}"/>
    <cellStyle name="Percent 2 21" xfId="8237" xr:uid="{00000000-0005-0000-0000-0000D07B0000}"/>
    <cellStyle name="Percent 2 21 2" xfId="8238" xr:uid="{00000000-0005-0000-0000-0000D17B0000}"/>
    <cellStyle name="Percent 2 21 2 2" xfId="11726" xr:uid="{00000000-0005-0000-0000-0000D27B0000}"/>
    <cellStyle name="Percent 2 21 2 2 2" xfId="25446" xr:uid="{00000000-0005-0000-0000-0000D37B0000}"/>
    <cellStyle name="Percent 2 21 2 3" xfId="32498" xr:uid="{00000000-0005-0000-0000-0000D47B0000}"/>
    <cellStyle name="Percent 2 21 3" xfId="8239" xr:uid="{00000000-0005-0000-0000-0000D57B0000}"/>
    <cellStyle name="Percent 2 21 3 2" xfId="13342" xr:uid="{00000000-0005-0000-0000-0000D67B0000}"/>
    <cellStyle name="Percent 2 21 3 2 2" xfId="26925" xr:uid="{00000000-0005-0000-0000-0000D77B0000}"/>
    <cellStyle name="Percent 2 21 3 3" xfId="32499" xr:uid="{00000000-0005-0000-0000-0000D87B0000}"/>
    <cellStyle name="Percent 2 21 4" xfId="8240" xr:uid="{00000000-0005-0000-0000-0000D97B0000}"/>
    <cellStyle name="Percent 2 21 4 2" xfId="15772" xr:uid="{00000000-0005-0000-0000-0000DA7B0000}"/>
    <cellStyle name="Percent 2 21 4 3" xfId="32500" xr:uid="{00000000-0005-0000-0000-0000DB7B0000}"/>
    <cellStyle name="Percent 2 21 5" xfId="10500" xr:uid="{00000000-0005-0000-0000-0000DC7B0000}"/>
    <cellStyle name="Percent 2 21 5 2" xfId="24450" xr:uid="{00000000-0005-0000-0000-0000DD7B0000}"/>
    <cellStyle name="Percent 2 21 6" xfId="32497" xr:uid="{00000000-0005-0000-0000-0000DE7B0000}"/>
    <cellStyle name="Percent 2 22" xfId="8241" xr:uid="{00000000-0005-0000-0000-0000DF7B0000}"/>
    <cellStyle name="Percent 2 22 2" xfId="8242" xr:uid="{00000000-0005-0000-0000-0000E07B0000}"/>
    <cellStyle name="Percent 2 22 2 2" xfId="13343" xr:uid="{00000000-0005-0000-0000-0000E17B0000}"/>
    <cellStyle name="Percent 2 22 2 2 2" xfId="26926" xr:uid="{00000000-0005-0000-0000-0000E27B0000}"/>
    <cellStyle name="Percent 2 22 2 3" xfId="32502" xr:uid="{00000000-0005-0000-0000-0000E37B0000}"/>
    <cellStyle name="Percent 2 22 3" xfId="8243" xr:uid="{00000000-0005-0000-0000-0000E47B0000}"/>
    <cellStyle name="Percent 2 22 3 2" xfId="15773" xr:uid="{00000000-0005-0000-0000-0000E57B0000}"/>
    <cellStyle name="Percent 2 22 3 3" xfId="32503" xr:uid="{00000000-0005-0000-0000-0000E67B0000}"/>
    <cellStyle name="Percent 2 22 4" xfId="10527" xr:uid="{00000000-0005-0000-0000-0000E77B0000}"/>
    <cellStyle name="Percent 2 22 4 2" xfId="24469" xr:uid="{00000000-0005-0000-0000-0000E87B0000}"/>
    <cellStyle name="Percent 2 22 5" xfId="32501" xr:uid="{00000000-0005-0000-0000-0000E97B0000}"/>
    <cellStyle name="Percent 2 23" xfId="8244" xr:uid="{00000000-0005-0000-0000-0000EA7B0000}"/>
    <cellStyle name="Percent 2 23 2" xfId="11649" xr:uid="{00000000-0005-0000-0000-0000EB7B0000}"/>
    <cellStyle name="Percent 2 23 3" xfId="32504" xr:uid="{00000000-0005-0000-0000-0000EC7B0000}"/>
    <cellStyle name="Percent 2 24" xfId="8245" xr:uid="{00000000-0005-0000-0000-0000ED7B0000}"/>
    <cellStyle name="Percent 2 24 2" xfId="11791" xr:uid="{00000000-0005-0000-0000-0000EE7B0000}"/>
    <cellStyle name="Percent 2 24 2 2" xfId="25506" xr:uid="{00000000-0005-0000-0000-0000EF7B0000}"/>
    <cellStyle name="Percent 2 24 3" xfId="32505" xr:uid="{00000000-0005-0000-0000-0000F07B0000}"/>
    <cellStyle name="Percent 2 25" xfId="8246" xr:uid="{00000000-0005-0000-0000-0000F17B0000}"/>
    <cellStyle name="Percent 2 25 2" xfId="13394" xr:uid="{00000000-0005-0000-0000-0000F27B0000}"/>
    <cellStyle name="Percent 2 25 2 2" xfId="26943" xr:uid="{00000000-0005-0000-0000-0000F37B0000}"/>
    <cellStyle name="Percent 2 25 3" xfId="32506" xr:uid="{00000000-0005-0000-0000-0000F47B0000}"/>
    <cellStyle name="Percent 2 26" xfId="8247" xr:uid="{00000000-0005-0000-0000-0000F57B0000}"/>
    <cellStyle name="Percent 2 26 2" xfId="13975" xr:uid="{00000000-0005-0000-0000-0000F67B0000}"/>
    <cellStyle name="Percent 2 26 2 2" xfId="27524" xr:uid="{00000000-0005-0000-0000-0000F77B0000}"/>
    <cellStyle name="Percent 2 26 3" xfId="32507" xr:uid="{00000000-0005-0000-0000-0000F87B0000}"/>
    <cellStyle name="Percent 2 27" xfId="8248" xr:uid="{00000000-0005-0000-0000-0000F97B0000}"/>
    <cellStyle name="Percent 2 27 2" xfId="15844" xr:uid="{00000000-0005-0000-0000-0000FA7B0000}"/>
    <cellStyle name="Percent 2 27 2 2" xfId="29251" xr:uid="{00000000-0005-0000-0000-0000FB7B0000}"/>
    <cellStyle name="Percent 2 27 3" xfId="32508" xr:uid="{00000000-0005-0000-0000-0000FC7B0000}"/>
    <cellStyle name="Percent 2 28" xfId="8249" xr:uid="{00000000-0005-0000-0000-0000FD7B0000}"/>
    <cellStyle name="Percent 2 28 2" xfId="15861" xr:uid="{00000000-0005-0000-0000-0000FE7B0000}"/>
    <cellStyle name="Percent 2 28 2 2" xfId="29268" xr:uid="{00000000-0005-0000-0000-0000FF7B0000}"/>
    <cellStyle name="Percent 2 28 3" xfId="32509" xr:uid="{00000000-0005-0000-0000-0000007C0000}"/>
    <cellStyle name="Percent 2 29" xfId="8654" xr:uid="{00000000-0005-0000-0000-0000017C0000}"/>
    <cellStyle name="Percent 2 29 2" xfId="10337" xr:uid="{00000000-0005-0000-0000-0000027C0000}"/>
    <cellStyle name="Percent 2 3" xfId="8250" xr:uid="{00000000-0005-0000-0000-0000037C0000}"/>
    <cellStyle name="Percent 2 3 10" xfId="8251" xr:uid="{00000000-0005-0000-0000-0000047C0000}"/>
    <cellStyle name="Percent 2 3 10 2" xfId="17351" xr:uid="{00000000-0005-0000-0000-0000057C0000}"/>
    <cellStyle name="Percent 2 3 10 3" xfId="32510" xr:uid="{00000000-0005-0000-0000-0000067C0000}"/>
    <cellStyle name="Percent 2 3 11" xfId="8748" xr:uid="{00000000-0005-0000-0000-0000077C0000}"/>
    <cellStyle name="Percent 2 3 12" xfId="10371" xr:uid="{00000000-0005-0000-0000-0000087C0000}"/>
    <cellStyle name="Percent 2 3 2" xfId="8252" xr:uid="{00000000-0005-0000-0000-0000097C0000}"/>
    <cellStyle name="Percent 2 3 2 2" xfId="8253" xr:uid="{00000000-0005-0000-0000-00000A7C0000}"/>
    <cellStyle name="Percent 2 3 2 2 2" xfId="8254" xr:uid="{00000000-0005-0000-0000-00000B7C0000}"/>
    <cellStyle name="Percent 2 3 2 2 2 2" xfId="8255" xr:uid="{00000000-0005-0000-0000-00000C7C0000}"/>
    <cellStyle name="Percent 2 3 2 2 2 2 2" xfId="11671" xr:uid="{00000000-0005-0000-0000-00000D7C0000}"/>
    <cellStyle name="Percent 2 3 2 2 2 2 3" xfId="32514" xr:uid="{00000000-0005-0000-0000-00000E7C0000}"/>
    <cellStyle name="Percent 2 3 2 2 2 3" xfId="8256" xr:uid="{00000000-0005-0000-0000-00000F7C0000}"/>
    <cellStyle name="Percent 2 3 2 2 2 3 2" xfId="16954" xr:uid="{00000000-0005-0000-0000-0000107C0000}"/>
    <cellStyle name="Percent 2 3 2 2 2 3 2 2" xfId="30361" xr:uid="{00000000-0005-0000-0000-0000117C0000}"/>
    <cellStyle name="Percent 2 3 2 2 2 3 3" xfId="32515" xr:uid="{00000000-0005-0000-0000-0000127C0000}"/>
    <cellStyle name="Percent 2 3 2 2 2 4" xfId="10374" xr:uid="{00000000-0005-0000-0000-0000137C0000}"/>
    <cellStyle name="Percent 2 3 2 2 2 5" xfId="32513" xr:uid="{00000000-0005-0000-0000-0000147C0000}"/>
    <cellStyle name="Percent 2 3 2 2 3" xfId="8257" xr:uid="{00000000-0005-0000-0000-0000157C0000}"/>
    <cellStyle name="Percent 2 3 2 2 3 2" xfId="8258" xr:uid="{00000000-0005-0000-0000-0000167C0000}"/>
    <cellStyle name="Percent 2 3 2 2 3 2 2" xfId="13344" xr:uid="{00000000-0005-0000-0000-0000177C0000}"/>
    <cellStyle name="Percent 2 3 2 2 3 2 3" xfId="32517" xr:uid="{00000000-0005-0000-0000-0000187C0000}"/>
    <cellStyle name="Percent 2 3 2 2 3 3" xfId="12342" xr:uid="{00000000-0005-0000-0000-0000197C0000}"/>
    <cellStyle name="Percent 2 3 2 2 3 3 2" xfId="26054" xr:uid="{00000000-0005-0000-0000-00001A7C0000}"/>
    <cellStyle name="Percent 2 3 2 2 3 4" xfId="32516" xr:uid="{00000000-0005-0000-0000-00001B7C0000}"/>
    <cellStyle name="Percent 2 3 2 2 4" xfId="8259" xr:uid="{00000000-0005-0000-0000-00001C7C0000}"/>
    <cellStyle name="Percent 2 3 2 2 4 2" xfId="8260" xr:uid="{00000000-0005-0000-0000-00001D7C0000}"/>
    <cellStyle name="Percent 2 3 2 2 4 2 2" xfId="15774" xr:uid="{00000000-0005-0000-0000-00001E7C0000}"/>
    <cellStyle name="Percent 2 3 2 2 4 2 3" xfId="32519" xr:uid="{00000000-0005-0000-0000-00001F7C0000}"/>
    <cellStyle name="Percent 2 3 2 2 4 3" xfId="13906" xr:uid="{00000000-0005-0000-0000-0000207C0000}"/>
    <cellStyle name="Percent 2 3 2 2 4 3 2" xfId="27455" xr:uid="{00000000-0005-0000-0000-0000217C0000}"/>
    <cellStyle name="Percent 2 3 2 2 4 4" xfId="32518" xr:uid="{00000000-0005-0000-0000-0000227C0000}"/>
    <cellStyle name="Percent 2 3 2 2 5" xfId="8261" xr:uid="{00000000-0005-0000-0000-0000237C0000}"/>
    <cellStyle name="Percent 2 3 2 2 5 2" xfId="14487" xr:uid="{00000000-0005-0000-0000-0000247C0000}"/>
    <cellStyle name="Percent 2 3 2 2 5 2 2" xfId="28036" xr:uid="{00000000-0005-0000-0000-0000257C0000}"/>
    <cellStyle name="Percent 2 3 2 2 5 3" xfId="32520" xr:uid="{00000000-0005-0000-0000-0000267C0000}"/>
    <cellStyle name="Percent 2 3 2 2 6" xfId="8262" xr:uid="{00000000-0005-0000-0000-0000277C0000}"/>
    <cellStyle name="Percent 2 3 2 2 6 2" xfId="16373" xr:uid="{00000000-0005-0000-0000-0000287C0000}"/>
    <cellStyle name="Percent 2 3 2 2 6 2 2" xfId="29780" xr:uid="{00000000-0005-0000-0000-0000297C0000}"/>
    <cellStyle name="Percent 2 3 2 2 6 3" xfId="32521" xr:uid="{00000000-0005-0000-0000-00002A7C0000}"/>
    <cellStyle name="Percent 2 3 2 2 7" xfId="10373" xr:uid="{00000000-0005-0000-0000-00002B7C0000}"/>
    <cellStyle name="Percent 2 3 2 2 8" xfId="32512" xr:uid="{00000000-0005-0000-0000-00002C7C0000}"/>
    <cellStyle name="Percent 2 3 2 3" xfId="8263" xr:uid="{00000000-0005-0000-0000-00002D7C0000}"/>
    <cellStyle name="Percent 2 3 2 3 2" xfId="8264" xr:uid="{00000000-0005-0000-0000-00002E7C0000}"/>
    <cellStyle name="Percent 2 3 2 3 2 2" xfId="11672" xr:uid="{00000000-0005-0000-0000-00002F7C0000}"/>
    <cellStyle name="Percent 2 3 2 3 2 3" xfId="32523" xr:uid="{00000000-0005-0000-0000-0000307C0000}"/>
    <cellStyle name="Percent 2 3 2 3 3" xfId="8265" xr:uid="{00000000-0005-0000-0000-0000317C0000}"/>
    <cellStyle name="Percent 2 3 2 3 3 2" xfId="16665" xr:uid="{00000000-0005-0000-0000-0000327C0000}"/>
    <cellStyle name="Percent 2 3 2 3 3 2 2" xfId="30072" xr:uid="{00000000-0005-0000-0000-0000337C0000}"/>
    <cellStyle name="Percent 2 3 2 3 3 3" xfId="32524" xr:uid="{00000000-0005-0000-0000-0000347C0000}"/>
    <cellStyle name="Percent 2 3 2 3 4" xfId="10375" xr:uid="{00000000-0005-0000-0000-0000357C0000}"/>
    <cellStyle name="Percent 2 3 2 3 5" xfId="32522" xr:uid="{00000000-0005-0000-0000-0000367C0000}"/>
    <cellStyle name="Percent 2 3 2 4" xfId="8266" xr:uid="{00000000-0005-0000-0000-0000377C0000}"/>
    <cellStyle name="Percent 2 3 2 4 2" xfId="8267" xr:uid="{00000000-0005-0000-0000-0000387C0000}"/>
    <cellStyle name="Percent 2 3 2 4 2 2" xfId="13345" xr:uid="{00000000-0005-0000-0000-0000397C0000}"/>
    <cellStyle name="Percent 2 3 2 4 2 3" xfId="32526" xr:uid="{00000000-0005-0000-0000-00003A7C0000}"/>
    <cellStyle name="Percent 2 3 2 4 3" xfId="12042" xr:uid="{00000000-0005-0000-0000-00003B7C0000}"/>
    <cellStyle name="Percent 2 3 2 4 3 2" xfId="25757" xr:uid="{00000000-0005-0000-0000-00003C7C0000}"/>
    <cellStyle name="Percent 2 3 2 4 4" xfId="32525" xr:uid="{00000000-0005-0000-0000-00003D7C0000}"/>
    <cellStyle name="Percent 2 3 2 5" xfId="8268" xr:uid="{00000000-0005-0000-0000-00003E7C0000}"/>
    <cellStyle name="Percent 2 3 2 5 2" xfId="8269" xr:uid="{00000000-0005-0000-0000-00003F7C0000}"/>
    <cellStyle name="Percent 2 3 2 5 2 2" xfId="15775" xr:uid="{00000000-0005-0000-0000-0000407C0000}"/>
    <cellStyle name="Percent 2 3 2 5 2 3" xfId="32528" xr:uid="{00000000-0005-0000-0000-0000417C0000}"/>
    <cellStyle name="Percent 2 3 2 5 3" xfId="13617" xr:uid="{00000000-0005-0000-0000-0000427C0000}"/>
    <cellStyle name="Percent 2 3 2 5 3 2" xfId="27166" xr:uid="{00000000-0005-0000-0000-0000437C0000}"/>
    <cellStyle name="Percent 2 3 2 5 4" xfId="32527" xr:uid="{00000000-0005-0000-0000-0000447C0000}"/>
    <cellStyle name="Percent 2 3 2 6" xfId="8270" xr:uid="{00000000-0005-0000-0000-0000457C0000}"/>
    <cellStyle name="Percent 2 3 2 6 2" xfId="14198" xr:uid="{00000000-0005-0000-0000-0000467C0000}"/>
    <cellStyle name="Percent 2 3 2 6 2 2" xfId="27747" xr:uid="{00000000-0005-0000-0000-0000477C0000}"/>
    <cellStyle name="Percent 2 3 2 6 3" xfId="32529" xr:uid="{00000000-0005-0000-0000-0000487C0000}"/>
    <cellStyle name="Percent 2 3 2 7" xfId="8271" xr:uid="{00000000-0005-0000-0000-0000497C0000}"/>
    <cellStyle name="Percent 2 3 2 7 2" xfId="16084" xr:uid="{00000000-0005-0000-0000-00004A7C0000}"/>
    <cellStyle name="Percent 2 3 2 7 2 2" xfId="29491" xr:uid="{00000000-0005-0000-0000-00004B7C0000}"/>
    <cellStyle name="Percent 2 3 2 7 3" xfId="32530" xr:uid="{00000000-0005-0000-0000-00004C7C0000}"/>
    <cellStyle name="Percent 2 3 2 8" xfId="10372" xr:uid="{00000000-0005-0000-0000-00004D7C0000}"/>
    <cellStyle name="Percent 2 3 2 9" xfId="32511" xr:uid="{00000000-0005-0000-0000-00004E7C0000}"/>
    <cellStyle name="Percent 2 3 3" xfId="8272" xr:uid="{00000000-0005-0000-0000-00004F7C0000}"/>
    <cellStyle name="Percent 2 3 3 2" xfId="8273" xr:uid="{00000000-0005-0000-0000-0000507C0000}"/>
    <cellStyle name="Percent 2 3 3 2 2" xfId="8274" xr:uid="{00000000-0005-0000-0000-0000517C0000}"/>
    <cellStyle name="Percent 2 3 3 2 2 2" xfId="11673" xr:uid="{00000000-0005-0000-0000-0000527C0000}"/>
    <cellStyle name="Percent 2 3 3 2 2 3" xfId="32533" xr:uid="{00000000-0005-0000-0000-0000537C0000}"/>
    <cellStyle name="Percent 2 3 3 2 3" xfId="8275" xr:uid="{00000000-0005-0000-0000-0000547C0000}"/>
    <cellStyle name="Percent 2 3 3 2 3 2" xfId="16811" xr:uid="{00000000-0005-0000-0000-0000557C0000}"/>
    <cellStyle name="Percent 2 3 3 2 3 2 2" xfId="30218" xr:uid="{00000000-0005-0000-0000-0000567C0000}"/>
    <cellStyle name="Percent 2 3 3 2 3 3" xfId="32534" xr:uid="{00000000-0005-0000-0000-0000577C0000}"/>
    <cellStyle name="Percent 2 3 3 2 4" xfId="10377" xr:uid="{00000000-0005-0000-0000-0000587C0000}"/>
    <cellStyle name="Percent 2 3 3 2 5" xfId="32532" xr:uid="{00000000-0005-0000-0000-0000597C0000}"/>
    <cellStyle name="Percent 2 3 3 3" xfId="8276" xr:uid="{00000000-0005-0000-0000-00005A7C0000}"/>
    <cellStyle name="Percent 2 3 3 3 2" xfId="8277" xr:uid="{00000000-0005-0000-0000-00005B7C0000}"/>
    <cellStyle name="Percent 2 3 3 3 2 2" xfId="13346" xr:uid="{00000000-0005-0000-0000-00005C7C0000}"/>
    <cellStyle name="Percent 2 3 3 3 2 3" xfId="32536" xr:uid="{00000000-0005-0000-0000-00005D7C0000}"/>
    <cellStyle name="Percent 2 3 3 3 3" xfId="12199" xr:uid="{00000000-0005-0000-0000-00005E7C0000}"/>
    <cellStyle name="Percent 2 3 3 3 3 2" xfId="25911" xr:uid="{00000000-0005-0000-0000-00005F7C0000}"/>
    <cellStyle name="Percent 2 3 3 3 4" xfId="32535" xr:uid="{00000000-0005-0000-0000-0000607C0000}"/>
    <cellStyle name="Percent 2 3 3 4" xfId="8278" xr:uid="{00000000-0005-0000-0000-0000617C0000}"/>
    <cellStyle name="Percent 2 3 3 4 2" xfId="8279" xr:uid="{00000000-0005-0000-0000-0000627C0000}"/>
    <cellStyle name="Percent 2 3 3 4 2 2" xfId="15776" xr:uid="{00000000-0005-0000-0000-0000637C0000}"/>
    <cellStyle name="Percent 2 3 3 4 2 3" xfId="32538" xr:uid="{00000000-0005-0000-0000-0000647C0000}"/>
    <cellStyle name="Percent 2 3 3 4 3" xfId="13763" xr:uid="{00000000-0005-0000-0000-0000657C0000}"/>
    <cellStyle name="Percent 2 3 3 4 3 2" xfId="27312" xr:uid="{00000000-0005-0000-0000-0000667C0000}"/>
    <cellStyle name="Percent 2 3 3 4 4" xfId="32537" xr:uid="{00000000-0005-0000-0000-0000677C0000}"/>
    <cellStyle name="Percent 2 3 3 5" xfId="8280" xr:uid="{00000000-0005-0000-0000-0000687C0000}"/>
    <cellStyle name="Percent 2 3 3 5 2" xfId="14344" xr:uid="{00000000-0005-0000-0000-0000697C0000}"/>
    <cellStyle name="Percent 2 3 3 5 2 2" xfId="27893" xr:uid="{00000000-0005-0000-0000-00006A7C0000}"/>
    <cellStyle name="Percent 2 3 3 5 3" xfId="32539" xr:uid="{00000000-0005-0000-0000-00006B7C0000}"/>
    <cellStyle name="Percent 2 3 3 6" xfId="8281" xr:uid="{00000000-0005-0000-0000-00006C7C0000}"/>
    <cellStyle name="Percent 2 3 3 6 2" xfId="16230" xr:uid="{00000000-0005-0000-0000-00006D7C0000}"/>
    <cellStyle name="Percent 2 3 3 6 2 2" xfId="29637" xr:uid="{00000000-0005-0000-0000-00006E7C0000}"/>
    <cellStyle name="Percent 2 3 3 6 3" xfId="32540" xr:uid="{00000000-0005-0000-0000-00006F7C0000}"/>
    <cellStyle name="Percent 2 3 3 7" xfId="10376" xr:uid="{00000000-0005-0000-0000-0000707C0000}"/>
    <cellStyle name="Percent 2 3 3 8" xfId="32531" xr:uid="{00000000-0005-0000-0000-0000717C0000}"/>
    <cellStyle name="Percent 2 3 4" xfId="8282" xr:uid="{00000000-0005-0000-0000-0000727C0000}"/>
    <cellStyle name="Percent 2 3 4 2" xfId="8283" xr:uid="{00000000-0005-0000-0000-0000737C0000}"/>
    <cellStyle name="Percent 2 3 4 2 2" xfId="13347" xr:uid="{00000000-0005-0000-0000-0000747C0000}"/>
    <cellStyle name="Percent 2 3 4 2 3" xfId="32542" xr:uid="{00000000-0005-0000-0000-0000757C0000}"/>
    <cellStyle name="Percent 2 3 4 3" xfId="8284" xr:uid="{00000000-0005-0000-0000-0000767C0000}"/>
    <cellStyle name="Percent 2 3 4 3 2" xfId="17158" xr:uid="{00000000-0005-0000-0000-0000777C0000}"/>
    <cellStyle name="Percent 2 3 4 3 2 2" xfId="30517" xr:uid="{00000000-0005-0000-0000-0000787C0000}"/>
    <cellStyle name="Percent 2 3 4 3 3" xfId="32543" xr:uid="{00000000-0005-0000-0000-0000797C0000}"/>
    <cellStyle name="Percent 2 3 4 4" xfId="10378" xr:uid="{00000000-0005-0000-0000-00007A7C0000}"/>
    <cellStyle name="Percent 2 3 4 5" xfId="32541" xr:uid="{00000000-0005-0000-0000-00007B7C0000}"/>
    <cellStyle name="Percent 2 3 5" xfId="8285" xr:uid="{00000000-0005-0000-0000-00007C7C0000}"/>
    <cellStyle name="Percent 2 3 5 2" xfId="8286" xr:uid="{00000000-0005-0000-0000-00007D7C0000}"/>
    <cellStyle name="Percent 2 3 5 2 2" xfId="11674" xr:uid="{00000000-0005-0000-0000-00007E7C0000}"/>
    <cellStyle name="Percent 2 3 5 2 3" xfId="32545" xr:uid="{00000000-0005-0000-0000-00007F7C0000}"/>
    <cellStyle name="Percent 2 3 5 3" xfId="8287" xr:uid="{00000000-0005-0000-0000-0000807C0000}"/>
    <cellStyle name="Percent 2 3 5 3 2" xfId="17247" xr:uid="{00000000-0005-0000-0000-0000817C0000}"/>
    <cellStyle name="Percent 2 3 5 3 2 2" xfId="30606" xr:uid="{00000000-0005-0000-0000-0000827C0000}"/>
    <cellStyle name="Percent 2 3 5 3 3" xfId="32546" xr:uid="{00000000-0005-0000-0000-0000837C0000}"/>
    <cellStyle name="Percent 2 3 5 4" xfId="10379" xr:uid="{00000000-0005-0000-0000-0000847C0000}"/>
    <cellStyle name="Percent 2 3 5 5" xfId="32544" xr:uid="{00000000-0005-0000-0000-0000857C0000}"/>
    <cellStyle name="Percent 2 3 6" xfId="8288" xr:uid="{00000000-0005-0000-0000-0000867C0000}"/>
    <cellStyle name="Percent 2 3 6 2" xfId="8289" xr:uid="{00000000-0005-0000-0000-0000877C0000}"/>
    <cellStyle name="Percent 2 3 6 2 2" xfId="15777" xr:uid="{00000000-0005-0000-0000-0000887C0000}"/>
    <cellStyle name="Percent 2 3 6 2 3" xfId="32548" xr:uid="{00000000-0005-0000-0000-0000897C0000}"/>
    <cellStyle name="Percent 2 3 6 3" xfId="8290" xr:uid="{00000000-0005-0000-0000-00008A7C0000}"/>
    <cellStyle name="Percent 2 3 6 3 2" xfId="16522" xr:uid="{00000000-0005-0000-0000-00008B7C0000}"/>
    <cellStyle name="Percent 2 3 6 3 2 2" xfId="29929" xr:uid="{00000000-0005-0000-0000-00008C7C0000}"/>
    <cellStyle name="Percent 2 3 6 3 3" xfId="32549" xr:uid="{00000000-0005-0000-0000-00008D7C0000}"/>
    <cellStyle name="Percent 2 3 6 4" xfId="11897" xr:uid="{00000000-0005-0000-0000-00008E7C0000}"/>
    <cellStyle name="Percent 2 3 6 4 2" xfId="25612" xr:uid="{00000000-0005-0000-0000-00008F7C0000}"/>
    <cellStyle name="Percent 2 3 6 5" xfId="32547" xr:uid="{00000000-0005-0000-0000-0000907C0000}"/>
    <cellStyle name="Percent 2 3 7" xfId="8291" xr:uid="{00000000-0005-0000-0000-0000917C0000}"/>
    <cellStyle name="Percent 2 3 7 2" xfId="13474" xr:uid="{00000000-0005-0000-0000-0000927C0000}"/>
    <cellStyle name="Percent 2 3 7 2 2" xfId="27023" xr:uid="{00000000-0005-0000-0000-0000937C0000}"/>
    <cellStyle name="Percent 2 3 7 3" xfId="32550" xr:uid="{00000000-0005-0000-0000-0000947C0000}"/>
    <cellStyle name="Percent 2 3 8" xfId="8292" xr:uid="{00000000-0005-0000-0000-0000957C0000}"/>
    <cellStyle name="Percent 2 3 8 2" xfId="14055" xr:uid="{00000000-0005-0000-0000-0000967C0000}"/>
    <cellStyle name="Percent 2 3 8 2 2" xfId="27604" xr:uid="{00000000-0005-0000-0000-0000977C0000}"/>
    <cellStyle name="Percent 2 3 8 3" xfId="32551" xr:uid="{00000000-0005-0000-0000-0000987C0000}"/>
    <cellStyle name="Percent 2 3 9" xfId="8293" xr:uid="{00000000-0005-0000-0000-0000997C0000}"/>
    <cellStyle name="Percent 2 3 9 2" xfId="15941" xr:uid="{00000000-0005-0000-0000-00009A7C0000}"/>
    <cellStyle name="Percent 2 3 9 2 2" xfId="29348" xr:uid="{00000000-0005-0000-0000-00009B7C0000}"/>
    <cellStyle name="Percent 2 3 9 3" xfId="32552" xr:uid="{00000000-0005-0000-0000-00009C7C0000}"/>
    <cellStyle name="Percent 2 30" xfId="33030" xr:uid="{00000000-0005-0000-0000-00009D7C0000}"/>
    <cellStyle name="Percent 2 31" xfId="8109" xr:uid="{00000000-0005-0000-0000-00009E7C0000}"/>
    <cellStyle name="Percent 2 4" xfId="8294" xr:uid="{00000000-0005-0000-0000-00009F7C0000}"/>
    <cellStyle name="Percent 2 4 10" xfId="10380" xr:uid="{00000000-0005-0000-0000-0000A07C0000}"/>
    <cellStyle name="Percent 2 4 11" xfId="32553" xr:uid="{00000000-0005-0000-0000-0000A17C0000}"/>
    <cellStyle name="Percent 2 4 2" xfId="8295" xr:uid="{00000000-0005-0000-0000-0000A27C0000}"/>
    <cellStyle name="Percent 2 4 2 2" xfId="8296" xr:uid="{00000000-0005-0000-0000-0000A37C0000}"/>
    <cellStyle name="Percent 2 4 2 2 2" xfId="8297" xr:uid="{00000000-0005-0000-0000-0000A47C0000}"/>
    <cellStyle name="Percent 2 4 2 2 2 2" xfId="8298" xr:uid="{00000000-0005-0000-0000-0000A57C0000}"/>
    <cellStyle name="Percent 2 4 2 2 2 2 2" xfId="11675" xr:uid="{00000000-0005-0000-0000-0000A67C0000}"/>
    <cellStyle name="Percent 2 4 2 2 2 2 3" xfId="32557" xr:uid="{00000000-0005-0000-0000-0000A77C0000}"/>
    <cellStyle name="Percent 2 4 2 2 2 3" xfId="8299" xr:uid="{00000000-0005-0000-0000-0000A87C0000}"/>
    <cellStyle name="Percent 2 4 2 2 2 3 2" xfId="16908" xr:uid="{00000000-0005-0000-0000-0000A97C0000}"/>
    <cellStyle name="Percent 2 4 2 2 2 3 2 2" xfId="30315" xr:uid="{00000000-0005-0000-0000-0000AA7C0000}"/>
    <cellStyle name="Percent 2 4 2 2 2 3 3" xfId="32558" xr:uid="{00000000-0005-0000-0000-0000AB7C0000}"/>
    <cellStyle name="Percent 2 4 2 2 2 4" xfId="10383" xr:uid="{00000000-0005-0000-0000-0000AC7C0000}"/>
    <cellStyle name="Percent 2 4 2 2 2 5" xfId="32556" xr:uid="{00000000-0005-0000-0000-0000AD7C0000}"/>
    <cellStyle name="Percent 2 4 2 2 3" xfId="8300" xr:uid="{00000000-0005-0000-0000-0000AE7C0000}"/>
    <cellStyle name="Percent 2 4 2 2 3 2" xfId="8301" xr:uid="{00000000-0005-0000-0000-0000AF7C0000}"/>
    <cellStyle name="Percent 2 4 2 2 3 2 2" xfId="13348" xr:uid="{00000000-0005-0000-0000-0000B07C0000}"/>
    <cellStyle name="Percent 2 4 2 2 3 2 3" xfId="32560" xr:uid="{00000000-0005-0000-0000-0000B17C0000}"/>
    <cellStyle name="Percent 2 4 2 2 3 3" xfId="12296" xr:uid="{00000000-0005-0000-0000-0000B27C0000}"/>
    <cellStyle name="Percent 2 4 2 2 3 3 2" xfId="26008" xr:uid="{00000000-0005-0000-0000-0000B37C0000}"/>
    <cellStyle name="Percent 2 4 2 2 3 4" xfId="32559" xr:uid="{00000000-0005-0000-0000-0000B47C0000}"/>
    <cellStyle name="Percent 2 4 2 2 4" xfId="8302" xr:uid="{00000000-0005-0000-0000-0000B57C0000}"/>
    <cellStyle name="Percent 2 4 2 2 4 2" xfId="8303" xr:uid="{00000000-0005-0000-0000-0000B67C0000}"/>
    <cellStyle name="Percent 2 4 2 2 4 2 2" xfId="15778" xr:uid="{00000000-0005-0000-0000-0000B77C0000}"/>
    <cellStyle name="Percent 2 4 2 2 4 2 3" xfId="32562" xr:uid="{00000000-0005-0000-0000-0000B87C0000}"/>
    <cellStyle name="Percent 2 4 2 2 4 3" xfId="13860" xr:uid="{00000000-0005-0000-0000-0000B97C0000}"/>
    <cellStyle name="Percent 2 4 2 2 4 3 2" xfId="27409" xr:uid="{00000000-0005-0000-0000-0000BA7C0000}"/>
    <cellStyle name="Percent 2 4 2 2 4 4" xfId="32561" xr:uid="{00000000-0005-0000-0000-0000BB7C0000}"/>
    <cellStyle name="Percent 2 4 2 2 5" xfId="8304" xr:uid="{00000000-0005-0000-0000-0000BC7C0000}"/>
    <cellStyle name="Percent 2 4 2 2 5 2" xfId="14441" xr:uid="{00000000-0005-0000-0000-0000BD7C0000}"/>
    <cellStyle name="Percent 2 4 2 2 5 2 2" xfId="27990" xr:uid="{00000000-0005-0000-0000-0000BE7C0000}"/>
    <cellStyle name="Percent 2 4 2 2 5 3" xfId="32563" xr:uid="{00000000-0005-0000-0000-0000BF7C0000}"/>
    <cellStyle name="Percent 2 4 2 2 6" xfId="8305" xr:uid="{00000000-0005-0000-0000-0000C07C0000}"/>
    <cellStyle name="Percent 2 4 2 2 6 2" xfId="16327" xr:uid="{00000000-0005-0000-0000-0000C17C0000}"/>
    <cellStyle name="Percent 2 4 2 2 6 2 2" xfId="29734" xr:uid="{00000000-0005-0000-0000-0000C27C0000}"/>
    <cellStyle name="Percent 2 4 2 2 6 3" xfId="32564" xr:uid="{00000000-0005-0000-0000-0000C37C0000}"/>
    <cellStyle name="Percent 2 4 2 2 7" xfId="10382" xr:uid="{00000000-0005-0000-0000-0000C47C0000}"/>
    <cellStyle name="Percent 2 4 2 2 8" xfId="32555" xr:uid="{00000000-0005-0000-0000-0000C57C0000}"/>
    <cellStyle name="Percent 2 4 2 3" xfId="8306" xr:uid="{00000000-0005-0000-0000-0000C67C0000}"/>
    <cellStyle name="Percent 2 4 2 3 2" xfId="8307" xr:uid="{00000000-0005-0000-0000-0000C77C0000}"/>
    <cellStyle name="Percent 2 4 2 3 2 2" xfId="11676" xr:uid="{00000000-0005-0000-0000-0000C87C0000}"/>
    <cellStyle name="Percent 2 4 2 3 2 3" xfId="32566" xr:uid="{00000000-0005-0000-0000-0000C97C0000}"/>
    <cellStyle name="Percent 2 4 2 3 3" xfId="8308" xr:uid="{00000000-0005-0000-0000-0000CA7C0000}"/>
    <cellStyle name="Percent 2 4 2 3 3 2" xfId="16619" xr:uid="{00000000-0005-0000-0000-0000CB7C0000}"/>
    <cellStyle name="Percent 2 4 2 3 3 2 2" xfId="30026" xr:uid="{00000000-0005-0000-0000-0000CC7C0000}"/>
    <cellStyle name="Percent 2 4 2 3 3 3" xfId="32567" xr:uid="{00000000-0005-0000-0000-0000CD7C0000}"/>
    <cellStyle name="Percent 2 4 2 3 4" xfId="10384" xr:uid="{00000000-0005-0000-0000-0000CE7C0000}"/>
    <cellStyle name="Percent 2 4 2 3 5" xfId="32565" xr:uid="{00000000-0005-0000-0000-0000CF7C0000}"/>
    <cellStyle name="Percent 2 4 2 4" xfId="8309" xr:uid="{00000000-0005-0000-0000-0000D07C0000}"/>
    <cellStyle name="Percent 2 4 2 4 2" xfId="8310" xr:uid="{00000000-0005-0000-0000-0000D17C0000}"/>
    <cellStyle name="Percent 2 4 2 4 2 2" xfId="13349" xr:uid="{00000000-0005-0000-0000-0000D27C0000}"/>
    <cellStyle name="Percent 2 4 2 4 2 3" xfId="32569" xr:uid="{00000000-0005-0000-0000-0000D37C0000}"/>
    <cellStyle name="Percent 2 4 2 4 3" xfId="11996" xr:uid="{00000000-0005-0000-0000-0000D47C0000}"/>
    <cellStyle name="Percent 2 4 2 4 3 2" xfId="25711" xr:uid="{00000000-0005-0000-0000-0000D57C0000}"/>
    <cellStyle name="Percent 2 4 2 4 4" xfId="32568" xr:uid="{00000000-0005-0000-0000-0000D67C0000}"/>
    <cellStyle name="Percent 2 4 2 5" xfId="8311" xr:uid="{00000000-0005-0000-0000-0000D77C0000}"/>
    <cellStyle name="Percent 2 4 2 5 2" xfId="8312" xr:uid="{00000000-0005-0000-0000-0000D87C0000}"/>
    <cellStyle name="Percent 2 4 2 5 2 2" xfId="15779" xr:uid="{00000000-0005-0000-0000-0000D97C0000}"/>
    <cellStyle name="Percent 2 4 2 5 2 3" xfId="32571" xr:uid="{00000000-0005-0000-0000-0000DA7C0000}"/>
    <cellStyle name="Percent 2 4 2 5 3" xfId="13571" xr:uid="{00000000-0005-0000-0000-0000DB7C0000}"/>
    <cellStyle name="Percent 2 4 2 5 3 2" xfId="27120" xr:uid="{00000000-0005-0000-0000-0000DC7C0000}"/>
    <cellStyle name="Percent 2 4 2 5 4" xfId="32570" xr:uid="{00000000-0005-0000-0000-0000DD7C0000}"/>
    <cellStyle name="Percent 2 4 2 6" xfId="8313" xr:uid="{00000000-0005-0000-0000-0000DE7C0000}"/>
    <cellStyle name="Percent 2 4 2 6 2" xfId="14152" xr:uid="{00000000-0005-0000-0000-0000DF7C0000}"/>
    <cellStyle name="Percent 2 4 2 6 2 2" xfId="27701" xr:uid="{00000000-0005-0000-0000-0000E07C0000}"/>
    <cellStyle name="Percent 2 4 2 6 3" xfId="32572" xr:uid="{00000000-0005-0000-0000-0000E17C0000}"/>
    <cellStyle name="Percent 2 4 2 7" xfId="8314" xr:uid="{00000000-0005-0000-0000-0000E27C0000}"/>
    <cellStyle name="Percent 2 4 2 7 2" xfId="16038" xr:uid="{00000000-0005-0000-0000-0000E37C0000}"/>
    <cellStyle name="Percent 2 4 2 7 2 2" xfId="29445" xr:uid="{00000000-0005-0000-0000-0000E47C0000}"/>
    <cellStyle name="Percent 2 4 2 7 3" xfId="32573" xr:uid="{00000000-0005-0000-0000-0000E57C0000}"/>
    <cellStyle name="Percent 2 4 2 8" xfId="10381" xr:uid="{00000000-0005-0000-0000-0000E67C0000}"/>
    <cellStyle name="Percent 2 4 2 9" xfId="32554" xr:uid="{00000000-0005-0000-0000-0000E77C0000}"/>
    <cellStyle name="Percent 2 4 3" xfId="8315" xr:uid="{00000000-0005-0000-0000-0000E87C0000}"/>
    <cellStyle name="Percent 2 4 3 2" xfId="8316" xr:uid="{00000000-0005-0000-0000-0000E97C0000}"/>
    <cellStyle name="Percent 2 4 3 2 2" xfId="8317" xr:uid="{00000000-0005-0000-0000-0000EA7C0000}"/>
    <cellStyle name="Percent 2 4 3 2 2 2" xfId="11677" xr:uid="{00000000-0005-0000-0000-0000EB7C0000}"/>
    <cellStyle name="Percent 2 4 3 2 2 3" xfId="32576" xr:uid="{00000000-0005-0000-0000-0000EC7C0000}"/>
    <cellStyle name="Percent 2 4 3 2 3" xfId="8318" xr:uid="{00000000-0005-0000-0000-0000ED7C0000}"/>
    <cellStyle name="Percent 2 4 3 2 3 2" xfId="16768" xr:uid="{00000000-0005-0000-0000-0000EE7C0000}"/>
    <cellStyle name="Percent 2 4 3 2 3 2 2" xfId="30175" xr:uid="{00000000-0005-0000-0000-0000EF7C0000}"/>
    <cellStyle name="Percent 2 4 3 2 3 3" xfId="32577" xr:uid="{00000000-0005-0000-0000-0000F07C0000}"/>
    <cellStyle name="Percent 2 4 3 2 4" xfId="10386" xr:uid="{00000000-0005-0000-0000-0000F17C0000}"/>
    <cellStyle name="Percent 2 4 3 2 5" xfId="32575" xr:uid="{00000000-0005-0000-0000-0000F27C0000}"/>
    <cellStyle name="Percent 2 4 3 3" xfId="8319" xr:uid="{00000000-0005-0000-0000-0000F37C0000}"/>
    <cellStyle name="Percent 2 4 3 3 2" xfId="8320" xr:uid="{00000000-0005-0000-0000-0000F47C0000}"/>
    <cellStyle name="Percent 2 4 3 3 2 2" xfId="13350" xr:uid="{00000000-0005-0000-0000-0000F57C0000}"/>
    <cellStyle name="Percent 2 4 3 3 2 3" xfId="32579" xr:uid="{00000000-0005-0000-0000-0000F67C0000}"/>
    <cellStyle name="Percent 2 4 3 3 3" xfId="12156" xr:uid="{00000000-0005-0000-0000-0000F77C0000}"/>
    <cellStyle name="Percent 2 4 3 3 3 2" xfId="25868" xr:uid="{00000000-0005-0000-0000-0000F87C0000}"/>
    <cellStyle name="Percent 2 4 3 3 4" xfId="32578" xr:uid="{00000000-0005-0000-0000-0000F97C0000}"/>
    <cellStyle name="Percent 2 4 3 4" xfId="8321" xr:uid="{00000000-0005-0000-0000-0000FA7C0000}"/>
    <cellStyle name="Percent 2 4 3 4 2" xfId="8322" xr:uid="{00000000-0005-0000-0000-0000FB7C0000}"/>
    <cellStyle name="Percent 2 4 3 4 2 2" xfId="15780" xr:uid="{00000000-0005-0000-0000-0000FC7C0000}"/>
    <cellStyle name="Percent 2 4 3 4 2 3" xfId="32581" xr:uid="{00000000-0005-0000-0000-0000FD7C0000}"/>
    <cellStyle name="Percent 2 4 3 4 3" xfId="13720" xr:uid="{00000000-0005-0000-0000-0000FE7C0000}"/>
    <cellStyle name="Percent 2 4 3 4 3 2" xfId="27269" xr:uid="{00000000-0005-0000-0000-0000FF7C0000}"/>
    <cellStyle name="Percent 2 4 3 4 4" xfId="32580" xr:uid="{00000000-0005-0000-0000-0000007D0000}"/>
    <cellStyle name="Percent 2 4 3 5" xfId="8323" xr:uid="{00000000-0005-0000-0000-0000017D0000}"/>
    <cellStyle name="Percent 2 4 3 5 2" xfId="14301" xr:uid="{00000000-0005-0000-0000-0000027D0000}"/>
    <cellStyle name="Percent 2 4 3 5 2 2" xfId="27850" xr:uid="{00000000-0005-0000-0000-0000037D0000}"/>
    <cellStyle name="Percent 2 4 3 5 3" xfId="32582" xr:uid="{00000000-0005-0000-0000-0000047D0000}"/>
    <cellStyle name="Percent 2 4 3 6" xfId="8324" xr:uid="{00000000-0005-0000-0000-0000057D0000}"/>
    <cellStyle name="Percent 2 4 3 6 2" xfId="16187" xr:uid="{00000000-0005-0000-0000-0000067D0000}"/>
    <cellStyle name="Percent 2 4 3 6 2 2" xfId="29594" xr:uid="{00000000-0005-0000-0000-0000077D0000}"/>
    <cellStyle name="Percent 2 4 3 6 3" xfId="32583" xr:uid="{00000000-0005-0000-0000-0000087D0000}"/>
    <cellStyle name="Percent 2 4 3 7" xfId="10385" xr:uid="{00000000-0005-0000-0000-0000097D0000}"/>
    <cellStyle name="Percent 2 4 3 8" xfId="32574" xr:uid="{00000000-0005-0000-0000-00000A7D0000}"/>
    <cellStyle name="Percent 2 4 4" xfId="8325" xr:uid="{00000000-0005-0000-0000-00000B7D0000}"/>
    <cellStyle name="Percent 2 4 4 2" xfId="8326" xr:uid="{00000000-0005-0000-0000-00000C7D0000}"/>
    <cellStyle name="Percent 2 4 4 2 2" xfId="16476" xr:uid="{00000000-0005-0000-0000-00000D7D0000}"/>
    <cellStyle name="Percent 2 4 4 2 2 2" xfId="29883" xr:uid="{00000000-0005-0000-0000-00000E7D0000}"/>
    <cellStyle name="Percent 2 4 4 2 3" xfId="32585" xr:uid="{00000000-0005-0000-0000-00000F7D0000}"/>
    <cellStyle name="Percent 2 4 4 3" xfId="10387" xr:uid="{00000000-0005-0000-0000-0000107D0000}"/>
    <cellStyle name="Percent 2 4 4 4" xfId="32584" xr:uid="{00000000-0005-0000-0000-0000117D0000}"/>
    <cellStyle name="Percent 2 4 5" xfId="8327" xr:uid="{00000000-0005-0000-0000-0000127D0000}"/>
    <cellStyle name="Percent 2 4 5 2" xfId="8328" xr:uid="{00000000-0005-0000-0000-0000137D0000}"/>
    <cellStyle name="Percent 2 4 5 2 2" xfId="11678" xr:uid="{00000000-0005-0000-0000-0000147D0000}"/>
    <cellStyle name="Percent 2 4 5 2 3" xfId="32587" xr:uid="{00000000-0005-0000-0000-0000157D0000}"/>
    <cellStyle name="Percent 2 4 5 3" xfId="10388" xr:uid="{00000000-0005-0000-0000-0000167D0000}"/>
    <cellStyle name="Percent 2 4 5 4" xfId="32586" xr:uid="{00000000-0005-0000-0000-0000177D0000}"/>
    <cellStyle name="Percent 2 4 6" xfId="8329" xr:uid="{00000000-0005-0000-0000-0000187D0000}"/>
    <cellStyle name="Percent 2 4 6 2" xfId="8330" xr:uid="{00000000-0005-0000-0000-0000197D0000}"/>
    <cellStyle name="Percent 2 4 6 2 2" xfId="13351" xr:uid="{00000000-0005-0000-0000-00001A7D0000}"/>
    <cellStyle name="Percent 2 4 6 2 3" xfId="32589" xr:uid="{00000000-0005-0000-0000-00001B7D0000}"/>
    <cellStyle name="Percent 2 4 6 3" xfId="11827" xr:uid="{00000000-0005-0000-0000-00001C7D0000}"/>
    <cellStyle name="Percent 2 4 6 3 2" xfId="25542" xr:uid="{00000000-0005-0000-0000-00001D7D0000}"/>
    <cellStyle name="Percent 2 4 6 4" xfId="32588" xr:uid="{00000000-0005-0000-0000-00001E7D0000}"/>
    <cellStyle name="Percent 2 4 7" xfId="8331" xr:uid="{00000000-0005-0000-0000-00001F7D0000}"/>
    <cellStyle name="Percent 2 4 7 2" xfId="8332" xr:uid="{00000000-0005-0000-0000-0000207D0000}"/>
    <cellStyle name="Percent 2 4 7 2 2" xfId="15781" xr:uid="{00000000-0005-0000-0000-0000217D0000}"/>
    <cellStyle name="Percent 2 4 7 2 3" xfId="32591" xr:uid="{00000000-0005-0000-0000-0000227D0000}"/>
    <cellStyle name="Percent 2 4 7 3" xfId="13428" xr:uid="{00000000-0005-0000-0000-0000237D0000}"/>
    <cellStyle name="Percent 2 4 7 3 2" xfId="26977" xr:uid="{00000000-0005-0000-0000-0000247D0000}"/>
    <cellStyle name="Percent 2 4 7 4" xfId="32590" xr:uid="{00000000-0005-0000-0000-0000257D0000}"/>
    <cellStyle name="Percent 2 4 8" xfId="8333" xr:uid="{00000000-0005-0000-0000-0000267D0000}"/>
    <cellStyle name="Percent 2 4 8 2" xfId="14009" xr:uid="{00000000-0005-0000-0000-0000277D0000}"/>
    <cellStyle name="Percent 2 4 8 2 2" xfId="27558" xr:uid="{00000000-0005-0000-0000-0000287D0000}"/>
    <cellStyle name="Percent 2 4 8 3" xfId="32592" xr:uid="{00000000-0005-0000-0000-0000297D0000}"/>
    <cellStyle name="Percent 2 4 9" xfId="8334" xr:uid="{00000000-0005-0000-0000-00002A7D0000}"/>
    <cellStyle name="Percent 2 4 9 2" xfId="15895" xr:uid="{00000000-0005-0000-0000-00002B7D0000}"/>
    <cellStyle name="Percent 2 4 9 2 2" xfId="29302" xr:uid="{00000000-0005-0000-0000-00002C7D0000}"/>
    <cellStyle name="Percent 2 4 9 3" xfId="32593" xr:uid="{00000000-0005-0000-0000-00002D7D0000}"/>
    <cellStyle name="Percent 2 5" xfId="8335" xr:uid="{00000000-0005-0000-0000-00002E7D0000}"/>
    <cellStyle name="Percent 2 5 10" xfId="10389" xr:uid="{00000000-0005-0000-0000-00002F7D0000}"/>
    <cellStyle name="Percent 2 5 11" xfId="32594" xr:uid="{00000000-0005-0000-0000-0000307D0000}"/>
    <cellStyle name="Percent 2 5 2" xfId="8336" xr:uid="{00000000-0005-0000-0000-0000317D0000}"/>
    <cellStyle name="Percent 2 5 2 2" xfId="8337" xr:uid="{00000000-0005-0000-0000-0000327D0000}"/>
    <cellStyle name="Percent 2 5 2 2 2" xfId="8338" xr:uid="{00000000-0005-0000-0000-0000337D0000}"/>
    <cellStyle name="Percent 2 5 2 2 2 2" xfId="8339" xr:uid="{00000000-0005-0000-0000-0000347D0000}"/>
    <cellStyle name="Percent 2 5 2 2 2 2 2" xfId="11679" xr:uid="{00000000-0005-0000-0000-0000357D0000}"/>
    <cellStyle name="Percent 2 5 2 2 2 2 3" xfId="32598" xr:uid="{00000000-0005-0000-0000-0000367D0000}"/>
    <cellStyle name="Percent 2 5 2 2 2 3" xfId="8340" xr:uid="{00000000-0005-0000-0000-0000377D0000}"/>
    <cellStyle name="Percent 2 5 2 2 2 3 2" xfId="16891" xr:uid="{00000000-0005-0000-0000-0000387D0000}"/>
    <cellStyle name="Percent 2 5 2 2 2 3 2 2" xfId="30298" xr:uid="{00000000-0005-0000-0000-0000397D0000}"/>
    <cellStyle name="Percent 2 5 2 2 2 3 3" xfId="32599" xr:uid="{00000000-0005-0000-0000-00003A7D0000}"/>
    <cellStyle name="Percent 2 5 2 2 2 4" xfId="10392" xr:uid="{00000000-0005-0000-0000-00003B7D0000}"/>
    <cellStyle name="Percent 2 5 2 2 2 5" xfId="32597" xr:uid="{00000000-0005-0000-0000-00003C7D0000}"/>
    <cellStyle name="Percent 2 5 2 2 3" xfId="8341" xr:uid="{00000000-0005-0000-0000-00003D7D0000}"/>
    <cellStyle name="Percent 2 5 2 2 3 2" xfId="8342" xr:uid="{00000000-0005-0000-0000-00003E7D0000}"/>
    <cellStyle name="Percent 2 5 2 2 3 2 2" xfId="13352" xr:uid="{00000000-0005-0000-0000-00003F7D0000}"/>
    <cellStyle name="Percent 2 5 2 2 3 2 3" xfId="32601" xr:uid="{00000000-0005-0000-0000-0000407D0000}"/>
    <cellStyle name="Percent 2 5 2 2 3 3" xfId="12279" xr:uid="{00000000-0005-0000-0000-0000417D0000}"/>
    <cellStyle name="Percent 2 5 2 2 3 3 2" xfId="25991" xr:uid="{00000000-0005-0000-0000-0000427D0000}"/>
    <cellStyle name="Percent 2 5 2 2 3 4" xfId="32600" xr:uid="{00000000-0005-0000-0000-0000437D0000}"/>
    <cellStyle name="Percent 2 5 2 2 4" xfId="8343" xr:uid="{00000000-0005-0000-0000-0000447D0000}"/>
    <cellStyle name="Percent 2 5 2 2 4 2" xfId="8344" xr:uid="{00000000-0005-0000-0000-0000457D0000}"/>
    <cellStyle name="Percent 2 5 2 2 4 2 2" xfId="15782" xr:uid="{00000000-0005-0000-0000-0000467D0000}"/>
    <cellStyle name="Percent 2 5 2 2 4 2 3" xfId="32603" xr:uid="{00000000-0005-0000-0000-0000477D0000}"/>
    <cellStyle name="Percent 2 5 2 2 4 3" xfId="13843" xr:uid="{00000000-0005-0000-0000-0000487D0000}"/>
    <cellStyle name="Percent 2 5 2 2 4 3 2" xfId="27392" xr:uid="{00000000-0005-0000-0000-0000497D0000}"/>
    <cellStyle name="Percent 2 5 2 2 4 4" xfId="32602" xr:uid="{00000000-0005-0000-0000-00004A7D0000}"/>
    <cellStyle name="Percent 2 5 2 2 5" xfId="8345" xr:uid="{00000000-0005-0000-0000-00004B7D0000}"/>
    <cellStyle name="Percent 2 5 2 2 5 2" xfId="14424" xr:uid="{00000000-0005-0000-0000-00004C7D0000}"/>
    <cellStyle name="Percent 2 5 2 2 5 2 2" xfId="27973" xr:uid="{00000000-0005-0000-0000-00004D7D0000}"/>
    <cellStyle name="Percent 2 5 2 2 5 3" xfId="32604" xr:uid="{00000000-0005-0000-0000-00004E7D0000}"/>
    <cellStyle name="Percent 2 5 2 2 6" xfId="8346" xr:uid="{00000000-0005-0000-0000-00004F7D0000}"/>
    <cellStyle name="Percent 2 5 2 2 6 2" xfId="16310" xr:uid="{00000000-0005-0000-0000-0000507D0000}"/>
    <cellStyle name="Percent 2 5 2 2 6 2 2" xfId="29717" xr:uid="{00000000-0005-0000-0000-0000517D0000}"/>
    <cellStyle name="Percent 2 5 2 2 6 3" xfId="32605" xr:uid="{00000000-0005-0000-0000-0000527D0000}"/>
    <cellStyle name="Percent 2 5 2 2 7" xfId="10391" xr:uid="{00000000-0005-0000-0000-0000537D0000}"/>
    <cellStyle name="Percent 2 5 2 2 8" xfId="32596" xr:uid="{00000000-0005-0000-0000-0000547D0000}"/>
    <cellStyle name="Percent 2 5 2 3" xfId="8347" xr:uid="{00000000-0005-0000-0000-0000557D0000}"/>
    <cellStyle name="Percent 2 5 2 3 2" xfId="8348" xr:uid="{00000000-0005-0000-0000-0000567D0000}"/>
    <cellStyle name="Percent 2 5 2 3 2 2" xfId="11680" xr:uid="{00000000-0005-0000-0000-0000577D0000}"/>
    <cellStyle name="Percent 2 5 2 3 2 3" xfId="32607" xr:uid="{00000000-0005-0000-0000-0000587D0000}"/>
    <cellStyle name="Percent 2 5 2 3 3" xfId="8349" xr:uid="{00000000-0005-0000-0000-0000597D0000}"/>
    <cellStyle name="Percent 2 5 2 3 3 2" xfId="16602" xr:uid="{00000000-0005-0000-0000-00005A7D0000}"/>
    <cellStyle name="Percent 2 5 2 3 3 2 2" xfId="30009" xr:uid="{00000000-0005-0000-0000-00005B7D0000}"/>
    <cellStyle name="Percent 2 5 2 3 3 3" xfId="32608" xr:uid="{00000000-0005-0000-0000-00005C7D0000}"/>
    <cellStyle name="Percent 2 5 2 3 4" xfId="10393" xr:uid="{00000000-0005-0000-0000-00005D7D0000}"/>
    <cellStyle name="Percent 2 5 2 3 5" xfId="32606" xr:uid="{00000000-0005-0000-0000-00005E7D0000}"/>
    <cellStyle name="Percent 2 5 2 4" xfId="8350" xr:uid="{00000000-0005-0000-0000-00005F7D0000}"/>
    <cellStyle name="Percent 2 5 2 4 2" xfId="8351" xr:uid="{00000000-0005-0000-0000-0000607D0000}"/>
    <cellStyle name="Percent 2 5 2 4 2 2" xfId="13353" xr:uid="{00000000-0005-0000-0000-0000617D0000}"/>
    <cellStyle name="Percent 2 5 2 4 2 3" xfId="32610" xr:uid="{00000000-0005-0000-0000-0000627D0000}"/>
    <cellStyle name="Percent 2 5 2 4 3" xfId="11979" xr:uid="{00000000-0005-0000-0000-0000637D0000}"/>
    <cellStyle name="Percent 2 5 2 4 3 2" xfId="25694" xr:uid="{00000000-0005-0000-0000-0000647D0000}"/>
    <cellStyle name="Percent 2 5 2 4 4" xfId="32609" xr:uid="{00000000-0005-0000-0000-0000657D0000}"/>
    <cellStyle name="Percent 2 5 2 5" xfId="8352" xr:uid="{00000000-0005-0000-0000-0000667D0000}"/>
    <cellStyle name="Percent 2 5 2 5 2" xfId="8353" xr:uid="{00000000-0005-0000-0000-0000677D0000}"/>
    <cellStyle name="Percent 2 5 2 5 2 2" xfId="15783" xr:uid="{00000000-0005-0000-0000-0000687D0000}"/>
    <cellStyle name="Percent 2 5 2 5 2 3" xfId="32612" xr:uid="{00000000-0005-0000-0000-0000697D0000}"/>
    <cellStyle name="Percent 2 5 2 5 3" xfId="13554" xr:uid="{00000000-0005-0000-0000-00006A7D0000}"/>
    <cellStyle name="Percent 2 5 2 5 3 2" xfId="27103" xr:uid="{00000000-0005-0000-0000-00006B7D0000}"/>
    <cellStyle name="Percent 2 5 2 5 4" xfId="32611" xr:uid="{00000000-0005-0000-0000-00006C7D0000}"/>
    <cellStyle name="Percent 2 5 2 6" xfId="8354" xr:uid="{00000000-0005-0000-0000-00006D7D0000}"/>
    <cellStyle name="Percent 2 5 2 6 2" xfId="14135" xr:uid="{00000000-0005-0000-0000-00006E7D0000}"/>
    <cellStyle name="Percent 2 5 2 6 2 2" xfId="27684" xr:uid="{00000000-0005-0000-0000-00006F7D0000}"/>
    <cellStyle name="Percent 2 5 2 6 3" xfId="32613" xr:uid="{00000000-0005-0000-0000-0000707D0000}"/>
    <cellStyle name="Percent 2 5 2 7" xfId="8355" xr:uid="{00000000-0005-0000-0000-0000717D0000}"/>
    <cellStyle name="Percent 2 5 2 7 2" xfId="16021" xr:uid="{00000000-0005-0000-0000-0000727D0000}"/>
    <cellStyle name="Percent 2 5 2 7 2 2" xfId="29428" xr:uid="{00000000-0005-0000-0000-0000737D0000}"/>
    <cellStyle name="Percent 2 5 2 7 3" xfId="32614" xr:uid="{00000000-0005-0000-0000-0000747D0000}"/>
    <cellStyle name="Percent 2 5 2 8" xfId="10390" xr:uid="{00000000-0005-0000-0000-0000757D0000}"/>
    <cellStyle name="Percent 2 5 2 9" xfId="32595" xr:uid="{00000000-0005-0000-0000-0000767D0000}"/>
    <cellStyle name="Percent 2 5 3" xfId="8356" xr:uid="{00000000-0005-0000-0000-0000777D0000}"/>
    <cellStyle name="Percent 2 5 3 2" xfId="8357" xr:uid="{00000000-0005-0000-0000-0000787D0000}"/>
    <cellStyle name="Percent 2 5 3 2 2" xfId="8358" xr:uid="{00000000-0005-0000-0000-0000797D0000}"/>
    <cellStyle name="Percent 2 5 3 2 2 2" xfId="11681" xr:uid="{00000000-0005-0000-0000-00007A7D0000}"/>
    <cellStyle name="Percent 2 5 3 2 2 3" xfId="32617" xr:uid="{00000000-0005-0000-0000-00007B7D0000}"/>
    <cellStyle name="Percent 2 5 3 2 3" xfId="8359" xr:uid="{00000000-0005-0000-0000-00007C7D0000}"/>
    <cellStyle name="Percent 2 5 3 2 3 2" xfId="16751" xr:uid="{00000000-0005-0000-0000-00007D7D0000}"/>
    <cellStyle name="Percent 2 5 3 2 3 2 2" xfId="30158" xr:uid="{00000000-0005-0000-0000-00007E7D0000}"/>
    <cellStyle name="Percent 2 5 3 2 3 3" xfId="32618" xr:uid="{00000000-0005-0000-0000-00007F7D0000}"/>
    <cellStyle name="Percent 2 5 3 2 4" xfId="10395" xr:uid="{00000000-0005-0000-0000-0000807D0000}"/>
    <cellStyle name="Percent 2 5 3 2 5" xfId="32616" xr:uid="{00000000-0005-0000-0000-0000817D0000}"/>
    <cellStyle name="Percent 2 5 3 3" xfId="8360" xr:uid="{00000000-0005-0000-0000-0000827D0000}"/>
    <cellStyle name="Percent 2 5 3 3 2" xfId="8361" xr:uid="{00000000-0005-0000-0000-0000837D0000}"/>
    <cellStyle name="Percent 2 5 3 3 2 2" xfId="13354" xr:uid="{00000000-0005-0000-0000-0000847D0000}"/>
    <cellStyle name="Percent 2 5 3 3 2 3" xfId="32620" xr:uid="{00000000-0005-0000-0000-0000857D0000}"/>
    <cellStyle name="Percent 2 5 3 3 3" xfId="12139" xr:uid="{00000000-0005-0000-0000-0000867D0000}"/>
    <cellStyle name="Percent 2 5 3 3 3 2" xfId="25851" xr:uid="{00000000-0005-0000-0000-0000877D0000}"/>
    <cellStyle name="Percent 2 5 3 3 4" xfId="32619" xr:uid="{00000000-0005-0000-0000-0000887D0000}"/>
    <cellStyle name="Percent 2 5 3 4" xfId="8362" xr:uid="{00000000-0005-0000-0000-0000897D0000}"/>
    <cellStyle name="Percent 2 5 3 4 2" xfId="8363" xr:uid="{00000000-0005-0000-0000-00008A7D0000}"/>
    <cellStyle name="Percent 2 5 3 4 2 2" xfId="15784" xr:uid="{00000000-0005-0000-0000-00008B7D0000}"/>
    <cellStyle name="Percent 2 5 3 4 2 3" xfId="32622" xr:uid="{00000000-0005-0000-0000-00008C7D0000}"/>
    <cellStyle name="Percent 2 5 3 4 3" xfId="13703" xr:uid="{00000000-0005-0000-0000-00008D7D0000}"/>
    <cellStyle name="Percent 2 5 3 4 3 2" xfId="27252" xr:uid="{00000000-0005-0000-0000-00008E7D0000}"/>
    <cellStyle name="Percent 2 5 3 4 4" xfId="32621" xr:uid="{00000000-0005-0000-0000-00008F7D0000}"/>
    <cellStyle name="Percent 2 5 3 5" xfId="8364" xr:uid="{00000000-0005-0000-0000-0000907D0000}"/>
    <cellStyle name="Percent 2 5 3 5 2" xfId="14284" xr:uid="{00000000-0005-0000-0000-0000917D0000}"/>
    <cellStyle name="Percent 2 5 3 5 2 2" xfId="27833" xr:uid="{00000000-0005-0000-0000-0000927D0000}"/>
    <cellStyle name="Percent 2 5 3 5 3" xfId="32623" xr:uid="{00000000-0005-0000-0000-0000937D0000}"/>
    <cellStyle name="Percent 2 5 3 6" xfId="8365" xr:uid="{00000000-0005-0000-0000-0000947D0000}"/>
    <cellStyle name="Percent 2 5 3 6 2" xfId="16170" xr:uid="{00000000-0005-0000-0000-0000957D0000}"/>
    <cellStyle name="Percent 2 5 3 6 2 2" xfId="29577" xr:uid="{00000000-0005-0000-0000-0000967D0000}"/>
    <cellStyle name="Percent 2 5 3 6 3" xfId="32624" xr:uid="{00000000-0005-0000-0000-0000977D0000}"/>
    <cellStyle name="Percent 2 5 3 7" xfId="10394" xr:uid="{00000000-0005-0000-0000-0000987D0000}"/>
    <cellStyle name="Percent 2 5 3 8" xfId="32615" xr:uid="{00000000-0005-0000-0000-0000997D0000}"/>
    <cellStyle name="Percent 2 5 4" xfId="8366" xr:uid="{00000000-0005-0000-0000-00009A7D0000}"/>
    <cellStyle name="Percent 2 5 4 2" xfId="8367" xr:uid="{00000000-0005-0000-0000-00009B7D0000}"/>
    <cellStyle name="Percent 2 5 4 2 2" xfId="16459" xr:uid="{00000000-0005-0000-0000-00009C7D0000}"/>
    <cellStyle name="Percent 2 5 4 2 2 2" xfId="29866" xr:uid="{00000000-0005-0000-0000-00009D7D0000}"/>
    <cellStyle name="Percent 2 5 4 2 3" xfId="32626" xr:uid="{00000000-0005-0000-0000-00009E7D0000}"/>
    <cellStyle name="Percent 2 5 4 3" xfId="10396" xr:uid="{00000000-0005-0000-0000-00009F7D0000}"/>
    <cellStyle name="Percent 2 5 4 4" xfId="32625" xr:uid="{00000000-0005-0000-0000-0000A07D0000}"/>
    <cellStyle name="Percent 2 5 5" xfId="8368" xr:uid="{00000000-0005-0000-0000-0000A17D0000}"/>
    <cellStyle name="Percent 2 5 5 2" xfId="8369" xr:uid="{00000000-0005-0000-0000-0000A27D0000}"/>
    <cellStyle name="Percent 2 5 5 2 2" xfId="11682" xr:uid="{00000000-0005-0000-0000-0000A37D0000}"/>
    <cellStyle name="Percent 2 5 5 2 3" xfId="32628" xr:uid="{00000000-0005-0000-0000-0000A47D0000}"/>
    <cellStyle name="Percent 2 5 5 3" xfId="10397" xr:uid="{00000000-0005-0000-0000-0000A57D0000}"/>
    <cellStyle name="Percent 2 5 5 4" xfId="32627" xr:uid="{00000000-0005-0000-0000-0000A67D0000}"/>
    <cellStyle name="Percent 2 5 6" xfId="8370" xr:uid="{00000000-0005-0000-0000-0000A77D0000}"/>
    <cellStyle name="Percent 2 5 6 2" xfId="8371" xr:uid="{00000000-0005-0000-0000-0000A87D0000}"/>
    <cellStyle name="Percent 2 5 6 2 2" xfId="13355" xr:uid="{00000000-0005-0000-0000-0000A97D0000}"/>
    <cellStyle name="Percent 2 5 6 2 3" xfId="32630" xr:uid="{00000000-0005-0000-0000-0000AA7D0000}"/>
    <cellStyle name="Percent 2 5 6 3" xfId="11810" xr:uid="{00000000-0005-0000-0000-0000AB7D0000}"/>
    <cellStyle name="Percent 2 5 6 3 2" xfId="25525" xr:uid="{00000000-0005-0000-0000-0000AC7D0000}"/>
    <cellStyle name="Percent 2 5 6 4" xfId="32629" xr:uid="{00000000-0005-0000-0000-0000AD7D0000}"/>
    <cellStyle name="Percent 2 5 7" xfId="8372" xr:uid="{00000000-0005-0000-0000-0000AE7D0000}"/>
    <cellStyle name="Percent 2 5 7 2" xfId="8373" xr:uid="{00000000-0005-0000-0000-0000AF7D0000}"/>
    <cellStyle name="Percent 2 5 7 2 2" xfId="15785" xr:uid="{00000000-0005-0000-0000-0000B07D0000}"/>
    <cellStyle name="Percent 2 5 7 2 3" xfId="32632" xr:uid="{00000000-0005-0000-0000-0000B17D0000}"/>
    <cellStyle name="Percent 2 5 7 3" xfId="13411" xr:uid="{00000000-0005-0000-0000-0000B27D0000}"/>
    <cellStyle name="Percent 2 5 7 3 2" xfId="26960" xr:uid="{00000000-0005-0000-0000-0000B37D0000}"/>
    <cellStyle name="Percent 2 5 7 4" xfId="32631" xr:uid="{00000000-0005-0000-0000-0000B47D0000}"/>
    <cellStyle name="Percent 2 5 8" xfId="8374" xr:uid="{00000000-0005-0000-0000-0000B57D0000}"/>
    <cellStyle name="Percent 2 5 8 2" xfId="13992" xr:uid="{00000000-0005-0000-0000-0000B67D0000}"/>
    <cellStyle name="Percent 2 5 8 2 2" xfId="27541" xr:uid="{00000000-0005-0000-0000-0000B77D0000}"/>
    <cellStyle name="Percent 2 5 8 3" xfId="32633" xr:uid="{00000000-0005-0000-0000-0000B87D0000}"/>
    <cellStyle name="Percent 2 5 9" xfId="8375" xr:uid="{00000000-0005-0000-0000-0000B97D0000}"/>
    <cellStyle name="Percent 2 5 9 2" xfId="15878" xr:uid="{00000000-0005-0000-0000-0000BA7D0000}"/>
    <cellStyle name="Percent 2 5 9 2 2" xfId="29285" xr:uid="{00000000-0005-0000-0000-0000BB7D0000}"/>
    <cellStyle name="Percent 2 5 9 3" xfId="32634" xr:uid="{00000000-0005-0000-0000-0000BC7D0000}"/>
    <cellStyle name="Percent 2 6" xfId="8376" xr:uid="{00000000-0005-0000-0000-0000BD7D0000}"/>
    <cellStyle name="Percent 2 6 10" xfId="10398" xr:uid="{00000000-0005-0000-0000-0000BE7D0000}"/>
    <cellStyle name="Percent 2 6 11" xfId="32635" xr:uid="{00000000-0005-0000-0000-0000BF7D0000}"/>
    <cellStyle name="Percent 2 6 2" xfId="8377" xr:uid="{00000000-0005-0000-0000-0000C07D0000}"/>
    <cellStyle name="Percent 2 6 2 2" xfId="8378" xr:uid="{00000000-0005-0000-0000-0000C17D0000}"/>
    <cellStyle name="Percent 2 6 2 2 2" xfId="8379" xr:uid="{00000000-0005-0000-0000-0000C27D0000}"/>
    <cellStyle name="Percent 2 6 2 2 2 2" xfId="8380" xr:uid="{00000000-0005-0000-0000-0000C37D0000}"/>
    <cellStyle name="Percent 2 6 2 2 2 2 2" xfId="11683" xr:uid="{00000000-0005-0000-0000-0000C47D0000}"/>
    <cellStyle name="Percent 2 6 2 2 2 2 3" xfId="32639" xr:uid="{00000000-0005-0000-0000-0000C57D0000}"/>
    <cellStyle name="Percent 2 6 2 2 2 3" xfId="8381" xr:uid="{00000000-0005-0000-0000-0000C67D0000}"/>
    <cellStyle name="Percent 2 6 2 2 2 3 2" xfId="16997" xr:uid="{00000000-0005-0000-0000-0000C77D0000}"/>
    <cellStyle name="Percent 2 6 2 2 2 3 2 2" xfId="30404" xr:uid="{00000000-0005-0000-0000-0000C87D0000}"/>
    <cellStyle name="Percent 2 6 2 2 2 3 3" xfId="32640" xr:uid="{00000000-0005-0000-0000-0000C97D0000}"/>
    <cellStyle name="Percent 2 6 2 2 2 4" xfId="10401" xr:uid="{00000000-0005-0000-0000-0000CA7D0000}"/>
    <cellStyle name="Percent 2 6 2 2 2 5" xfId="32638" xr:uid="{00000000-0005-0000-0000-0000CB7D0000}"/>
    <cellStyle name="Percent 2 6 2 2 3" xfId="8382" xr:uid="{00000000-0005-0000-0000-0000CC7D0000}"/>
    <cellStyle name="Percent 2 6 2 2 3 2" xfId="8383" xr:uid="{00000000-0005-0000-0000-0000CD7D0000}"/>
    <cellStyle name="Percent 2 6 2 2 3 2 2" xfId="13356" xr:uid="{00000000-0005-0000-0000-0000CE7D0000}"/>
    <cellStyle name="Percent 2 6 2 2 3 2 3" xfId="32642" xr:uid="{00000000-0005-0000-0000-0000CF7D0000}"/>
    <cellStyle name="Percent 2 6 2 2 3 3" xfId="12385" xr:uid="{00000000-0005-0000-0000-0000D07D0000}"/>
    <cellStyle name="Percent 2 6 2 2 3 3 2" xfId="26097" xr:uid="{00000000-0005-0000-0000-0000D17D0000}"/>
    <cellStyle name="Percent 2 6 2 2 3 4" xfId="32641" xr:uid="{00000000-0005-0000-0000-0000D27D0000}"/>
    <cellStyle name="Percent 2 6 2 2 4" xfId="8384" xr:uid="{00000000-0005-0000-0000-0000D37D0000}"/>
    <cellStyle name="Percent 2 6 2 2 4 2" xfId="8385" xr:uid="{00000000-0005-0000-0000-0000D47D0000}"/>
    <cellStyle name="Percent 2 6 2 2 4 2 2" xfId="15786" xr:uid="{00000000-0005-0000-0000-0000D57D0000}"/>
    <cellStyle name="Percent 2 6 2 2 4 2 3" xfId="32644" xr:uid="{00000000-0005-0000-0000-0000D67D0000}"/>
    <cellStyle name="Percent 2 6 2 2 4 3" xfId="13949" xr:uid="{00000000-0005-0000-0000-0000D77D0000}"/>
    <cellStyle name="Percent 2 6 2 2 4 3 2" xfId="27498" xr:uid="{00000000-0005-0000-0000-0000D87D0000}"/>
    <cellStyle name="Percent 2 6 2 2 4 4" xfId="32643" xr:uid="{00000000-0005-0000-0000-0000D97D0000}"/>
    <cellStyle name="Percent 2 6 2 2 5" xfId="8386" xr:uid="{00000000-0005-0000-0000-0000DA7D0000}"/>
    <cellStyle name="Percent 2 6 2 2 5 2" xfId="14530" xr:uid="{00000000-0005-0000-0000-0000DB7D0000}"/>
    <cellStyle name="Percent 2 6 2 2 5 2 2" xfId="28079" xr:uid="{00000000-0005-0000-0000-0000DC7D0000}"/>
    <cellStyle name="Percent 2 6 2 2 5 3" xfId="32645" xr:uid="{00000000-0005-0000-0000-0000DD7D0000}"/>
    <cellStyle name="Percent 2 6 2 2 6" xfId="8387" xr:uid="{00000000-0005-0000-0000-0000DE7D0000}"/>
    <cellStyle name="Percent 2 6 2 2 6 2" xfId="16416" xr:uid="{00000000-0005-0000-0000-0000DF7D0000}"/>
    <cellStyle name="Percent 2 6 2 2 6 2 2" xfId="29823" xr:uid="{00000000-0005-0000-0000-0000E07D0000}"/>
    <cellStyle name="Percent 2 6 2 2 6 3" xfId="32646" xr:uid="{00000000-0005-0000-0000-0000E17D0000}"/>
    <cellStyle name="Percent 2 6 2 2 7" xfId="10400" xr:uid="{00000000-0005-0000-0000-0000E27D0000}"/>
    <cellStyle name="Percent 2 6 2 2 8" xfId="32637" xr:uid="{00000000-0005-0000-0000-0000E37D0000}"/>
    <cellStyle name="Percent 2 6 2 3" xfId="8388" xr:uid="{00000000-0005-0000-0000-0000E47D0000}"/>
    <cellStyle name="Percent 2 6 2 3 2" xfId="8389" xr:uid="{00000000-0005-0000-0000-0000E57D0000}"/>
    <cellStyle name="Percent 2 6 2 3 2 2" xfId="11684" xr:uid="{00000000-0005-0000-0000-0000E67D0000}"/>
    <cellStyle name="Percent 2 6 2 3 2 3" xfId="32648" xr:uid="{00000000-0005-0000-0000-0000E77D0000}"/>
    <cellStyle name="Percent 2 6 2 3 3" xfId="8390" xr:uid="{00000000-0005-0000-0000-0000E87D0000}"/>
    <cellStyle name="Percent 2 6 2 3 3 2" xfId="16708" xr:uid="{00000000-0005-0000-0000-0000E97D0000}"/>
    <cellStyle name="Percent 2 6 2 3 3 2 2" xfId="30115" xr:uid="{00000000-0005-0000-0000-0000EA7D0000}"/>
    <cellStyle name="Percent 2 6 2 3 3 3" xfId="32649" xr:uid="{00000000-0005-0000-0000-0000EB7D0000}"/>
    <cellStyle name="Percent 2 6 2 3 4" xfId="10402" xr:uid="{00000000-0005-0000-0000-0000EC7D0000}"/>
    <cellStyle name="Percent 2 6 2 3 5" xfId="32647" xr:uid="{00000000-0005-0000-0000-0000ED7D0000}"/>
    <cellStyle name="Percent 2 6 2 4" xfId="8391" xr:uid="{00000000-0005-0000-0000-0000EE7D0000}"/>
    <cellStyle name="Percent 2 6 2 4 2" xfId="8392" xr:uid="{00000000-0005-0000-0000-0000EF7D0000}"/>
    <cellStyle name="Percent 2 6 2 4 2 2" xfId="13357" xr:uid="{00000000-0005-0000-0000-0000F07D0000}"/>
    <cellStyle name="Percent 2 6 2 4 2 3" xfId="32651" xr:uid="{00000000-0005-0000-0000-0000F17D0000}"/>
    <cellStyle name="Percent 2 6 2 4 3" xfId="12085" xr:uid="{00000000-0005-0000-0000-0000F27D0000}"/>
    <cellStyle name="Percent 2 6 2 4 3 2" xfId="25800" xr:uid="{00000000-0005-0000-0000-0000F37D0000}"/>
    <cellStyle name="Percent 2 6 2 4 4" xfId="32650" xr:uid="{00000000-0005-0000-0000-0000F47D0000}"/>
    <cellStyle name="Percent 2 6 2 5" xfId="8393" xr:uid="{00000000-0005-0000-0000-0000F57D0000}"/>
    <cellStyle name="Percent 2 6 2 5 2" xfId="8394" xr:uid="{00000000-0005-0000-0000-0000F67D0000}"/>
    <cellStyle name="Percent 2 6 2 5 2 2" xfId="15787" xr:uid="{00000000-0005-0000-0000-0000F77D0000}"/>
    <cellStyle name="Percent 2 6 2 5 2 3" xfId="32653" xr:uid="{00000000-0005-0000-0000-0000F87D0000}"/>
    <cellStyle name="Percent 2 6 2 5 3" xfId="13660" xr:uid="{00000000-0005-0000-0000-0000F97D0000}"/>
    <cellStyle name="Percent 2 6 2 5 3 2" xfId="27209" xr:uid="{00000000-0005-0000-0000-0000FA7D0000}"/>
    <cellStyle name="Percent 2 6 2 5 4" xfId="32652" xr:uid="{00000000-0005-0000-0000-0000FB7D0000}"/>
    <cellStyle name="Percent 2 6 2 6" xfId="8395" xr:uid="{00000000-0005-0000-0000-0000FC7D0000}"/>
    <cellStyle name="Percent 2 6 2 6 2" xfId="14241" xr:uid="{00000000-0005-0000-0000-0000FD7D0000}"/>
    <cellStyle name="Percent 2 6 2 6 2 2" xfId="27790" xr:uid="{00000000-0005-0000-0000-0000FE7D0000}"/>
    <cellStyle name="Percent 2 6 2 6 3" xfId="32654" xr:uid="{00000000-0005-0000-0000-0000FF7D0000}"/>
    <cellStyle name="Percent 2 6 2 7" xfId="8396" xr:uid="{00000000-0005-0000-0000-0000007E0000}"/>
    <cellStyle name="Percent 2 6 2 7 2" xfId="16127" xr:uid="{00000000-0005-0000-0000-0000017E0000}"/>
    <cellStyle name="Percent 2 6 2 7 2 2" xfId="29534" xr:uid="{00000000-0005-0000-0000-0000027E0000}"/>
    <cellStyle name="Percent 2 6 2 7 3" xfId="32655" xr:uid="{00000000-0005-0000-0000-0000037E0000}"/>
    <cellStyle name="Percent 2 6 2 8" xfId="10399" xr:uid="{00000000-0005-0000-0000-0000047E0000}"/>
    <cellStyle name="Percent 2 6 2 9" xfId="32636" xr:uid="{00000000-0005-0000-0000-0000057E0000}"/>
    <cellStyle name="Percent 2 6 3" xfId="8397" xr:uid="{00000000-0005-0000-0000-0000067E0000}"/>
    <cellStyle name="Percent 2 6 3 2" xfId="8398" xr:uid="{00000000-0005-0000-0000-0000077E0000}"/>
    <cellStyle name="Percent 2 6 3 2 2" xfId="8399" xr:uid="{00000000-0005-0000-0000-0000087E0000}"/>
    <cellStyle name="Percent 2 6 3 2 2 2" xfId="11685" xr:uid="{00000000-0005-0000-0000-0000097E0000}"/>
    <cellStyle name="Percent 2 6 3 2 2 3" xfId="32658" xr:uid="{00000000-0005-0000-0000-00000A7E0000}"/>
    <cellStyle name="Percent 2 6 3 2 3" xfId="8400" xr:uid="{00000000-0005-0000-0000-00000B7E0000}"/>
    <cellStyle name="Percent 2 6 3 2 3 2" xfId="16854" xr:uid="{00000000-0005-0000-0000-00000C7E0000}"/>
    <cellStyle name="Percent 2 6 3 2 3 2 2" xfId="30261" xr:uid="{00000000-0005-0000-0000-00000D7E0000}"/>
    <cellStyle name="Percent 2 6 3 2 3 3" xfId="32659" xr:uid="{00000000-0005-0000-0000-00000E7E0000}"/>
    <cellStyle name="Percent 2 6 3 2 4" xfId="10404" xr:uid="{00000000-0005-0000-0000-00000F7E0000}"/>
    <cellStyle name="Percent 2 6 3 2 5" xfId="32657" xr:uid="{00000000-0005-0000-0000-0000107E0000}"/>
    <cellStyle name="Percent 2 6 3 3" xfId="8401" xr:uid="{00000000-0005-0000-0000-0000117E0000}"/>
    <cellStyle name="Percent 2 6 3 3 2" xfId="8402" xr:uid="{00000000-0005-0000-0000-0000127E0000}"/>
    <cellStyle name="Percent 2 6 3 3 2 2" xfId="13358" xr:uid="{00000000-0005-0000-0000-0000137E0000}"/>
    <cellStyle name="Percent 2 6 3 3 2 3" xfId="32661" xr:uid="{00000000-0005-0000-0000-0000147E0000}"/>
    <cellStyle name="Percent 2 6 3 3 3" xfId="12242" xr:uid="{00000000-0005-0000-0000-0000157E0000}"/>
    <cellStyle name="Percent 2 6 3 3 3 2" xfId="25954" xr:uid="{00000000-0005-0000-0000-0000167E0000}"/>
    <cellStyle name="Percent 2 6 3 3 4" xfId="32660" xr:uid="{00000000-0005-0000-0000-0000177E0000}"/>
    <cellStyle name="Percent 2 6 3 4" xfId="8403" xr:uid="{00000000-0005-0000-0000-0000187E0000}"/>
    <cellStyle name="Percent 2 6 3 4 2" xfId="8404" xr:uid="{00000000-0005-0000-0000-0000197E0000}"/>
    <cellStyle name="Percent 2 6 3 4 2 2" xfId="15788" xr:uid="{00000000-0005-0000-0000-00001A7E0000}"/>
    <cellStyle name="Percent 2 6 3 4 2 3" xfId="32663" xr:uid="{00000000-0005-0000-0000-00001B7E0000}"/>
    <cellStyle name="Percent 2 6 3 4 3" xfId="13806" xr:uid="{00000000-0005-0000-0000-00001C7E0000}"/>
    <cellStyle name="Percent 2 6 3 4 3 2" xfId="27355" xr:uid="{00000000-0005-0000-0000-00001D7E0000}"/>
    <cellStyle name="Percent 2 6 3 4 4" xfId="32662" xr:uid="{00000000-0005-0000-0000-00001E7E0000}"/>
    <cellStyle name="Percent 2 6 3 5" xfId="8405" xr:uid="{00000000-0005-0000-0000-00001F7E0000}"/>
    <cellStyle name="Percent 2 6 3 5 2" xfId="14387" xr:uid="{00000000-0005-0000-0000-0000207E0000}"/>
    <cellStyle name="Percent 2 6 3 5 2 2" xfId="27936" xr:uid="{00000000-0005-0000-0000-0000217E0000}"/>
    <cellStyle name="Percent 2 6 3 5 3" xfId="32664" xr:uid="{00000000-0005-0000-0000-0000227E0000}"/>
    <cellStyle name="Percent 2 6 3 6" xfId="8406" xr:uid="{00000000-0005-0000-0000-0000237E0000}"/>
    <cellStyle name="Percent 2 6 3 6 2" xfId="16273" xr:uid="{00000000-0005-0000-0000-0000247E0000}"/>
    <cellStyle name="Percent 2 6 3 6 2 2" xfId="29680" xr:uid="{00000000-0005-0000-0000-0000257E0000}"/>
    <cellStyle name="Percent 2 6 3 6 3" xfId="32665" xr:uid="{00000000-0005-0000-0000-0000267E0000}"/>
    <cellStyle name="Percent 2 6 3 7" xfId="10403" xr:uid="{00000000-0005-0000-0000-0000277E0000}"/>
    <cellStyle name="Percent 2 6 3 8" xfId="32656" xr:uid="{00000000-0005-0000-0000-0000287E0000}"/>
    <cellStyle name="Percent 2 6 4" xfId="8407" xr:uid="{00000000-0005-0000-0000-0000297E0000}"/>
    <cellStyle name="Percent 2 6 4 2" xfId="8408" xr:uid="{00000000-0005-0000-0000-00002A7E0000}"/>
    <cellStyle name="Percent 2 6 4 2 2" xfId="16565" xr:uid="{00000000-0005-0000-0000-00002B7E0000}"/>
    <cellStyle name="Percent 2 6 4 2 2 2" xfId="29972" xr:uid="{00000000-0005-0000-0000-00002C7E0000}"/>
    <cellStyle name="Percent 2 6 4 2 3" xfId="32667" xr:uid="{00000000-0005-0000-0000-00002D7E0000}"/>
    <cellStyle name="Percent 2 6 4 3" xfId="10405" xr:uid="{00000000-0005-0000-0000-00002E7E0000}"/>
    <cellStyle name="Percent 2 6 4 4" xfId="32666" xr:uid="{00000000-0005-0000-0000-00002F7E0000}"/>
    <cellStyle name="Percent 2 6 5" xfId="8409" xr:uid="{00000000-0005-0000-0000-0000307E0000}"/>
    <cellStyle name="Percent 2 6 5 2" xfId="8410" xr:uid="{00000000-0005-0000-0000-0000317E0000}"/>
    <cellStyle name="Percent 2 6 5 2 2" xfId="11686" xr:uid="{00000000-0005-0000-0000-0000327E0000}"/>
    <cellStyle name="Percent 2 6 5 2 3" xfId="32669" xr:uid="{00000000-0005-0000-0000-0000337E0000}"/>
    <cellStyle name="Percent 2 6 5 3" xfId="10406" xr:uid="{00000000-0005-0000-0000-0000347E0000}"/>
    <cellStyle name="Percent 2 6 5 4" xfId="32668" xr:uid="{00000000-0005-0000-0000-0000357E0000}"/>
    <cellStyle name="Percent 2 6 6" xfId="8411" xr:uid="{00000000-0005-0000-0000-0000367E0000}"/>
    <cellStyle name="Percent 2 6 6 2" xfId="8412" xr:uid="{00000000-0005-0000-0000-0000377E0000}"/>
    <cellStyle name="Percent 2 6 6 2 2" xfId="13359" xr:uid="{00000000-0005-0000-0000-0000387E0000}"/>
    <cellStyle name="Percent 2 6 6 2 3" xfId="32671" xr:uid="{00000000-0005-0000-0000-0000397E0000}"/>
    <cellStyle name="Percent 2 6 6 3" xfId="11940" xr:uid="{00000000-0005-0000-0000-00003A7E0000}"/>
    <cellStyle name="Percent 2 6 6 3 2" xfId="25655" xr:uid="{00000000-0005-0000-0000-00003B7E0000}"/>
    <cellStyle name="Percent 2 6 6 4" xfId="32670" xr:uid="{00000000-0005-0000-0000-00003C7E0000}"/>
    <cellStyle name="Percent 2 6 7" xfId="8413" xr:uid="{00000000-0005-0000-0000-00003D7E0000}"/>
    <cellStyle name="Percent 2 6 7 2" xfId="8414" xr:uid="{00000000-0005-0000-0000-00003E7E0000}"/>
    <cellStyle name="Percent 2 6 7 2 2" xfId="15789" xr:uid="{00000000-0005-0000-0000-00003F7E0000}"/>
    <cellStyle name="Percent 2 6 7 2 3" xfId="32673" xr:uid="{00000000-0005-0000-0000-0000407E0000}"/>
    <cellStyle name="Percent 2 6 7 3" xfId="13517" xr:uid="{00000000-0005-0000-0000-0000417E0000}"/>
    <cellStyle name="Percent 2 6 7 3 2" xfId="27066" xr:uid="{00000000-0005-0000-0000-0000427E0000}"/>
    <cellStyle name="Percent 2 6 7 4" xfId="32672" xr:uid="{00000000-0005-0000-0000-0000437E0000}"/>
    <cellStyle name="Percent 2 6 8" xfId="8415" xr:uid="{00000000-0005-0000-0000-0000447E0000}"/>
    <cellStyle name="Percent 2 6 8 2" xfId="14098" xr:uid="{00000000-0005-0000-0000-0000457E0000}"/>
    <cellStyle name="Percent 2 6 8 2 2" xfId="27647" xr:uid="{00000000-0005-0000-0000-0000467E0000}"/>
    <cellStyle name="Percent 2 6 8 3" xfId="32674" xr:uid="{00000000-0005-0000-0000-0000477E0000}"/>
    <cellStyle name="Percent 2 6 9" xfId="8416" xr:uid="{00000000-0005-0000-0000-0000487E0000}"/>
    <cellStyle name="Percent 2 6 9 2" xfId="15984" xr:uid="{00000000-0005-0000-0000-0000497E0000}"/>
    <cellStyle name="Percent 2 6 9 2 2" xfId="29391" xr:uid="{00000000-0005-0000-0000-00004A7E0000}"/>
    <cellStyle name="Percent 2 6 9 3" xfId="32675" xr:uid="{00000000-0005-0000-0000-00004B7E0000}"/>
    <cellStyle name="Percent 2 7" xfId="8417" xr:uid="{00000000-0005-0000-0000-00004C7E0000}"/>
    <cellStyle name="Percent 2 7 2" xfId="8418" xr:uid="{00000000-0005-0000-0000-00004D7E0000}"/>
    <cellStyle name="Percent 2 7 2 2" xfId="8419" xr:uid="{00000000-0005-0000-0000-00004E7E0000}"/>
    <cellStyle name="Percent 2 7 2 2 2" xfId="8420" xr:uid="{00000000-0005-0000-0000-00004F7E0000}"/>
    <cellStyle name="Percent 2 7 2 2 2 2" xfId="11687" xr:uid="{00000000-0005-0000-0000-0000507E0000}"/>
    <cellStyle name="Percent 2 7 2 2 2 3" xfId="32679" xr:uid="{00000000-0005-0000-0000-0000517E0000}"/>
    <cellStyle name="Percent 2 7 2 2 3" xfId="8421" xr:uid="{00000000-0005-0000-0000-0000527E0000}"/>
    <cellStyle name="Percent 2 7 2 2 3 2" xfId="16874" xr:uid="{00000000-0005-0000-0000-0000537E0000}"/>
    <cellStyle name="Percent 2 7 2 2 3 2 2" xfId="30281" xr:uid="{00000000-0005-0000-0000-0000547E0000}"/>
    <cellStyle name="Percent 2 7 2 2 3 3" xfId="32680" xr:uid="{00000000-0005-0000-0000-0000557E0000}"/>
    <cellStyle name="Percent 2 7 2 2 4" xfId="10409" xr:uid="{00000000-0005-0000-0000-0000567E0000}"/>
    <cellStyle name="Percent 2 7 2 2 5" xfId="32678" xr:uid="{00000000-0005-0000-0000-0000577E0000}"/>
    <cellStyle name="Percent 2 7 2 3" xfId="8422" xr:uid="{00000000-0005-0000-0000-0000587E0000}"/>
    <cellStyle name="Percent 2 7 2 3 2" xfId="8423" xr:uid="{00000000-0005-0000-0000-0000597E0000}"/>
    <cellStyle name="Percent 2 7 2 3 2 2" xfId="13360" xr:uid="{00000000-0005-0000-0000-00005A7E0000}"/>
    <cellStyle name="Percent 2 7 2 3 2 3" xfId="32682" xr:uid="{00000000-0005-0000-0000-00005B7E0000}"/>
    <cellStyle name="Percent 2 7 2 3 3" xfId="12262" xr:uid="{00000000-0005-0000-0000-00005C7E0000}"/>
    <cellStyle name="Percent 2 7 2 3 3 2" xfId="25974" xr:uid="{00000000-0005-0000-0000-00005D7E0000}"/>
    <cellStyle name="Percent 2 7 2 3 4" xfId="32681" xr:uid="{00000000-0005-0000-0000-00005E7E0000}"/>
    <cellStyle name="Percent 2 7 2 4" xfId="8424" xr:uid="{00000000-0005-0000-0000-00005F7E0000}"/>
    <cellStyle name="Percent 2 7 2 4 2" xfId="8425" xr:uid="{00000000-0005-0000-0000-0000607E0000}"/>
    <cellStyle name="Percent 2 7 2 4 2 2" xfId="15790" xr:uid="{00000000-0005-0000-0000-0000617E0000}"/>
    <cellStyle name="Percent 2 7 2 4 2 3" xfId="32684" xr:uid="{00000000-0005-0000-0000-0000627E0000}"/>
    <cellStyle name="Percent 2 7 2 4 3" xfId="13826" xr:uid="{00000000-0005-0000-0000-0000637E0000}"/>
    <cellStyle name="Percent 2 7 2 4 3 2" xfId="27375" xr:uid="{00000000-0005-0000-0000-0000647E0000}"/>
    <cellStyle name="Percent 2 7 2 4 4" xfId="32683" xr:uid="{00000000-0005-0000-0000-0000657E0000}"/>
    <cellStyle name="Percent 2 7 2 5" xfId="8426" xr:uid="{00000000-0005-0000-0000-0000667E0000}"/>
    <cellStyle name="Percent 2 7 2 5 2" xfId="14407" xr:uid="{00000000-0005-0000-0000-0000677E0000}"/>
    <cellStyle name="Percent 2 7 2 5 2 2" xfId="27956" xr:uid="{00000000-0005-0000-0000-0000687E0000}"/>
    <cellStyle name="Percent 2 7 2 5 3" xfId="32685" xr:uid="{00000000-0005-0000-0000-0000697E0000}"/>
    <cellStyle name="Percent 2 7 2 6" xfId="8427" xr:uid="{00000000-0005-0000-0000-00006A7E0000}"/>
    <cellStyle name="Percent 2 7 2 6 2" xfId="16293" xr:uid="{00000000-0005-0000-0000-00006B7E0000}"/>
    <cellStyle name="Percent 2 7 2 6 2 2" xfId="29700" xr:uid="{00000000-0005-0000-0000-00006C7E0000}"/>
    <cellStyle name="Percent 2 7 2 6 3" xfId="32686" xr:uid="{00000000-0005-0000-0000-00006D7E0000}"/>
    <cellStyle name="Percent 2 7 2 7" xfId="10408" xr:uid="{00000000-0005-0000-0000-00006E7E0000}"/>
    <cellStyle name="Percent 2 7 2 8" xfId="32677" xr:uid="{00000000-0005-0000-0000-00006F7E0000}"/>
    <cellStyle name="Percent 2 7 3" xfId="8428" xr:uid="{00000000-0005-0000-0000-0000707E0000}"/>
    <cellStyle name="Percent 2 7 3 2" xfId="8429" xr:uid="{00000000-0005-0000-0000-0000717E0000}"/>
    <cellStyle name="Percent 2 7 3 2 2" xfId="11688" xr:uid="{00000000-0005-0000-0000-0000727E0000}"/>
    <cellStyle name="Percent 2 7 3 2 3" xfId="32688" xr:uid="{00000000-0005-0000-0000-0000737E0000}"/>
    <cellStyle name="Percent 2 7 3 3" xfId="8430" xr:uid="{00000000-0005-0000-0000-0000747E0000}"/>
    <cellStyle name="Percent 2 7 3 3 2" xfId="16585" xr:uid="{00000000-0005-0000-0000-0000757E0000}"/>
    <cellStyle name="Percent 2 7 3 3 2 2" xfId="29992" xr:uid="{00000000-0005-0000-0000-0000767E0000}"/>
    <cellStyle name="Percent 2 7 3 3 3" xfId="32689" xr:uid="{00000000-0005-0000-0000-0000777E0000}"/>
    <cellStyle name="Percent 2 7 3 4" xfId="10410" xr:uid="{00000000-0005-0000-0000-0000787E0000}"/>
    <cellStyle name="Percent 2 7 3 5" xfId="32687" xr:uid="{00000000-0005-0000-0000-0000797E0000}"/>
    <cellStyle name="Percent 2 7 4" xfId="8431" xr:uid="{00000000-0005-0000-0000-00007A7E0000}"/>
    <cellStyle name="Percent 2 7 4 2" xfId="8432" xr:uid="{00000000-0005-0000-0000-00007B7E0000}"/>
    <cellStyle name="Percent 2 7 4 2 2" xfId="13361" xr:uid="{00000000-0005-0000-0000-00007C7E0000}"/>
    <cellStyle name="Percent 2 7 4 2 3" xfId="32691" xr:uid="{00000000-0005-0000-0000-00007D7E0000}"/>
    <cellStyle name="Percent 2 7 4 3" xfId="11962" xr:uid="{00000000-0005-0000-0000-00007E7E0000}"/>
    <cellStyle name="Percent 2 7 4 3 2" xfId="25677" xr:uid="{00000000-0005-0000-0000-00007F7E0000}"/>
    <cellStyle name="Percent 2 7 4 4" xfId="32690" xr:uid="{00000000-0005-0000-0000-0000807E0000}"/>
    <cellStyle name="Percent 2 7 5" xfId="8433" xr:uid="{00000000-0005-0000-0000-0000817E0000}"/>
    <cellStyle name="Percent 2 7 5 2" xfId="8434" xr:uid="{00000000-0005-0000-0000-0000827E0000}"/>
    <cellStyle name="Percent 2 7 5 2 2" xfId="15791" xr:uid="{00000000-0005-0000-0000-0000837E0000}"/>
    <cellStyle name="Percent 2 7 5 2 3" xfId="32693" xr:uid="{00000000-0005-0000-0000-0000847E0000}"/>
    <cellStyle name="Percent 2 7 5 3" xfId="13537" xr:uid="{00000000-0005-0000-0000-0000857E0000}"/>
    <cellStyle name="Percent 2 7 5 3 2" xfId="27086" xr:uid="{00000000-0005-0000-0000-0000867E0000}"/>
    <cellStyle name="Percent 2 7 5 4" xfId="32692" xr:uid="{00000000-0005-0000-0000-0000877E0000}"/>
    <cellStyle name="Percent 2 7 6" xfId="8435" xr:uid="{00000000-0005-0000-0000-0000887E0000}"/>
    <cellStyle name="Percent 2 7 6 2" xfId="14118" xr:uid="{00000000-0005-0000-0000-0000897E0000}"/>
    <cellStyle name="Percent 2 7 6 2 2" xfId="27667" xr:uid="{00000000-0005-0000-0000-00008A7E0000}"/>
    <cellStyle name="Percent 2 7 6 3" xfId="32694" xr:uid="{00000000-0005-0000-0000-00008B7E0000}"/>
    <cellStyle name="Percent 2 7 7" xfId="8436" xr:uid="{00000000-0005-0000-0000-00008C7E0000}"/>
    <cellStyle name="Percent 2 7 7 2" xfId="16004" xr:uid="{00000000-0005-0000-0000-00008D7E0000}"/>
    <cellStyle name="Percent 2 7 7 2 2" xfId="29411" xr:uid="{00000000-0005-0000-0000-00008E7E0000}"/>
    <cellStyle name="Percent 2 7 7 3" xfId="32695" xr:uid="{00000000-0005-0000-0000-00008F7E0000}"/>
    <cellStyle name="Percent 2 7 8" xfId="10407" xr:uid="{00000000-0005-0000-0000-0000907E0000}"/>
    <cellStyle name="Percent 2 7 9" xfId="32676" xr:uid="{00000000-0005-0000-0000-0000917E0000}"/>
    <cellStyle name="Percent 2 8" xfId="8437" xr:uid="{00000000-0005-0000-0000-0000927E0000}"/>
    <cellStyle name="Percent 2 8 2" xfId="8438" xr:uid="{00000000-0005-0000-0000-0000937E0000}"/>
    <cellStyle name="Percent 2 8 2 2" xfId="8439" xr:uid="{00000000-0005-0000-0000-0000947E0000}"/>
    <cellStyle name="Percent 2 8 2 2 2" xfId="11689" xr:uid="{00000000-0005-0000-0000-0000957E0000}"/>
    <cellStyle name="Percent 2 8 2 2 3" xfId="32698" xr:uid="{00000000-0005-0000-0000-0000967E0000}"/>
    <cellStyle name="Percent 2 8 2 3" xfId="8440" xr:uid="{00000000-0005-0000-0000-0000977E0000}"/>
    <cellStyle name="Percent 2 8 2 3 2" xfId="16731" xr:uid="{00000000-0005-0000-0000-0000987E0000}"/>
    <cellStyle name="Percent 2 8 2 3 2 2" xfId="30138" xr:uid="{00000000-0005-0000-0000-0000997E0000}"/>
    <cellStyle name="Percent 2 8 2 3 3" xfId="32699" xr:uid="{00000000-0005-0000-0000-00009A7E0000}"/>
    <cellStyle name="Percent 2 8 2 4" xfId="10412" xr:uid="{00000000-0005-0000-0000-00009B7E0000}"/>
    <cellStyle name="Percent 2 8 2 5" xfId="32697" xr:uid="{00000000-0005-0000-0000-00009C7E0000}"/>
    <cellStyle name="Percent 2 8 3" xfId="8441" xr:uid="{00000000-0005-0000-0000-00009D7E0000}"/>
    <cellStyle name="Percent 2 8 3 2" xfId="8442" xr:uid="{00000000-0005-0000-0000-00009E7E0000}"/>
    <cellStyle name="Percent 2 8 3 2 2" xfId="13362" xr:uid="{00000000-0005-0000-0000-00009F7E0000}"/>
    <cellStyle name="Percent 2 8 3 2 3" xfId="32701" xr:uid="{00000000-0005-0000-0000-0000A07E0000}"/>
    <cellStyle name="Percent 2 8 3 3" xfId="12119" xr:uid="{00000000-0005-0000-0000-0000A17E0000}"/>
    <cellStyle name="Percent 2 8 3 3 2" xfId="25831" xr:uid="{00000000-0005-0000-0000-0000A27E0000}"/>
    <cellStyle name="Percent 2 8 3 4" xfId="32700" xr:uid="{00000000-0005-0000-0000-0000A37E0000}"/>
    <cellStyle name="Percent 2 8 4" xfId="8443" xr:uid="{00000000-0005-0000-0000-0000A47E0000}"/>
    <cellStyle name="Percent 2 8 4 2" xfId="8444" xr:uid="{00000000-0005-0000-0000-0000A57E0000}"/>
    <cellStyle name="Percent 2 8 4 2 2" xfId="15792" xr:uid="{00000000-0005-0000-0000-0000A67E0000}"/>
    <cellStyle name="Percent 2 8 4 2 3" xfId="32703" xr:uid="{00000000-0005-0000-0000-0000A77E0000}"/>
    <cellStyle name="Percent 2 8 4 3" xfId="13683" xr:uid="{00000000-0005-0000-0000-0000A87E0000}"/>
    <cellStyle name="Percent 2 8 4 3 2" xfId="27232" xr:uid="{00000000-0005-0000-0000-0000A97E0000}"/>
    <cellStyle name="Percent 2 8 4 4" xfId="32702" xr:uid="{00000000-0005-0000-0000-0000AA7E0000}"/>
    <cellStyle name="Percent 2 8 5" xfId="8445" xr:uid="{00000000-0005-0000-0000-0000AB7E0000}"/>
    <cellStyle name="Percent 2 8 5 2" xfId="14264" xr:uid="{00000000-0005-0000-0000-0000AC7E0000}"/>
    <cellStyle name="Percent 2 8 5 2 2" xfId="27813" xr:uid="{00000000-0005-0000-0000-0000AD7E0000}"/>
    <cellStyle name="Percent 2 8 5 3" xfId="32704" xr:uid="{00000000-0005-0000-0000-0000AE7E0000}"/>
    <cellStyle name="Percent 2 8 6" xfId="8446" xr:uid="{00000000-0005-0000-0000-0000AF7E0000}"/>
    <cellStyle name="Percent 2 8 6 2" xfId="16150" xr:uid="{00000000-0005-0000-0000-0000B07E0000}"/>
    <cellStyle name="Percent 2 8 6 2 2" xfId="29557" xr:uid="{00000000-0005-0000-0000-0000B17E0000}"/>
    <cellStyle name="Percent 2 8 6 3" xfId="32705" xr:uid="{00000000-0005-0000-0000-0000B27E0000}"/>
    <cellStyle name="Percent 2 8 7" xfId="10411" xr:uid="{00000000-0005-0000-0000-0000B37E0000}"/>
    <cellStyle name="Percent 2 8 8" xfId="32696" xr:uid="{00000000-0005-0000-0000-0000B47E0000}"/>
    <cellStyle name="Percent 2 9" xfId="8447" xr:uid="{00000000-0005-0000-0000-0000B57E0000}"/>
    <cellStyle name="Percent 2 9 2" xfId="8448" xr:uid="{00000000-0005-0000-0000-0000B67E0000}"/>
    <cellStyle name="Percent 2 9 2 2" xfId="8449" xr:uid="{00000000-0005-0000-0000-0000B77E0000}"/>
    <cellStyle name="Percent 2 9 2 2 2" xfId="11690" xr:uid="{00000000-0005-0000-0000-0000B87E0000}"/>
    <cellStyle name="Percent 2 9 2 2 3" xfId="32708" xr:uid="{00000000-0005-0000-0000-0000B97E0000}"/>
    <cellStyle name="Percent 2 9 2 3" xfId="8450" xr:uid="{00000000-0005-0000-0000-0000BA7E0000}"/>
    <cellStyle name="Percent 2 9 2 3 2" xfId="16736" xr:uid="{00000000-0005-0000-0000-0000BB7E0000}"/>
    <cellStyle name="Percent 2 9 2 3 2 2" xfId="30143" xr:uid="{00000000-0005-0000-0000-0000BC7E0000}"/>
    <cellStyle name="Percent 2 9 2 3 3" xfId="32709" xr:uid="{00000000-0005-0000-0000-0000BD7E0000}"/>
    <cellStyle name="Percent 2 9 2 4" xfId="10414" xr:uid="{00000000-0005-0000-0000-0000BE7E0000}"/>
    <cellStyle name="Percent 2 9 2 5" xfId="32707" xr:uid="{00000000-0005-0000-0000-0000BF7E0000}"/>
    <cellStyle name="Percent 2 9 3" xfId="8451" xr:uid="{00000000-0005-0000-0000-0000C07E0000}"/>
    <cellStyle name="Percent 2 9 3 2" xfId="8452" xr:uid="{00000000-0005-0000-0000-0000C17E0000}"/>
    <cellStyle name="Percent 2 9 3 2 2" xfId="13363" xr:uid="{00000000-0005-0000-0000-0000C27E0000}"/>
    <cellStyle name="Percent 2 9 3 2 3" xfId="32711" xr:uid="{00000000-0005-0000-0000-0000C37E0000}"/>
    <cellStyle name="Percent 2 9 3 3" xfId="12124" xr:uid="{00000000-0005-0000-0000-0000C47E0000}"/>
    <cellStyle name="Percent 2 9 3 3 2" xfId="25836" xr:uid="{00000000-0005-0000-0000-0000C57E0000}"/>
    <cellStyle name="Percent 2 9 3 4" xfId="32710" xr:uid="{00000000-0005-0000-0000-0000C67E0000}"/>
    <cellStyle name="Percent 2 9 4" xfId="8453" xr:uid="{00000000-0005-0000-0000-0000C77E0000}"/>
    <cellStyle name="Percent 2 9 4 2" xfId="8454" xr:uid="{00000000-0005-0000-0000-0000C87E0000}"/>
    <cellStyle name="Percent 2 9 4 2 2" xfId="15793" xr:uid="{00000000-0005-0000-0000-0000C97E0000}"/>
    <cellStyle name="Percent 2 9 4 2 3" xfId="32713" xr:uid="{00000000-0005-0000-0000-0000CA7E0000}"/>
    <cellStyle name="Percent 2 9 4 3" xfId="13688" xr:uid="{00000000-0005-0000-0000-0000CB7E0000}"/>
    <cellStyle name="Percent 2 9 4 3 2" xfId="27237" xr:uid="{00000000-0005-0000-0000-0000CC7E0000}"/>
    <cellStyle name="Percent 2 9 4 4" xfId="32712" xr:uid="{00000000-0005-0000-0000-0000CD7E0000}"/>
    <cellStyle name="Percent 2 9 5" xfId="8455" xr:uid="{00000000-0005-0000-0000-0000CE7E0000}"/>
    <cellStyle name="Percent 2 9 5 2" xfId="14269" xr:uid="{00000000-0005-0000-0000-0000CF7E0000}"/>
    <cellStyle name="Percent 2 9 5 2 2" xfId="27818" xr:uid="{00000000-0005-0000-0000-0000D07E0000}"/>
    <cellStyle name="Percent 2 9 5 3" xfId="32714" xr:uid="{00000000-0005-0000-0000-0000D17E0000}"/>
    <cellStyle name="Percent 2 9 6" xfId="8456" xr:uid="{00000000-0005-0000-0000-0000D27E0000}"/>
    <cellStyle name="Percent 2 9 6 2" xfId="16155" xr:uid="{00000000-0005-0000-0000-0000D37E0000}"/>
    <cellStyle name="Percent 2 9 6 2 2" xfId="29562" xr:uid="{00000000-0005-0000-0000-0000D47E0000}"/>
    <cellStyle name="Percent 2 9 6 3" xfId="32715" xr:uid="{00000000-0005-0000-0000-0000D57E0000}"/>
    <cellStyle name="Percent 2 9 7" xfId="10413" xr:uid="{00000000-0005-0000-0000-0000D67E0000}"/>
    <cellStyle name="Percent 2 9 8" xfId="32706" xr:uid="{00000000-0005-0000-0000-0000D77E0000}"/>
    <cellStyle name="Percent 3" xfId="8457" xr:uid="{00000000-0005-0000-0000-0000D87E0000}"/>
    <cellStyle name="Percent 3 2" xfId="8458" xr:uid="{00000000-0005-0000-0000-0000D97E0000}"/>
    <cellStyle name="Percent 3 2 2" xfId="8719" xr:uid="{00000000-0005-0000-0000-0000DA7E0000}"/>
    <cellStyle name="Percent 3 2 3" xfId="32717" xr:uid="{00000000-0005-0000-0000-0000DB7E0000}"/>
    <cellStyle name="Percent 3 2 4" xfId="32914" xr:uid="{00000000-0005-0000-0000-0000DC7E0000}"/>
    <cellStyle name="Percent 3 3" xfId="8459" xr:uid="{00000000-0005-0000-0000-0000DD7E0000}"/>
    <cellStyle name="Percent 3 3 2" xfId="8460" xr:uid="{00000000-0005-0000-0000-0000DE7E0000}"/>
    <cellStyle name="Percent 3 3 2 2" xfId="17352" xr:uid="{00000000-0005-0000-0000-0000DF7E0000}"/>
    <cellStyle name="Percent 3 3 2 3" xfId="32719" xr:uid="{00000000-0005-0000-0000-0000E07E0000}"/>
    <cellStyle name="Percent 3 3 3" xfId="8749" xr:uid="{00000000-0005-0000-0000-0000E17E0000}"/>
    <cellStyle name="Percent 3 3 4" xfId="10416" xr:uid="{00000000-0005-0000-0000-0000E27E0000}"/>
    <cellStyle name="Percent 3 3 5" xfId="32718" xr:uid="{00000000-0005-0000-0000-0000E37E0000}"/>
    <cellStyle name="Percent 3 4" xfId="8657" xr:uid="{00000000-0005-0000-0000-0000E47E0000}"/>
    <cellStyle name="Percent 3 4 2" xfId="10415" xr:uid="{00000000-0005-0000-0000-0000E57E0000}"/>
    <cellStyle name="Percent 3 5" xfId="32716" xr:uid="{00000000-0005-0000-0000-0000E67E0000}"/>
    <cellStyle name="Percent 3 6" xfId="32913" xr:uid="{00000000-0005-0000-0000-0000E77E0000}"/>
    <cellStyle name="Percent 3 7" xfId="33096" xr:uid="{00000000-0005-0000-0000-0000E87E0000}"/>
    <cellStyle name="Percent 4" xfId="8461" xr:uid="{00000000-0005-0000-0000-0000E97E0000}"/>
    <cellStyle name="Percent 4 2" xfId="8462" xr:uid="{00000000-0005-0000-0000-0000EA7E0000}"/>
    <cellStyle name="Percent 4 2 2" xfId="10418" xr:uid="{00000000-0005-0000-0000-0000EB7E0000}"/>
    <cellStyle name="Percent 4 2 3" xfId="32721" xr:uid="{00000000-0005-0000-0000-0000EC7E0000}"/>
    <cellStyle name="Percent 4 3" xfId="8463" xr:uid="{00000000-0005-0000-0000-0000ED7E0000}"/>
    <cellStyle name="Percent 4 3 2" xfId="13364" xr:uid="{00000000-0005-0000-0000-0000EE7E0000}"/>
    <cellStyle name="Percent 4 3 3" xfId="32722" xr:uid="{00000000-0005-0000-0000-0000EF7E0000}"/>
    <cellStyle name="Percent 4 4" xfId="8464" xr:uid="{00000000-0005-0000-0000-0000F07E0000}"/>
    <cellStyle name="Percent 4 4 2" xfId="10417" xr:uid="{00000000-0005-0000-0000-0000F17E0000}"/>
    <cellStyle name="Percent 4 4 3" xfId="32723" xr:uid="{00000000-0005-0000-0000-0000F27E0000}"/>
    <cellStyle name="Percent 4 5" xfId="8674" xr:uid="{00000000-0005-0000-0000-0000F37E0000}"/>
    <cellStyle name="Percent 4 6" xfId="32720" xr:uid="{00000000-0005-0000-0000-0000F47E0000}"/>
    <cellStyle name="Percent 4 7" xfId="32915" xr:uid="{00000000-0005-0000-0000-0000F57E0000}"/>
    <cellStyle name="Percent 5" xfId="8465" xr:uid="{00000000-0005-0000-0000-0000F67E0000}"/>
    <cellStyle name="Percent 5 2" xfId="8466" xr:uid="{00000000-0005-0000-0000-0000F77E0000}"/>
    <cellStyle name="Percent 5 2 2" xfId="17353" xr:uid="{00000000-0005-0000-0000-0000F87E0000}"/>
    <cellStyle name="Percent 5 2 3" xfId="32725" xr:uid="{00000000-0005-0000-0000-0000F97E0000}"/>
    <cellStyle name="Percent 5 2 4" xfId="32945" xr:uid="{00000000-0005-0000-0000-0000FA7E0000}"/>
    <cellStyle name="Percent 5 2 5" xfId="33003" xr:uid="{00000000-0005-0000-0000-0000FB7E0000}"/>
    <cellStyle name="Percent 5 3" xfId="8750" xr:uid="{00000000-0005-0000-0000-0000FC7E0000}"/>
    <cellStyle name="Percent 5 4" xfId="32724" xr:uid="{00000000-0005-0000-0000-0000FD7E0000}"/>
    <cellStyle name="Percent 5 5" xfId="32916" xr:uid="{00000000-0005-0000-0000-0000FE7E0000}"/>
    <cellStyle name="Percent 5 6" xfId="32976" xr:uid="{00000000-0005-0000-0000-0000FF7E0000}"/>
    <cellStyle name="Percent 6" xfId="8467" xr:uid="{00000000-0005-0000-0000-0000007F0000}"/>
    <cellStyle name="Percent 6 10" xfId="8751" xr:uid="{00000000-0005-0000-0000-0000017F0000}"/>
    <cellStyle name="Percent 6 11" xfId="10419" xr:uid="{00000000-0005-0000-0000-0000027F0000}"/>
    <cellStyle name="Percent 6 12" xfId="32726" xr:uid="{00000000-0005-0000-0000-0000037F0000}"/>
    <cellStyle name="Percent 6 2" xfId="8468" xr:uid="{00000000-0005-0000-0000-0000047F0000}"/>
    <cellStyle name="Percent 6 2 2" xfId="8469" xr:uid="{00000000-0005-0000-0000-0000057F0000}"/>
    <cellStyle name="Percent 6 2 2 2" xfId="8470" xr:uid="{00000000-0005-0000-0000-0000067F0000}"/>
    <cellStyle name="Percent 6 2 2 2 2" xfId="8471" xr:uid="{00000000-0005-0000-0000-0000077F0000}"/>
    <cellStyle name="Percent 6 2 2 2 2 2" xfId="11695" xr:uid="{00000000-0005-0000-0000-0000087F0000}"/>
    <cellStyle name="Percent 6 2 2 2 2 3" xfId="32730" xr:uid="{00000000-0005-0000-0000-0000097F0000}"/>
    <cellStyle name="Percent 6 2 2 2 3" xfId="8472" xr:uid="{00000000-0005-0000-0000-00000A7F0000}"/>
    <cellStyle name="Percent 6 2 2 2 3 2" xfId="16937" xr:uid="{00000000-0005-0000-0000-00000B7F0000}"/>
    <cellStyle name="Percent 6 2 2 2 3 2 2" xfId="30344" xr:uid="{00000000-0005-0000-0000-00000C7F0000}"/>
    <cellStyle name="Percent 6 2 2 2 3 3" xfId="32731" xr:uid="{00000000-0005-0000-0000-00000D7F0000}"/>
    <cellStyle name="Percent 6 2 2 2 4" xfId="10422" xr:uid="{00000000-0005-0000-0000-00000E7F0000}"/>
    <cellStyle name="Percent 6 2 2 2 5" xfId="32729" xr:uid="{00000000-0005-0000-0000-00000F7F0000}"/>
    <cellStyle name="Percent 6 2 2 3" xfId="8473" xr:uid="{00000000-0005-0000-0000-0000107F0000}"/>
    <cellStyle name="Percent 6 2 2 3 2" xfId="8474" xr:uid="{00000000-0005-0000-0000-0000117F0000}"/>
    <cellStyle name="Percent 6 2 2 3 2 2" xfId="13365" xr:uid="{00000000-0005-0000-0000-0000127F0000}"/>
    <cellStyle name="Percent 6 2 2 3 2 3" xfId="32733" xr:uid="{00000000-0005-0000-0000-0000137F0000}"/>
    <cellStyle name="Percent 6 2 2 3 3" xfId="12325" xr:uid="{00000000-0005-0000-0000-0000147F0000}"/>
    <cellStyle name="Percent 6 2 2 3 3 2" xfId="26037" xr:uid="{00000000-0005-0000-0000-0000157F0000}"/>
    <cellStyle name="Percent 6 2 2 3 4" xfId="32732" xr:uid="{00000000-0005-0000-0000-0000167F0000}"/>
    <cellStyle name="Percent 6 2 2 4" xfId="8475" xr:uid="{00000000-0005-0000-0000-0000177F0000}"/>
    <cellStyle name="Percent 6 2 2 4 2" xfId="8476" xr:uid="{00000000-0005-0000-0000-0000187F0000}"/>
    <cellStyle name="Percent 6 2 2 4 2 2" xfId="15794" xr:uid="{00000000-0005-0000-0000-0000197F0000}"/>
    <cellStyle name="Percent 6 2 2 4 2 3" xfId="32735" xr:uid="{00000000-0005-0000-0000-00001A7F0000}"/>
    <cellStyle name="Percent 6 2 2 4 3" xfId="13889" xr:uid="{00000000-0005-0000-0000-00001B7F0000}"/>
    <cellStyle name="Percent 6 2 2 4 3 2" xfId="27438" xr:uid="{00000000-0005-0000-0000-00001C7F0000}"/>
    <cellStyle name="Percent 6 2 2 4 4" xfId="32734" xr:uid="{00000000-0005-0000-0000-00001D7F0000}"/>
    <cellStyle name="Percent 6 2 2 5" xfId="8477" xr:uid="{00000000-0005-0000-0000-00001E7F0000}"/>
    <cellStyle name="Percent 6 2 2 5 2" xfId="14470" xr:uid="{00000000-0005-0000-0000-00001F7F0000}"/>
    <cellStyle name="Percent 6 2 2 5 2 2" xfId="28019" xr:uid="{00000000-0005-0000-0000-0000207F0000}"/>
    <cellStyle name="Percent 6 2 2 5 3" xfId="32736" xr:uid="{00000000-0005-0000-0000-0000217F0000}"/>
    <cellStyle name="Percent 6 2 2 6" xfId="8478" xr:uid="{00000000-0005-0000-0000-0000227F0000}"/>
    <cellStyle name="Percent 6 2 2 6 2" xfId="16356" xr:uid="{00000000-0005-0000-0000-0000237F0000}"/>
    <cellStyle name="Percent 6 2 2 6 2 2" xfId="29763" xr:uid="{00000000-0005-0000-0000-0000247F0000}"/>
    <cellStyle name="Percent 6 2 2 6 3" xfId="32737" xr:uid="{00000000-0005-0000-0000-0000257F0000}"/>
    <cellStyle name="Percent 6 2 2 7" xfId="10421" xr:uid="{00000000-0005-0000-0000-0000267F0000}"/>
    <cellStyle name="Percent 6 2 2 8" xfId="32728" xr:uid="{00000000-0005-0000-0000-0000277F0000}"/>
    <cellStyle name="Percent 6 2 3" xfId="8479" xr:uid="{00000000-0005-0000-0000-0000287F0000}"/>
    <cellStyle name="Percent 6 2 3 2" xfId="8480" xr:uid="{00000000-0005-0000-0000-0000297F0000}"/>
    <cellStyle name="Percent 6 2 3 2 2" xfId="11696" xr:uid="{00000000-0005-0000-0000-00002A7F0000}"/>
    <cellStyle name="Percent 6 2 3 2 3" xfId="32739" xr:uid="{00000000-0005-0000-0000-00002B7F0000}"/>
    <cellStyle name="Percent 6 2 3 3" xfId="8481" xr:uid="{00000000-0005-0000-0000-00002C7F0000}"/>
    <cellStyle name="Percent 6 2 3 3 2" xfId="16648" xr:uid="{00000000-0005-0000-0000-00002D7F0000}"/>
    <cellStyle name="Percent 6 2 3 3 2 2" xfId="30055" xr:uid="{00000000-0005-0000-0000-00002E7F0000}"/>
    <cellStyle name="Percent 6 2 3 3 3" xfId="32740" xr:uid="{00000000-0005-0000-0000-00002F7F0000}"/>
    <cellStyle name="Percent 6 2 3 4" xfId="10423" xr:uid="{00000000-0005-0000-0000-0000307F0000}"/>
    <cellStyle name="Percent 6 2 3 5" xfId="32738" xr:uid="{00000000-0005-0000-0000-0000317F0000}"/>
    <cellStyle name="Percent 6 2 4" xfId="8482" xr:uid="{00000000-0005-0000-0000-0000327F0000}"/>
    <cellStyle name="Percent 6 2 4 2" xfId="8483" xr:uid="{00000000-0005-0000-0000-0000337F0000}"/>
    <cellStyle name="Percent 6 2 4 2 2" xfId="13366" xr:uid="{00000000-0005-0000-0000-0000347F0000}"/>
    <cellStyle name="Percent 6 2 4 2 3" xfId="32742" xr:uid="{00000000-0005-0000-0000-0000357F0000}"/>
    <cellStyle name="Percent 6 2 4 3" xfId="12025" xr:uid="{00000000-0005-0000-0000-0000367F0000}"/>
    <cellStyle name="Percent 6 2 4 3 2" xfId="25740" xr:uid="{00000000-0005-0000-0000-0000377F0000}"/>
    <cellStyle name="Percent 6 2 4 4" xfId="32741" xr:uid="{00000000-0005-0000-0000-0000387F0000}"/>
    <cellStyle name="Percent 6 2 5" xfId="8484" xr:uid="{00000000-0005-0000-0000-0000397F0000}"/>
    <cellStyle name="Percent 6 2 5 2" xfId="8485" xr:uid="{00000000-0005-0000-0000-00003A7F0000}"/>
    <cellStyle name="Percent 6 2 5 2 2" xfId="15795" xr:uid="{00000000-0005-0000-0000-00003B7F0000}"/>
    <cellStyle name="Percent 6 2 5 2 3" xfId="32744" xr:uid="{00000000-0005-0000-0000-00003C7F0000}"/>
    <cellStyle name="Percent 6 2 5 3" xfId="13600" xr:uid="{00000000-0005-0000-0000-00003D7F0000}"/>
    <cellStyle name="Percent 6 2 5 3 2" xfId="27149" xr:uid="{00000000-0005-0000-0000-00003E7F0000}"/>
    <cellStyle name="Percent 6 2 5 4" xfId="32743" xr:uid="{00000000-0005-0000-0000-00003F7F0000}"/>
    <cellStyle name="Percent 6 2 6" xfId="8486" xr:uid="{00000000-0005-0000-0000-0000407F0000}"/>
    <cellStyle name="Percent 6 2 6 2" xfId="14181" xr:uid="{00000000-0005-0000-0000-0000417F0000}"/>
    <cellStyle name="Percent 6 2 6 2 2" xfId="27730" xr:uid="{00000000-0005-0000-0000-0000427F0000}"/>
    <cellStyle name="Percent 6 2 6 3" xfId="32745" xr:uid="{00000000-0005-0000-0000-0000437F0000}"/>
    <cellStyle name="Percent 6 2 7" xfId="8487" xr:uid="{00000000-0005-0000-0000-0000447F0000}"/>
    <cellStyle name="Percent 6 2 7 2" xfId="16067" xr:uid="{00000000-0005-0000-0000-0000457F0000}"/>
    <cellStyle name="Percent 6 2 7 2 2" xfId="29474" xr:uid="{00000000-0005-0000-0000-0000467F0000}"/>
    <cellStyle name="Percent 6 2 7 3" xfId="32746" xr:uid="{00000000-0005-0000-0000-0000477F0000}"/>
    <cellStyle name="Percent 6 2 8" xfId="10420" xr:uid="{00000000-0005-0000-0000-0000487F0000}"/>
    <cellStyle name="Percent 6 2 9" xfId="32727" xr:uid="{00000000-0005-0000-0000-0000497F0000}"/>
    <cellStyle name="Percent 6 3" xfId="8488" xr:uid="{00000000-0005-0000-0000-00004A7F0000}"/>
    <cellStyle name="Percent 6 3 2" xfId="8489" xr:uid="{00000000-0005-0000-0000-00004B7F0000}"/>
    <cellStyle name="Percent 6 3 2 2" xfId="8490" xr:uid="{00000000-0005-0000-0000-00004C7F0000}"/>
    <cellStyle name="Percent 6 3 2 2 2" xfId="11697" xr:uid="{00000000-0005-0000-0000-00004D7F0000}"/>
    <cellStyle name="Percent 6 3 2 2 3" xfId="32749" xr:uid="{00000000-0005-0000-0000-00004E7F0000}"/>
    <cellStyle name="Percent 6 3 2 3" xfId="8491" xr:uid="{00000000-0005-0000-0000-00004F7F0000}"/>
    <cellStyle name="Percent 6 3 2 3 2" xfId="16794" xr:uid="{00000000-0005-0000-0000-0000507F0000}"/>
    <cellStyle name="Percent 6 3 2 3 2 2" xfId="30201" xr:uid="{00000000-0005-0000-0000-0000517F0000}"/>
    <cellStyle name="Percent 6 3 2 3 3" xfId="32750" xr:uid="{00000000-0005-0000-0000-0000527F0000}"/>
    <cellStyle name="Percent 6 3 2 4" xfId="10425" xr:uid="{00000000-0005-0000-0000-0000537F0000}"/>
    <cellStyle name="Percent 6 3 2 5" xfId="32748" xr:uid="{00000000-0005-0000-0000-0000547F0000}"/>
    <cellStyle name="Percent 6 3 3" xfId="8492" xr:uid="{00000000-0005-0000-0000-0000557F0000}"/>
    <cellStyle name="Percent 6 3 3 2" xfId="8493" xr:uid="{00000000-0005-0000-0000-0000567F0000}"/>
    <cellStyle name="Percent 6 3 3 2 2" xfId="13367" xr:uid="{00000000-0005-0000-0000-0000577F0000}"/>
    <cellStyle name="Percent 6 3 3 2 3" xfId="32752" xr:uid="{00000000-0005-0000-0000-0000587F0000}"/>
    <cellStyle name="Percent 6 3 3 3" xfId="12182" xr:uid="{00000000-0005-0000-0000-0000597F0000}"/>
    <cellStyle name="Percent 6 3 3 3 2" xfId="25894" xr:uid="{00000000-0005-0000-0000-00005A7F0000}"/>
    <cellStyle name="Percent 6 3 3 4" xfId="32751" xr:uid="{00000000-0005-0000-0000-00005B7F0000}"/>
    <cellStyle name="Percent 6 3 4" xfId="8494" xr:uid="{00000000-0005-0000-0000-00005C7F0000}"/>
    <cellStyle name="Percent 6 3 4 2" xfId="8495" xr:uid="{00000000-0005-0000-0000-00005D7F0000}"/>
    <cellStyle name="Percent 6 3 4 2 2" xfId="15796" xr:uid="{00000000-0005-0000-0000-00005E7F0000}"/>
    <cellStyle name="Percent 6 3 4 2 3" xfId="32754" xr:uid="{00000000-0005-0000-0000-00005F7F0000}"/>
    <cellStyle name="Percent 6 3 4 3" xfId="13746" xr:uid="{00000000-0005-0000-0000-0000607F0000}"/>
    <cellStyle name="Percent 6 3 4 3 2" xfId="27295" xr:uid="{00000000-0005-0000-0000-0000617F0000}"/>
    <cellStyle name="Percent 6 3 4 4" xfId="32753" xr:uid="{00000000-0005-0000-0000-0000627F0000}"/>
    <cellStyle name="Percent 6 3 5" xfId="8496" xr:uid="{00000000-0005-0000-0000-0000637F0000}"/>
    <cellStyle name="Percent 6 3 5 2" xfId="14327" xr:uid="{00000000-0005-0000-0000-0000647F0000}"/>
    <cellStyle name="Percent 6 3 5 2 2" xfId="27876" xr:uid="{00000000-0005-0000-0000-0000657F0000}"/>
    <cellStyle name="Percent 6 3 5 3" xfId="32755" xr:uid="{00000000-0005-0000-0000-0000667F0000}"/>
    <cellStyle name="Percent 6 3 6" xfId="8497" xr:uid="{00000000-0005-0000-0000-0000677F0000}"/>
    <cellStyle name="Percent 6 3 6 2" xfId="16213" xr:uid="{00000000-0005-0000-0000-0000687F0000}"/>
    <cellStyle name="Percent 6 3 6 2 2" xfId="29620" xr:uid="{00000000-0005-0000-0000-0000697F0000}"/>
    <cellStyle name="Percent 6 3 6 3" xfId="32756" xr:uid="{00000000-0005-0000-0000-00006A7F0000}"/>
    <cellStyle name="Percent 6 3 7" xfId="10424" xr:uid="{00000000-0005-0000-0000-00006B7F0000}"/>
    <cellStyle name="Percent 6 3 8" xfId="32747" xr:uid="{00000000-0005-0000-0000-00006C7F0000}"/>
    <cellStyle name="Percent 6 4" xfId="8498" xr:uid="{00000000-0005-0000-0000-00006D7F0000}"/>
    <cellStyle name="Percent 6 4 2" xfId="8499" xr:uid="{00000000-0005-0000-0000-00006E7F0000}"/>
    <cellStyle name="Percent 6 4 2 2" xfId="11698" xr:uid="{00000000-0005-0000-0000-00006F7F0000}"/>
    <cellStyle name="Percent 6 4 2 3" xfId="32758" xr:uid="{00000000-0005-0000-0000-0000707F0000}"/>
    <cellStyle name="Percent 6 4 3" xfId="8500" xr:uid="{00000000-0005-0000-0000-0000717F0000}"/>
    <cellStyle name="Percent 6 4 3 2" xfId="17141" xr:uid="{00000000-0005-0000-0000-0000727F0000}"/>
    <cellStyle name="Percent 6 4 3 2 2" xfId="30500" xr:uid="{00000000-0005-0000-0000-0000737F0000}"/>
    <cellStyle name="Percent 6 4 3 3" xfId="32759" xr:uid="{00000000-0005-0000-0000-0000747F0000}"/>
    <cellStyle name="Percent 6 4 4" xfId="10426" xr:uid="{00000000-0005-0000-0000-0000757F0000}"/>
    <cellStyle name="Percent 6 4 5" xfId="32757" xr:uid="{00000000-0005-0000-0000-0000767F0000}"/>
    <cellStyle name="Percent 6 5" xfId="8501" xr:uid="{00000000-0005-0000-0000-0000777F0000}"/>
    <cellStyle name="Percent 6 5 2" xfId="8502" xr:uid="{00000000-0005-0000-0000-0000787F0000}"/>
    <cellStyle name="Percent 6 5 2 2" xfId="13368" xr:uid="{00000000-0005-0000-0000-0000797F0000}"/>
    <cellStyle name="Percent 6 5 2 3" xfId="32761" xr:uid="{00000000-0005-0000-0000-00007A7F0000}"/>
    <cellStyle name="Percent 6 5 3" xfId="8503" xr:uid="{00000000-0005-0000-0000-00007B7F0000}"/>
    <cellStyle name="Percent 6 5 3 2" xfId="17230" xr:uid="{00000000-0005-0000-0000-00007C7F0000}"/>
    <cellStyle name="Percent 6 5 3 2 2" xfId="30589" xr:uid="{00000000-0005-0000-0000-00007D7F0000}"/>
    <cellStyle name="Percent 6 5 3 3" xfId="32762" xr:uid="{00000000-0005-0000-0000-00007E7F0000}"/>
    <cellStyle name="Percent 6 5 4" xfId="11877" xr:uid="{00000000-0005-0000-0000-00007F7F0000}"/>
    <cellStyle name="Percent 6 5 4 2" xfId="25592" xr:uid="{00000000-0005-0000-0000-0000807F0000}"/>
    <cellStyle name="Percent 6 5 5" xfId="32760" xr:uid="{00000000-0005-0000-0000-0000817F0000}"/>
    <cellStyle name="Percent 6 6" xfId="8504" xr:uid="{00000000-0005-0000-0000-0000827F0000}"/>
    <cellStyle name="Percent 6 6 2" xfId="8505" xr:uid="{00000000-0005-0000-0000-0000837F0000}"/>
    <cellStyle name="Percent 6 6 2 2" xfId="15797" xr:uid="{00000000-0005-0000-0000-0000847F0000}"/>
    <cellStyle name="Percent 6 6 2 3" xfId="32764" xr:uid="{00000000-0005-0000-0000-0000857F0000}"/>
    <cellStyle name="Percent 6 6 3" xfId="8506" xr:uid="{00000000-0005-0000-0000-0000867F0000}"/>
    <cellStyle name="Percent 6 6 3 2" xfId="16505" xr:uid="{00000000-0005-0000-0000-0000877F0000}"/>
    <cellStyle name="Percent 6 6 3 2 2" xfId="29912" xr:uid="{00000000-0005-0000-0000-0000887F0000}"/>
    <cellStyle name="Percent 6 6 3 3" xfId="32765" xr:uid="{00000000-0005-0000-0000-0000897F0000}"/>
    <cellStyle name="Percent 6 6 4" xfId="13457" xr:uid="{00000000-0005-0000-0000-00008A7F0000}"/>
    <cellStyle name="Percent 6 6 4 2" xfId="27006" xr:uid="{00000000-0005-0000-0000-00008B7F0000}"/>
    <cellStyle name="Percent 6 6 5" xfId="32763" xr:uid="{00000000-0005-0000-0000-00008C7F0000}"/>
    <cellStyle name="Percent 6 7" xfId="8507" xr:uid="{00000000-0005-0000-0000-00008D7F0000}"/>
    <cellStyle name="Percent 6 7 2" xfId="14038" xr:uid="{00000000-0005-0000-0000-00008E7F0000}"/>
    <cellStyle name="Percent 6 7 2 2" xfId="27587" xr:uid="{00000000-0005-0000-0000-00008F7F0000}"/>
    <cellStyle name="Percent 6 7 3" xfId="32766" xr:uid="{00000000-0005-0000-0000-0000907F0000}"/>
    <cellStyle name="Percent 6 8" xfId="8508" xr:uid="{00000000-0005-0000-0000-0000917F0000}"/>
    <cellStyle name="Percent 6 8 2" xfId="15924" xr:uid="{00000000-0005-0000-0000-0000927F0000}"/>
    <cellStyle name="Percent 6 8 2 2" xfId="29331" xr:uid="{00000000-0005-0000-0000-0000937F0000}"/>
    <cellStyle name="Percent 6 8 3" xfId="32767" xr:uid="{00000000-0005-0000-0000-0000947F0000}"/>
    <cellStyle name="Percent 6 9" xfId="8509" xr:uid="{00000000-0005-0000-0000-0000957F0000}"/>
    <cellStyle name="Percent 6 9 2" xfId="17354" xr:uid="{00000000-0005-0000-0000-0000967F0000}"/>
    <cellStyle name="Percent 6 9 3" xfId="32768" xr:uid="{00000000-0005-0000-0000-0000977F0000}"/>
    <cellStyle name="Percent 7" xfId="8510" xr:uid="{00000000-0005-0000-0000-0000987F0000}"/>
    <cellStyle name="Percent 7 2" xfId="10427" xr:uid="{00000000-0005-0000-0000-0000997F0000}"/>
    <cellStyle name="Percent 7 3" xfId="32769" xr:uid="{00000000-0005-0000-0000-00009A7F0000}"/>
    <cellStyle name="Percent 8" xfId="8511" xr:uid="{00000000-0005-0000-0000-00009B7F0000}"/>
    <cellStyle name="Percent 8 2" xfId="8512" xr:uid="{00000000-0005-0000-0000-00009C7F0000}"/>
    <cellStyle name="Percent 8 2 2" xfId="10429" xr:uid="{00000000-0005-0000-0000-00009D7F0000}"/>
    <cellStyle name="Percent 8 2 3" xfId="32771" xr:uid="{00000000-0005-0000-0000-00009E7F0000}"/>
    <cellStyle name="Percent 8 3" xfId="8513" xr:uid="{00000000-0005-0000-0000-00009F7F0000}"/>
    <cellStyle name="Percent 8 3 2" xfId="13369" xr:uid="{00000000-0005-0000-0000-0000A07F0000}"/>
    <cellStyle name="Percent 8 3 3" xfId="32772" xr:uid="{00000000-0005-0000-0000-0000A17F0000}"/>
    <cellStyle name="Percent 8 4" xfId="10428" xr:uid="{00000000-0005-0000-0000-0000A27F0000}"/>
    <cellStyle name="Percent 8 5" xfId="32770" xr:uid="{00000000-0005-0000-0000-0000A37F0000}"/>
    <cellStyle name="Percent 9" xfId="8514" xr:uid="{00000000-0005-0000-0000-0000A47F0000}"/>
    <cellStyle name="Percent 9 2" xfId="8515" xr:uid="{00000000-0005-0000-0000-0000A57F0000}"/>
    <cellStyle name="Percent 9 2 2" xfId="13371" xr:uid="{00000000-0005-0000-0000-0000A67F0000}"/>
    <cellStyle name="Percent 9 2 3" xfId="32774" xr:uid="{00000000-0005-0000-0000-0000A77F0000}"/>
    <cellStyle name="Percent 9 3" xfId="8516" xr:uid="{00000000-0005-0000-0000-0000A87F0000}"/>
    <cellStyle name="Percent 9 3 2" xfId="13370" xr:uid="{00000000-0005-0000-0000-0000A97F0000}"/>
    <cellStyle name="Percent 9 3 3" xfId="32775" xr:uid="{00000000-0005-0000-0000-0000AA7F0000}"/>
    <cellStyle name="Percent 9 4" xfId="10525" xr:uid="{00000000-0005-0000-0000-0000AB7F0000}"/>
    <cellStyle name="Percent 9 5" xfId="32773" xr:uid="{00000000-0005-0000-0000-0000AC7F0000}"/>
    <cellStyle name="SAPBEXaggData" xfId="8517" xr:uid="{00000000-0005-0000-0000-0000AD7F0000}"/>
    <cellStyle name="SAPBEXaggData 2" xfId="17056" xr:uid="{00000000-0005-0000-0000-0000AE7F0000}"/>
    <cellStyle name="SAPBEXaggData 3" xfId="32776" xr:uid="{00000000-0005-0000-0000-0000AF7F0000}"/>
    <cellStyle name="SAPBEXaggDataEmph" xfId="8518" xr:uid="{00000000-0005-0000-0000-0000B07F0000}"/>
    <cellStyle name="SAPBEXaggDataEmph 2" xfId="17057" xr:uid="{00000000-0005-0000-0000-0000B17F0000}"/>
    <cellStyle name="SAPBEXaggDataEmph 3" xfId="32777" xr:uid="{00000000-0005-0000-0000-0000B27F0000}"/>
    <cellStyle name="SAPBEXaggItem" xfId="8519" xr:uid="{00000000-0005-0000-0000-0000B37F0000}"/>
    <cellStyle name="SAPBEXaggItem 2" xfId="17058" xr:uid="{00000000-0005-0000-0000-0000B47F0000}"/>
    <cellStyle name="SAPBEXaggItem 3" xfId="32778" xr:uid="{00000000-0005-0000-0000-0000B57F0000}"/>
    <cellStyle name="SAPBEXaggItemX" xfId="8520" xr:uid="{00000000-0005-0000-0000-0000B67F0000}"/>
    <cellStyle name="SAPBEXaggItemX 2" xfId="17059" xr:uid="{00000000-0005-0000-0000-0000B77F0000}"/>
    <cellStyle name="SAPBEXaggItemX 3" xfId="32779" xr:uid="{00000000-0005-0000-0000-0000B87F0000}"/>
    <cellStyle name="SAPBEXchaText" xfId="8521" xr:uid="{00000000-0005-0000-0000-0000B97F0000}"/>
    <cellStyle name="SAPBEXchaText 2" xfId="17060" xr:uid="{00000000-0005-0000-0000-0000BA7F0000}"/>
    <cellStyle name="SAPBEXchaText 3" xfId="32780" xr:uid="{00000000-0005-0000-0000-0000BB7F0000}"/>
    <cellStyle name="SAPBEXexcBad7" xfId="8522" xr:uid="{00000000-0005-0000-0000-0000BC7F0000}"/>
    <cellStyle name="SAPBEXexcBad7 2" xfId="17061" xr:uid="{00000000-0005-0000-0000-0000BD7F0000}"/>
    <cellStyle name="SAPBEXexcBad7 3" xfId="32781" xr:uid="{00000000-0005-0000-0000-0000BE7F0000}"/>
    <cellStyle name="SAPBEXexcBad8" xfId="8523" xr:uid="{00000000-0005-0000-0000-0000BF7F0000}"/>
    <cellStyle name="SAPBEXexcBad8 2" xfId="17062" xr:uid="{00000000-0005-0000-0000-0000C07F0000}"/>
    <cellStyle name="SAPBEXexcBad8 3" xfId="32782" xr:uid="{00000000-0005-0000-0000-0000C17F0000}"/>
    <cellStyle name="SAPBEXexcBad9" xfId="8524" xr:uid="{00000000-0005-0000-0000-0000C27F0000}"/>
    <cellStyle name="SAPBEXexcBad9 2" xfId="17063" xr:uid="{00000000-0005-0000-0000-0000C37F0000}"/>
    <cellStyle name="SAPBEXexcBad9 3" xfId="32783" xr:uid="{00000000-0005-0000-0000-0000C47F0000}"/>
    <cellStyle name="SAPBEXexcCritical4" xfId="8525" xr:uid="{00000000-0005-0000-0000-0000C57F0000}"/>
    <cellStyle name="SAPBEXexcCritical4 2" xfId="17064" xr:uid="{00000000-0005-0000-0000-0000C67F0000}"/>
    <cellStyle name="SAPBEXexcCritical4 3" xfId="32784" xr:uid="{00000000-0005-0000-0000-0000C77F0000}"/>
    <cellStyle name="SAPBEXexcCritical5" xfId="8526" xr:uid="{00000000-0005-0000-0000-0000C87F0000}"/>
    <cellStyle name="SAPBEXexcCritical5 2" xfId="17065" xr:uid="{00000000-0005-0000-0000-0000C97F0000}"/>
    <cellStyle name="SAPBEXexcCritical5 3" xfId="32785" xr:uid="{00000000-0005-0000-0000-0000CA7F0000}"/>
    <cellStyle name="SAPBEXexcCritical6" xfId="8527" xr:uid="{00000000-0005-0000-0000-0000CB7F0000}"/>
    <cellStyle name="SAPBEXexcCritical6 2" xfId="17066" xr:uid="{00000000-0005-0000-0000-0000CC7F0000}"/>
    <cellStyle name="SAPBEXexcCritical6 3" xfId="32786" xr:uid="{00000000-0005-0000-0000-0000CD7F0000}"/>
    <cellStyle name="SAPBEXexcGood1" xfId="8528" xr:uid="{00000000-0005-0000-0000-0000CE7F0000}"/>
    <cellStyle name="SAPBEXexcGood1 2" xfId="17067" xr:uid="{00000000-0005-0000-0000-0000CF7F0000}"/>
    <cellStyle name="SAPBEXexcGood1 3" xfId="32787" xr:uid="{00000000-0005-0000-0000-0000D07F0000}"/>
    <cellStyle name="SAPBEXexcGood2" xfId="8529" xr:uid="{00000000-0005-0000-0000-0000D17F0000}"/>
    <cellStyle name="SAPBEXexcGood2 2" xfId="17068" xr:uid="{00000000-0005-0000-0000-0000D27F0000}"/>
    <cellStyle name="SAPBEXexcGood2 3" xfId="32788" xr:uid="{00000000-0005-0000-0000-0000D37F0000}"/>
    <cellStyle name="SAPBEXexcGood3" xfId="8530" xr:uid="{00000000-0005-0000-0000-0000D47F0000}"/>
    <cellStyle name="SAPBEXexcGood3 2" xfId="17069" xr:uid="{00000000-0005-0000-0000-0000D57F0000}"/>
    <cellStyle name="SAPBEXexcGood3 3" xfId="32789" xr:uid="{00000000-0005-0000-0000-0000D67F0000}"/>
    <cellStyle name="SAPBEXfilterDrill" xfId="8531" xr:uid="{00000000-0005-0000-0000-0000D77F0000}"/>
    <cellStyle name="SAPBEXfilterDrill 2" xfId="17070" xr:uid="{00000000-0005-0000-0000-0000D87F0000}"/>
    <cellStyle name="SAPBEXfilterDrill 3" xfId="32790" xr:uid="{00000000-0005-0000-0000-0000D97F0000}"/>
    <cellStyle name="SAPBEXfilterItem" xfId="8532" xr:uid="{00000000-0005-0000-0000-0000DA7F0000}"/>
    <cellStyle name="SAPBEXfilterItem 2" xfId="17071" xr:uid="{00000000-0005-0000-0000-0000DB7F0000}"/>
    <cellStyle name="SAPBEXfilterItem 3" xfId="32791" xr:uid="{00000000-0005-0000-0000-0000DC7F0000}"/>
    <cellStyle name="SAPBEXfilterText" xfId="8533" xr:uid="{00000000-0005-0000-0000-0000DD7F0000}"/>
    <cellStyle name="SAPBEXfilterText 2" xfId="17072" xr:uid="{00000000-0005-0000-0000-0000DE7F0000}"/>
    <cellStyle name="SAPBEXfilterText 3" xfId="32792" xr:uid="{00000000-0005-0000-0000-0000DF7F0000}"/>
    <cellStyle name="SAPBEXformats" xfId="8534" xr:uid="{00000000-0005-0000-0000-0000E07F0000}"/>
    <cellStyle name="SAPBEXformats 2" xfId="17073" xr:uid="{00000000-0005-0000-0000-0000E17F0000}"/>
    <cellStyle name="SAPBEXformats 3" xfId="32793" xr:uid="{00000000-0005-0000-0000-0000E27F0000}"/>
    <cellStyle name="SAPBEXheaderItem" xfId="8535" xr:uid="{00000000-0005-0000-0000-0000E37F0000}"/>
    <cellStyle name="SAPBEXheaderItem 2" xfId="17074" xr:uid="{00000000-0005-0000-0000-0000E47F0000}"/>
    <cellStyle name="SAPBEXheaderItem 3" xfId="32794" xr:uid="{00000000-0005-0000-0000-0000E57F0000}"/>
    <cellStyle name="SAPBEXheaderText" xfId="8536" xr:uid="{00000000-0005-0000-0000-0000E67F0000}"/>
    <cellStyle name="SAPBEXheaderText 2" xfId="17075" xr:uid="{00000000-0005-0000-0000-0000E77F0000}"/>
    <cellStyle name="SAPBEXheaderText 3" xfId="32795" xr:uid="{00000000-0005-0000-0000-0000E87F0000}"/>
    <cellStyle name="SAPBEXHLevel0" xfId="8537" xr:uid="{00000000-0005-0000-0000-0000E97F0000}"/>
    <cellStyle name="SAPBEXHLevel0 2" xfId="17076" xr:uid="{00000000-0005-0000-0000-0000EA7F0000}"/>
    <cellStyle name="SAPBEXHLevel0 3" xfId="32796" xr:uid="{00000000-0005-0000-0000-0000EB7F0000}"/>
    <cellStyle name="SAPBEXHLevel0X" xfId="8538" xr:uid="{00000000-0005-0000-0000-0000EC7F0000}"/>
    <cellStyle name="SAPBEXHLevel0X 2" xfId="17077" xr:uid="{00000000-0005-0000-0000-0000ED7F0000}"/>
    <cellStyle name="SAPBEXHLevel0X 3" xfId="32797" xr:uid="{00000000-0005-0000-0000-0000EE7F0000}"/>
    <cellStyle name="SAPBEXHLevel1" xfId="8539" xr:uid="{00000000-0005-0000-0000-0000EF7F0000}"/>
    <cellStyle name="SAPBEXHLevel1 2" xfId="17078" xr:uid="{00000000-0005-0000-0000-0000F07F0000}"/>
    <cellStyle name="SAPBEXHLevel1 3" xfId="32798" xr:uid="{00000000-0005-0000-0000-0000F17F0000}"/>
    <cellStyle name="SAPBEXHLevel1X" xfId="8540" xr:uid="{00000000-0005-0000-0000-0000F27F0000}"/>
    <cellStyle name="SAPBEXHLevel1X 2" xfId="17079" xr:uid="{00000000-0005-0000-0000-0000F37F0000}"/>
    <cellStyle name="SAPBEXHLevel1X 3" xfId="32799" xr:uid="{00000000-0005-0000-0000-0000F47F0000}"/>
    <cellStyle name="SAPBEXHLevel2" xfId="8541" xr:uid="{00000000-0005-0000-0000-0000F57F0000}"/>
    <cellStyle name="SAPBEXHLevel2 2" xfId="17080" xr:uid="{00000000-0005-0000-0000-0000F67F0000}"/>
    <cellStyle name="SAPBEXHLevel2 3" xfId="32800" xr:uid="{00000000-0005-0000-0000-0000F77F0000}"/>
    <cellStyle name="SAPBEXHLevel2X" xfId="8542" xr:uid="{00000000-0005-0000-0000-0000F87F0000}"/>
    <cellStyle name="SAPBEXHLevel2X 2" xfId="17081" xr:uid="{00000000-0005-0000-0000-0000F97F0000}"/>
    <cellStyle name="SAPBEXHLevel2X 3" xfId="32801" xr:uid="{00000000-0005-0000-0000-0000FA7F0000}"/>
    <cellStyle name="SAPBEXHLevel3" xfId="8543" xr:uid="{00000000-0005-0000-0000-0000FB7F0000}"/>
    <cellStyle name="SAPBEXHLevel3 2" xfId="17082" xr:uid="{00000000-0005-0000-0000-0000FC7F0000}"/>
    <cellStyle name="SAPBEXHLevel3 3" xfId="32802" xr:uid="{00000000-0005-0000-0000-0000FD7F0000}"/>
    <cellStyle name="SAPBEXHLevel3X" xfId="8544" xr:uid="{00000000-0005-0000-0000-0000FE7F0000}"/>
    <cellStyle name="SAPBEXHLevel3X 2" xfId="17083" xr:uid="{00000000-0005-0000-0000-0000FF7F0000}"/>
    <cellStyle name="SAPBEXHLevel3X 3" xfId="32803" xr:uid="{00000000-0005-0000-0000-000000800000}"/>
    <cellStyle name="SAPBEXinputData" xfId="8545" xr:uid="{00000000-0005-0000-0000-000001800000}"/>
    <cellStyle name="SAPBEXinputData 2" xfId="17084" xr:uid="{00000000-0005-0000-0000-000002800000}"/>
    <cellStyle name="SAPBEXinputData 3" xfId="32804" xr:uid="{00000000-0005-0000-0000-000003800000}"/>
    <cellStyle name="SAPBEXresData" xfId="8546" xr:uid="{00000000-0005-0000-0000-000004800000}"/>
    <cellStyle name="SAPBEXresData 2" xfId="17085" xr:uid="{00000000-0005-0000-0000-000005800000}"/>
    <cellStyle name="SAPBEXresData 3" xfId="32805" xr:uid="{00000000-0005-0000-0000-000006800000}"/>
    <cellStyle name="SAPBEXresDataEmph" xfId="8547" xr:uid="{00000000-0005-0000-0000-000007800000}"/>
    <cellStyle name="SAPBEXresDataEmph 2" xfId="17086" xr:uid="{00000000-0005-0000-0000-000008800000}"/>
    <cellStyle name="SAPBEXresDataEmph 3" xfId="32806" xr:uid="{00000000-0005-0000-0000-000009800000}"/>
    <cellStyle name="SAPBEXresItem" xfId="8548" xr:uid="{00000000-0005-0000-0000-00000A800000}"/>
    <cellStyle name="SAPBEXresItem 2" xfId="17087" xr:uid="{00000000-0005-0000-0000-00000B800000}"/>
    <cellStyle name="SAPBEXresItem 3" xfId="32807" xr:uid="{00000000-0005-0000-0000-00000C800000}"/>
    <cellStyle name="SAPBEXresItemX" xfId="8549" xr:uid="{00000000-0005-0000-0000-00000D800000}"/>
    <cellStyle name="SAPBEXresItemX 2" xfId="17088" xr:uid="{00000000-0005-0000-0000-00000E800000}"/>
    <cellStyle name="SAPBEXresItemX 3" xfId="32808" xr:uid="{00000000-0005-0000-0000-00000F800000}"/>
    <cellStyle name="SAPBEXstdData" xfId="8550" xr:uid="{00000000-0005-0000-0000-000010800000}"/>
    <cellStyle name="SAPBEXstdData 2" xfId="17089" xr:uid="{00000000-0005-0000-0000-000011800000}"/>
    <cellStyle name="SAPBEXstdData 3" xfId="32809" xr:uid="{00000000-0005-0000-0000-000012800000}"/>
    <cellStyle name="SAPBEXstdDataEmph" xfId="8551" xr:uid="{00000000-0005-0000-0000-000013800000}"/>
    <cellStyle name="SAPBEXstdDataEmph 2" xfId="17090" xr:uid="{00000000-0005-0000-0000-000014800000}"/>
    <cellStyle name="SAPBEXstdDataEmph 3" xfId="32810" xr:uid="{00000000-0005-0000-0000-000015800000}"/>
    <cellStyle name="SAPBEXstdItem" xfId="8552" xr:uid="{00000000-0005-0000-0000-000016800000}"/>
    <cellStyle name="SAPBEXstdItem 2" xfId="17091" xr:uid="{00000000-0005-0000-0000-000017800000}"/>
    <cellStyle name="SAPBEXstdItem 3" xfId="32811" xr:uid="{00000000-0005-0000-0000-000018800000}"/>
    <cellStyle name="SAPBEXstdItemX" xfId="8553" xr:uid="{00000000-0005-0000-0000-000019800000}"/>
    <cellStyle name="SAPBEXstdItemX 2" xfId="17092" xr:uid="{00000000-0005-0000-0000-00001A800000}"/>
    <cellStyle name="SAPBEXstdItemX 3" xfId="32812" xr:uid="{00000000-0005-0000-0000-00001B800000}"/>
    <cellStyle name="SAPBEXtitle" xfId="8554" xr:uid="{00000000-0005-0000-0000-00001C800000}"/>
    <cellStyle name="SAPBEXtitle 2" xfId="17093" xr:uid="{00000000-0005-0000-0000-00001D800000}"/>
    <cellStyle name="SAPBEXtitle 3" xfId="32813" xr:uid="{00000000-0005-0000-0000-00001E800000}"/>
    <cellStyle name="SAPBEXundefined" xfId="8555" xr:uid="{00000000-0005-0000-0000-00001F800000}"/>
    <cellStyle name="SAPBEXundefined 2" xfId="17094" xr:uid="{00000000-0005-0000-0000-000020800000}"/>
    <cellStyle name="SAPBEXundefined 3" xfId="32814" xr:uid="{00000000-0005-0000-0000-000021800000}"/>
    <cellStyle name="Sheet Title" xfId="8556" xr:uid="{00000000-0005-0000-0000-000022800000}"/>
    <cellStyle name="Sheet Title 2" xfId="17095" xr:uid="{00000000-0005-0000-0000-000023800000}"/>
    <cellStyle name="Sheet Title 3" xfId="32815" xr:uid="{00000000-0005-0000-0000-000024800000}"/>
    <cellStyle name="Style 1" xfId="11" xr:uid="{00000000-0005-0000-0000-000025800000}"/>
    <cellStyle name="Style 2" xfId="12" xr:uid="{00000000-0005-0000-0000-000026800000}"/>
    <cellStyle name="TableStyleLight1" xfId="8557" xr:uid="{00000000-0005-0000-0000-000027800000}"/>
    <cellStyle name="TableStyleLight1 2" xfId="10430" xr:uid="{00000000-0005-0000-0000-000028800000}"/>
    <cellStyle name="TableStyleLight1 3" xfId="32816" xr:uid="{00000000-0005-0000-0000-000029800000}"/>
    <cellStyle name="Title" xfId="14" builtinId="15" customBuiltin="1"/>
    <cellStyle name="Title 10" xfId="8558" xr:uid="{00000000-0005-0000-0000-00002B800000}"/>
    <cellStyle name="Title 10 2" xfId="8559" xr:uid="{00000000-0005-0000-0000-00002C800000}"/>
    <cellStyle name="Title 10 2 2" xfId="11701" xr:uid="{00000000-0005-0000-0000-00002D800000}"/>
    <cellStyle name="Title 10 2 3" xfId="32818" xr:uid="{00000000-0005-0000-0000-00002E800000}"/>
    <cellStyle name="Title 10 3" xfId="10432" xr:uid="{00000000-0005-0000-0000-00002F800000}"/>
    <cellStyle name="Title 10 4" xfId="32817" xr:uid="{00000000-0005-0000-0000-000030800000}"/>
    <cellStyle name="Title 11" xfId="8560" xr:uid="{00000000-0005-0000-0000-000031800000}"/>
    <cellStyle name="Title 11 2" xfId="8561" xr:uid="{00000000-0005-0000-0000-000032800000}"/>
    <cellStyle name="Title 11 2 2" xfId="15798" xr:uid="{00000000-0005-0000-0000-000033800000}"/>
    <cellStyle name="Title 11 2 3" xfId="32820" xr:uid="{00000000-0005-0000-0000-000034800000}"/>
    <cellStyle name="Title 11 3" xfId="10433" xr:uid="{00000000-0005-0000-0000-000035800000}"/>
    <cellStyle name="Title 11 4" xfId="32819" xr:uid="{00000000-0005-0000-0000-000036800000}"/>
    <cellStyle name="Title 12" xfId="8562" xr:uid="{00000000-0005-0000-0000-000037800000}"/>
    <cellStyle name="Title 12 2" xfId="8563" xr:uid="{00000000-0005-0000-0000-000038800000}"/>
    <cellStyle name="Title 12 2 2" xfId="15799" xr:uid="{00000000-0005-0000-0000-000039800000}"/>
    <cellStyle name="Title 12 2 3" xfId="32822" xr:uid="{00000000-0005-0000-0000-00003A800000}"/>
    <cellStyle name="Title 12 3" xfId="10501" xr:uid="{00000000-0005-0000-0000-00003B800000}"/>
    <cellStyle name="Title 12 4" xfId="32821" xr:uid="{00000000-0005-0000-0000-00003C800000}"/>
    <cellStyle name="Title 13" xfId="8564" xr:uid="{00000000-0005-0000-0000-00003D800000}"/>
    <cellStyle name="Title 13 2" xfId="11700" xr:uid="{00000000-0005-0000-0000-00003E800000}"/>
    <cellStyle name="Title 13 3" xfId="32823" xr:uid="{00000000-0005-0000-0000-00003F800000}"/>
    <cellStyle name="Title 14" xfId="8565" xr:uid="{00000000-0005-0000-0000-000040800000}"/>
    <cellStyle name="Title 14 2" xfId="10431" xr:uid="{00000000-0005-0000-0000-000041800000}"/>
    <cellStyle name="Title 14 3" xfId="32824" xr:uid="{00000000-0005-0000-0000-000042800000}"/>
    <cellStyle name="Title 2" xfId="8566" xr:uid="{00000000-0005-0000-0000-000043800000}"/>
    <cellStyle name="Title 2 2" xfId="8567" xr:uid="{00000000-0005-0000-0000-000044800000}"/>
    <cellStyle name="Title 2 2 2" xfId="10435" xr:uid="{00000000-0005-0000-0000-000045800000}"/>
    <cellStyle name="Title 2 2 3" xfId="32826" xr:uid="{00000000-0005-0000-0000-000046800000}"/>
    <cellStyle name="Title 2 3" xfId="8568" xr:uid="{00000000-0005-0000-0000-000047800000}"/>
    <cellStyle name="Title 2 3 2" xfId="13372" xr:uid="{00000000-0005-0000-0000-000048800000}"/>
    <cellStyle name="Title 2 3 3" xfId="32827" xr:uid="{00000000-0005-0000-0000-000049800000}"/>
    <cellStyle name="Title 2 4" xfId="10434" xr:uid="{00000000-0005-0000-0000-00004A800000}"/>
    <cellStyle name="Title 2 5" xfId="32825" xr:uid="{00000000-0005-0000-0000-00004B800000}"/>
    <cellStyle name="Title 2 6" xfId="33099" xr:uid="{00000000-0005-0000-0000-00004C800000}"/>
    <cellStyle name="Title 3" xfId="8569" xr:uid="{00000000-0005-0000-0000-00004D800000}"/>
    <cellStyle name="Title 3 2" xfId="8570" xr:uid="{00000000-0005-0000-0000-00004E800000}"/>
    <cellStyle name="Title 3 2 2" xfId="10437" xr:uid="{00000000-0005-0000-0000-00004F800000}"/>
    <cellStyle name="Title 3 2 3" xfId="32829" xr:uid="{00000000-0005-0000-0000-000050800000}"/>
    <cellStyle name="Title 3 3" xfId="8571" xr:uid="{00000000-0005-0000-0000-000051800000}"/>
    <cellStyle name="Title 3 3 2" xfId="13374" xr:uid="{00000000-0005-0000-0000-000052800000}"/>
    <cellStyle name="Title 3 3 3" xfId="32830" xr:uid="{00000000-0005-0000-0000-000053800000}"/>
    <cellStyle name="Title 3 4" xfId="8572" xr:uid="{00000000-0005-0000-0000-000054800000}"/>
    <cellStyle name="Title 3 4 2" xfId="13373" xr:uid="{00000000-0005-0000-0000-000055800000}"/>
    <cellStyle name="Title 3 4 3" xfId="32831" xr:uid="{00000000-0005-0000-0000-000056800000}"/>
    <cellStyle name="Title 3 5" xfId="10436" xr:uid="{00000000-0005-0000-0000-000057800000}"/>
    <cellStyle name="Title 3 6" xfId="32828" xr:uid="{00000000-0005-0000-0000-000058800000}"/>
    <cellStyle name="Title 3 7" xfId="33101" xr:uid="{00000000-0005-0000-0000-000059800000}"/>
    <cellStyle name="Title 4" xfId="8573" xr:uid="{00000000-0005-0000-0000-00005A800000}"/>
    <cellStyle name="Title 4 2" xfId="8574" xr:uid="{00000000-0005-0000-0000-00005B800000}"/>
    <cellStyle name="Title 4 2 2" xfId="8575" xr:uid="{00000000-0005-0000-0000-00005C800000}"/>
    <cellStyle name="Title 4 2 2 2" xfId="11703" xr:uid="{00000000-0005-0000-0000-00005D800000}"/>
    <cellStyle name="Title 4 2 2 3" xfId="32834" xr:uid="{00000000-0005-0000-0000-00005E800000}"/>
    <cellStyle name="Title 4 2 3" xfId="10439" xr:uid="{00000000-0005-0000-0000-00005F800000}"/>
    <cellStyle name="Title 4 2 4" xfId="32833" xr:uid="{00000000-0005-0000-0000-000060800000}"/>
    <cellStyle name="Title 4 3" xfId="8576" xr:uid="{00000000-0005-0000-0000-000061800000}"/>
    <cellStyle name="Title 4 3 2" xfId="11702" xr:uid="{00000000-0005-0000-0000-000062800000}"/>
    <cellStyle name="Title 4 3 3" xfId="32835" xr:uid="{00000000-0005-0000-0000-000063800000}"/>
    <cellStyle name="Title 4 4" xfId="8577" xr:uid="{00000000-0005-0000-0000-000064800000}"/>
    <cellStyle name="Title 4 4 2" xfId="13375" xr:uid="{00000000-0005-0000-0000-000065800000}"/>
    <cellStyle name="Title 4 4 3" xfId="32836" xr:uid="{00000000-0005-0000-0000-000066800000}"/>
    <cellStyle name="Title 4 5" xfId="8578" xr:uid="{00000000-0005-0000-0000-000067800000}"/>
    <cellStyle name="Title 4 5 2" xfId="15800" xr:uid="{00000000-0005-0000-0000-000068800000}"/>
    <cellStyle name="Title 4 5 3" xfId="32837" xr:uid="{00000000-0005-0000-0000-000069800000}"/>
    <cellStyle name="Title 4 6" xfId="10438" xr:uid="{00000000-0005-0000-0000-00006A800000}"/>
    <cellStyle name="Title 4 7" xfId="32832" xr:uid="{00000000-0005-0000-0000-00006B800000}"/>
    <cellStyle name="Title 5" xfId="8579" xr:uid="{00000000-0005-0000-0000-00006C800000}"/>
    <cellStyle name="Title 5 2" xfId="8580" xr:uid="{00000000-0005-0000-0000-00006D800000}"/>
    <cellStyle name="Title 5 2 2" xfId="8581" xr:uid="{00000000-0005-0000-0000-00006E800000}"/>
    <cellStyle name="Title 5 2 2 2" xfId="11705" xr:uid="{00000000-0005-0000-0000-00006F800000}"/>
    <cellStyle name="Title 5 2 2 3" xfId="32840" xr:uid="{00000000-0005-0000-0000-000070800000}"/>
    <cellStyle name="Title 5 2 3" xfId="10441" xr:uid="{00000000-0005-0000-0000-000071800000}"/>
    <cellStyle name="Title 5 2 4" xfId="32839" xr:uid="{00000000-0005-0000-0000-000072800000}"/>
    <cellStyle name="Title 5 3" xfId="8582" xr:uid="{00000000-0005-0000-0000-000073800000}"/>
    <cellStyle name="Title 5 3 2" xfId="11704" xr:uid="{00000000-0005-0000-0000-000074800000}"/>
    <cellStyle name="Title 5 3 3" xfId="32841" xr:uid="{00000000-0005-0000-0000-000075800000}"/>
    <cellStyle name="Title 5 4" xfId="10440" xr:uid="{00000000-0005-0000-0000-000076800000}"/>
    <cellStyle name="Title 5 5" xfId="32838" xr:uid="{00000000-0005-0000-0000-000077800000}"/>
    <cellStyle name="Title 6" xfId="8583" xr:uid="{00000000-0005-0000-0000-000078800000}"/>
    <cellStyle name="Title 6 2" xfId="8584" xr:uid="{00000000-0005-0000-0000-000079800000}"/>
    <cellStyle name="Title 6 2 2" xfId="11706" xr:uid="{00000000-0005-0000-0000-00007A800000}"/>
    <cellStyle name="Title 6 2 3" xfId="32843" xr:uid="{00000000-0005-0000-0000-00007B800000}"/>
    <cellStyle name="Title 6 3" xfId="10442" xr:uid="{00000000-0005-0000-0000-00007C800000}"/>
    <cellStyle name="Title 6 4" xfId="32842" xr:uid="{00000000-0005-0000-0000-00007D800000}"/>
    <cellStyle name="Title 7" xfId="8585" xr:uid="{00000000-0005-0000-0000-00007E800000}"/>
    <cellStyle name="Title 7 2" xfId="8586" xr:uid="{00000000-0005-0000-0000-00007F800000}"/>
    <cellStyle name="Title 7 2 2" xfId="11707" xr:uid="{00000000-0005-0000-0000-000080800000}"/>
    <cellStyle name="Title 7 2 3" xfId="32845" xr:uid="{00000000-0005-0000-0000-000081800000}"/>
    <cellStyle name="Title 7 3" xfId="10443" xr:uid="{00000000-0005-0000-0000-000082800000}"/>
    <cellStyle name="Title 7 4" xfId="32844" xr:uid="{00000000-0005-0000-0000-000083800000}"/>
    <cellStyle name="Title 8" xfId="8587" xr:uid="{00000000-0005-0000-0000-000084800000}"/>
    <cellStyle name="Title 8 2" xfId="8588" xr:uid="{00000000-0005-0000-0000-000085800000}"/>
    <cellStyle name="Title 8 2 2" xfId="11708" xr:uid="{00000000-0005-0000-0000-000086800000}"/>
    <cellStyle name="Title 8 2 3" xfId="32847" xr:uid="{00000000-0005-0000-0000-000087800000}"/>
    <cellStyle name="Title 8 3" xfId="10444" xr:uid="{00000000-0005-0000-0000-000088800000}"/>
    <cellStyle name="Title 8 4" xfId="32846" xr:uid="{00000000-0005-0000-0000-000089800000}"/>
    <cellStyle name="Title 9" xfId="8589" xr:uid="{00000000-0005-0000-0000-00008A800000}"/>
    <cellStyle name="Title 9 2" xfId="8590" xr:uid="{00000000-0005-0000-0000-00008B800000}"/>
    <cellStyle name="Title 9 2 2" xfId="11709" xr:uid="{00000000-0005-0000-0000-00008C800000}"/>
    <cellStyle name="Title 9 2 3" xfId="32849" xr:uid="{00000000-0005-0000-0000-00008D800000}"/>
    <cellStyle name="Title 9 3" xfId="10445" xr:uid="{00000000-0005-0000-0000-00008E800000}"/>
    <cellStyle name="Title 9 4" xfId="32848" xr:uid="{00000000-0005-0000-0000-00008F800000}"/>
    <cellStyle name="Total" xfId="26" builtinId="25" customBuiltin="1"/>
    <cellStyle name="Total 10" xfId="8591" xr:uid="{00000000-0005-0000-0000-000091800000}"/>
    <cellStyle name="Total 10 2" xfId="8752" xr:uid="{00000000-0005-0000-0000-000092800000}"/>
    <cellStyle name="Total 10 3" xfId="32850" xr:uid="{00000000-0005-0000-0000-000093800000}"/>
    <cellStyle name="Total 11" xfId="8592" xr:uid="{00000000-0005-0000-0000-000094800000}"/>
    <cellStyle name="Total 11 2" xfId="8753" xr:uid="{00000000-0005-0000-0000-000095800000}"/>
    <cellStyle name="Total 11 3" xfId="32851" xr:uid="{00000000-0005-0000-0000-000096800000}"/>
    <cellStyle name="Total 12" xfId="8593" xr:uid="{00000000-0005-0000-0000-000097800000}"/>
    <cellStyle name="Total 12 2" xfId="8754" xr:uid="{00000000-0005-0000-0000-000098800000}"/>
    <cellStyle name="Total 12 3" xfId="32852" xr:uid="{00000000-0005-0000-0000-000099800000}"/>
    <cellStyle name="Total 13" xfId="8594" xr:uid="{00000000-0005-0000-0000-00009A800000}"/>
    <cellStyle name="Total 13 2" xfId="8755" xr:uid="{00000000-0005-0000-0000-00009B800000}"/>
    <cellStyle name="Total 13 3" xfId="32853" xr:uid="{00000000-0005-0000-0000-00009C800000}"/>
    <cellStyle name="Total 14" xfId="8595" xr:uid="{00000000-0005-0000-0000-00009D800000}"/>
    <cellStyle name="Total 14 2" xfId="8756" xr:uid="{00000000-0005-0000-0000-00009E800000}"/>
    <cellStyle name="Total 14 3" xfId="32854" xr:uid="{00000000-0005-0000-0000-00009F800000}"/>
    <cellStyle name="Total 15" xfId="8596" xr:uid="{00000000-0005-0000-0000-0000A0800000}"/>
    <cellStyle name="Total 15 2" xfId="8757" xr:uid="{00000000-0005-0000-0000-0000A1800000}"/>
    <cellStyle name="Total 15 3" xfId="32855" xr:uid="{00000000-0005-0000-0000-0000A2800000}"/>
    <cellStyle name="Total 16" xfId="8597" xr:uid="{00000000-0005-0000-0000-0000A3800000}"/>
    <cellStyle name="Total 16 2" xfId="8758" xr:uid="{00000000-0005-0000-0000-0000A4800000}"/>
    <cellStyle name="Total 16 3" xfId="32856" xr:uid="{00000000-0005-0000-0000-0000A5800000}"/>
    <cellStyle name="Total 17" xfId="8598" xr:uid="{00000000-0005-0000-0000-0000A6800000}"/>
    <cellStyle name="Total 17 2" xfId="8759" xr:uid="{00000000-0005-0000-0000-0000A7800000}"/>
    <cellStyle name="Total 17 3" xfId="32857" xr:uid="{00000000-0005-0000-0000-0000A8800000}"/>
    <cellStyle name="Total 18" xfId="8599" xr:uid="{00000000-0005-0000-0000-0000A9800000}"/>
    <cellStyle name="Total 18 2" xfId="8760" xr:uid="{00000000-0005-0000-0000-0000AA800000}"/>
    <cellStyle name="Total 18 3" xfId="32858" xr:uid="{00000000-0005-0000-0000-0000AB800000}"/>
    <cellStyle name="Total 19" xfId="8600" xr:uid="{00000000-0005-0000-0000-0000AC800000}"/>
    <cellStyle name="Total 19 2" xfId="8761" xr:uid="{00000000-0005-0000-0000-0000AD800000}"/>
    <cellStyle name="Total 19 3" xfId="32859" xr:uid="{00000000-0005-0000-0000-0000AE800000}"/>
    <cellStyle name="Total 2" xfId="8601" xr:uid="{00000000-0005-0000-0000-0000AF800000}"/>
    <cellStyle name="Total 2 10" xfId="8602" xr:uid="{00000000-0005-0000-0000-0000B0800000}"/>
    <cellStyle name="Total 2 10 2" xfId="8603" xr:uid="{00000000-0005-0000-0000-0000B1800000}"/>
    <cellStyle name="Total 2 10 2 2" xfId="17355" xr:uid="{00000000-0005-0000-0000-0000B2800000}"/>
    <cellStyle name="Total 2 10 2 3" xfId="32862" xr:uid="{00000000-0005-0000-0000-0000B3800000}"/>
    <cellStyle name="Total 2 10 3" xfId="8762" xr:uid="{00000000-0005-0000-0000-0000B4800000}"/>
    <cellStyle name="Total 2 10 4" xfId="10446" xr:uid="{00000000-0005-0000-0000-0000B5800000}"/>
    <cellStyle name="Total 2 10 5" xfId="32861" xr:uid="{00000000-0005-0000-0000-0000B6800000}"/>
    <cellStyle name="Total 2 11" xfId="8604" xr:uid="{00000000-0005-0000-0000-0000B7800000}"/>
    <cellStyle name="Total 2 11 2" xfId="8605" xr:uid="{00000000-0005-0000-0000-0000B8800000}"/>
    <cellStyle name="Total 2 11 2 2" xfId="17356" xr:uid="{00000000-0005-0000-0000-0000B9800000}"/>
    <cellStyle name="Total 2 11 2 3" xfId="32864" xr:uid="{00000000-0005-0000-0000-0000BA800000}"/>
    <cellStyle name="Total 2 11 3" xfId="8763" xr:uid="{00000000-0005-0000-0000-0000BB800000}"/>
    <cellStyle name="Total 2 11 4" xfId="10447" xr:uid="{00000000-0005-0000-0000-0000BC800000}"/>
    <cellStyle name="Total 2 11 5" xfId="32863" xr:uid="{00000000-0005-0000-0000-0000BD800000}"/>
    <cellStyle name="Total 2 12" xfId="8606" xr:uid="{00000000-0005-0000-0000-0000BE800000}"/>
    <cellStyle name="Total 2 12 2" xfId="8607" xr:uid="{00000000-0005-0000-0000-0000BF800000}"/>
    <cellStyle name="Total 2 12 2 2" xfId="17357" xr:uid="{00000000-0005-0000-0000-0000C0800000}"/>
    <cellStyle name="Total 2 12 2 3" xfId="32866" xr:uid="{00000000-0005-0000-0000-0000C1800000}"/>
    <cellStyle name="Total 2 12 3" xfId="8764" xr:uid="{00000000-0005-0000-0000-0000C2800000}"/>
    <cellStyle name="Total 2 12 4" xfId="10448" xr:uid="{00000000-0005-0000-0000-0000C3800000}"/>
    <cellStyle name="Total 2 12 5" xfId="32865" xr:uid="{00000000-0005-0000-0000-0000C4800000}"/>
    <cellStyle name="Total 2 13" xfId="8608" xr:uid="{00000000-0005-0000-0000-0000C5800000}"/>
    <cellStyle name="Total 2 13 2" xfId="8609" xr:uid="{00000000-0005-0000-0000-0000C6800000}"/>
    <cellStyle name="Total 2 13 2 2" xfId="17358" xr:uid="{00000000-0005-0000-0000-0000C7800000}"/>
    <cellStyle name="Total 2 13 2 3" xfId="32868" xr:uid="{00000000-0005-0000-0000-0000C8800000}"/>
    <cellStyle name="Total 2 13 3" xfId="8765" xr:uid="{00000000-0005-0000-0000-0000C9800000}"/>
    <cellStyle name="Total 2 13 4" xfId="10449" xr:uid="{00000000-0005-0000-0000-0000CA800000}"/>
    <cellStyle name="Total 2 13 5" xfId="32867" xr:uid="{00000000-0005-0000-0000-0000CB800000}"/>
    <cellStyle name="Total 2 14" xfId="8610" xr:uid="{00000000-0005-0000-0000-0000CC800000}"/>
    <cellStyle name="Total 2 14 2" xfId="8611" xr:uid="{00000000-0005-0000-0000-0000CD800000}"/>
    <cellStyle name="Total 2 14 2 2" xfId="15801" xr:uid="{00000000-0005-0000-0000-0000CE800000}"/>
    <cellStyle name="Total 2 14 2 3" xfId="32870" xr:uid="{00000000-0005-0000-0000-0000CF800000}"/>
    <cellStyle name="Total 2 14 3" xfId="8612" xr:uid="{00000000-0005-0000-0000-0000D0800000}"/>
    <cellStyle name="Total 2 14 3 2" xfId="17367" xr:uid="{00000000-0005-0000-0000-0000D1800000}"/>
    <cellStyle name="Total 2 14 3 3" xfId="32871" xr:uid="{00000000-0005-0000-0000-0000D2800000}"/>
    <cellStyle name="Total 2 14 4" xfId="8766" xr:uid="{00000000-0005-0000-0000-0000D3800000}"/>
    <cellStyle name="Total 2 14 5" xfId="10502" xr:uid="{00000000-0005-0000-0000-0000D4800000}"/>
    <cellStyle name="Total 2 14 6" xfId="32869" xr:uid="{00000000-0005-0000-0000-0000D5800000}"/>
    <cellStyle name="Total 2 15" xfId="8613" xr:uid="{00000000-0005-0000-0000-0000D6800000}"/>
    <cellStyle name="Total 2 15 2" xfId="8767" xr:uid="{00000000-0005-0000-0000-0000D7800000}"/>
    <cellStyle name="Total 2 15 3" xfId="32872" xr:uid="{00000000-0005-0000-0000-0000D8800000}"/>
    <cellStyle name="Total 2 16" xfId="8614" xr:uid="{00000000-0005-0000-0000-0000D9800000}"/>
    <cellStyle name="Total 2 16 2" xfId="8768" xr:uid="{00000000-0005-0000-0000-0000DA800000}"/>
    <cellStyle name="Total 2 16 3" xfId="32873" xr:uid="{00000000-0005-0000-0000-0000DB800000}"/>
    <cellStyle name="Total 2 17" xfId="8615" xr:uid="{00000000-0005-0000-0000-0000DC800000}"/>
    <cellStyle name="Total 2 17 2" xfId="8769" xr:uid="{00000000-0005-0000-0000-0000DD800000}"/>
    <cellStyle name="Total 2 17 3" xfId="32874" xr:uid="{00000000-0005-0000-0000-0000DE800000}"/>
    <cellStyle name="Total 2 18" xfId="8616" xr:uid="{00000000-0005-0000-0000-0000DF800000}"/>
    <cellStyle name="Total 2 18 2" xfId="8770" xr:uid="{00000000-0005-0000-0000-0000E0800000}"/>
    <cellStyle name="Total 2 18 3" xfId="32875" xr:uid="{00000000-0005-0000-0000-0000E1800000}"/>
    <cellStyle name="Total 2 19" xfId="8700" xr:uid="{00000000-0005-0000-0000-0000E2800000}"/>
    <cellStyle name="Total 2 2" xfId="8617" xr:uid="{00000000-0005-0000-0000-0000E3800000}"/>
    <cellStyle name="Total 2 2 2" xfId="8618" xr:uid="{00000000-0005-0000-0000-0000E4800000}"/>
    <cellStyle name="Total 2 2 2 2" xfId="10451" xr:uid="{00000000-0005-0000-0000-0000E5800000}"/>
    <cellStyle name="Total 2 2 2 3" xfId="32877" xr:uid="{00000000-0005-0000-0000-0000E6800000}"/>
    <cellStyle name="Total 2 2 3" xfId="8619" xr:uid="{00000000-0005-0000-0000-0000E7800000}"/>
    <cellStyle name="Total 2 2 3 2" xfId="8620" xr:uid="{00000000-0005-0000-0000-0000E8800000}"/>
    <cellStyle name="Total 2 2 3 2 2" xfId="15802" xr:uid="{00000000-0005-0000-0000-0000E9800000}"/>
    <cellStyle name="Total 2 2 3 2 3" xfId="32879" xr:uid="{00000000-0005-0000-0000-0000EA800000}"/>
    <cellStyle name="Total 2 2 3 3" xfId="11734" xr:uid="{00000000-0005-0000-0000-0000EB800000}"/>
    <cellStyle name="Total 2 2 3 4" xfId="32878" xr:uid="{00000000-0005-0000-0000-0000EC800000}"/>
    <cellStyle name="Total 2 2 4" xfId="8621" xr:uid="{00000000-0005-0000-0000-0000ED800000}"/>
    <cellStyle name="Total 2 2 4 2" xfId="12102" xr:uid="{00000000-0005-0000-0000-0000EE800000}"/>
    <cellStyle name="Total 2 2 4 3" xfId="32880" xr:uid="{00000000-0005-0000-0000-0000EF800000}"/>
    <cellStyle name="Total 2 2 5" xfId="8622" xr:uid="{00000000-0005-0000-0000-0000F0800000}"/>
    <cellStyle name="Total 2 2 5 2" xfId="17359" xr:uid="{00000000-0005-0000-0000-0000F1800000}"/>
    <cellStyle name="Total 2 2 5 3" xfId="32881" xr:uid="{00000000-0005-0000-0000-0000F2800000}"/>
    <cellStyle name="Total 2 2 6" xfId="8771" xr:uid="{00000000-0005-0000-0000-0000F3800000}"/>
    <cellStyle name="Total 2 2 7" xfId="10450" xr:uid="{00000000-0005-0000-0000-0000F4800000}"/>
    <cellStyle name="Total 2 2 8" xfId="32876" xr:uid="{00000000-0005-0000-0000-0000F5800000}"/>
    <cellStyle name="Total 2 20" xfId="32860" xr:uid="{00000000-0005-0000-0000-0000F6800000}"/>
    <cellStyle name="Total 2 21" xfId="33060" xr:uid="{00000000-0005-0000-0000-0000F7800000}"/>
    <cellStyle name="Total 2 3" xfId="8623" xr:uid="{00000000-0005-0000-0000-0000F8800000}"/>
    <cellStyle name="Total 2 3 2" xfId="8624" xr:uid="{00000000-0005-0000-0000-0000F9800000}"/>
    <cellStyle name="Total 2 3 2 2" xfId="10453" xr:uid="{00000000-0005-0000-0000-0000FA800000}"/>
    <cellStyle name="Total 2 3 2 3" xfId="32883" xr:uid="{00000000-0005-0000-0000-0000FB800000}"/>
    <cellStyle name="Total 2 3 3" xfId="8625" xr:uid="{00000000-0005-0000-0000-0000FC800000}"/>
    <cellStyle name="Total 2 3 3 2" xfId="17360" xr:uid="{00000000-0005-0000-0000-0000FD800000}"/>
    <cellStyle name="Total 2 3 3 3" xfId="32884" xr:uid="{00000000-0005-0000-0000-0000FE800000}"/>
    <cellStyle name="Total 2 3 4" xfId="8772" xr:uid="{00000000-0005-0000-0000-0000FF800000}"/>
    <cellStyle name="Total 2 3 5" xfId="10452" xr:uid="{00000000-0005-0000-0000-000000810000}"/>
    <cellStyle name="Total 2 3 6" xfId="32882" xr:uid="{00000000-0005-0000-0000-000001810000}"/>
    <cellStyle name="Total 2 4" xfId="8626" xr:uid="{00000000-0005-0000-0000-000002810000}"/>
    <cellStyle name="Total 2 4 2" xfId="8627" xr:uid="{00000000-0005-0000-0000-000003810000}"/>
    <cellStyle name="Total 2 4 2 2" xfId="10455" xr:uid="{00000000-0005-0000-0000-000004810000}"/>
    <cellStyle name="Total 2 4 2 3" xfId="32886" xr:uid="{00000000-0005-0000-0000-000005810000}"/>
    <cellStyle name="Total 2 4 3" xfId="8628" xr:uid="{00000000-0005-0000-0000-000006810000}"/>
    <cellStyle name="Total 2 4 3 2" xfId="17361" xr:uid="{00000000-0005-0000-0000-000007810000}"/>
    <cellStyle name="Total 2 4 3 3" xfId="32887" xr:uid="{00000000-0005-0000-0000-000008810000}"/>
    <cellStyle name="Total 2 4 4" xfId="8773" xr:uid="{00000000-0005-0000-0000-000009810000}"/>
    <cellStyle name="Total 2 4 5" xfId="10454" xr:uid="{00000000-0005-0000-0000-00000A810000}"/>
    <cellStyle name="Total 2 4 6" xfId="32885" xr:uid="{00000000-0005-0000-0000-00000B810000}"/>
    <cellStyle name="Total 2 5" xfId="8629" xr:uid="{00000000-0005-0000-0000-00000C810000}"/>
    <cellStyle name="Total 2 5 2" xfId="8630" xr:uid="{00000000-0005-0000-0000-00000D810000}"/>
    <cellStyle name="Total 2 5 2 2" xfId="13377" xr:uid="{00000000-0005-0000-0000-00000E810000}"/>
    <cellStyle name="Total 2 5 2 3" xfId="32889" xr:uid="{00000000-0005-0000-0000-00000F810000}"/>
    <cellStyle name="Total 2 5 3" xfId="8631" xr:uid="{00000000-0005-0000-0000-000010810000}"/>
    <cellStyle name="Total 2 5 3 2" xfId="13376" xr:uid="{00000000-0005-0000-0000-000011810000}"/>
    <cellStyle name="Total 2 5 3 3" xfId="32890" xr:uid="{00000000-0005-0000-0000-000012810000}"/>
    <cellStyle name="Total 2 5 4" xfId="8632" xr:uid="{00000000-0005-0000-0000-000013810000}"/>
    <cellStyle name="Total 2 5 4 2" xfId="17362" xr:uid="{00000000-0005-0000-0000-000014810000}"/>
    <cellStyle name="Total 2 5 4 3" xfId="32891" xr:uid="{00000000-0005-0000-0000-000015810000}"/>
    <cellStyle name="Total 2 5 5" xfId="8774" xr:uid="{00000000-0005-0000-0000-000016810000}"/>
    <cellStyle name="Total 2 5 6" xfId="10456" xr:uid="{00000000-0005-0000-0000-000017810000}"/>
    <cellStyle name="Total 2 5 7" xfId="32888" xr:uid="{00000000-0005-0000-0000-000018810000}"/>
    <cellStyle name="Total 2 6" xfId="8633" xr:uid="{00000000-0005-0000-0000-000019810000}"/>
    <cellStyle name="Total 2 6 2" xfId="8634" xr:uid="{00000000-0005-0000-0000-00001A810000}"/>
    <cellStyle name="Total 2 6 2 2" xfId="17363" xr:uid="{00000000-0005-0000-0000-00001B810000}"/>
    <cellStyle name="Total 2 6 2 3" xfId="32893" xr:uid="{00000000-0005-0000-0000-00001C810000}"/>
    <cellStyle name="Total 2 6 3" xfId="8775" xr:uid="{00000000-0005-0000-0000-00001D810000}"/>
    <cellStyle name="Total 2 6 4" xfId="10457" xr:uid="{00000000-0005-0000-0000-00001E810000}"/>
    <cellStyle name="Total 2 6 5" xfId="32892" xr:uid="{00000000-0005-0000-0000-00001F810000}"/>
    <cellStyle name="Total 2 7" xfId="8635" xr:uid="{00000000-0005-0000-0000-000020810000}"/>
    <cellStyle name="Total 2 7 2" xfId="8636" xr:uid="{00000000-0005-0000-0000-000021810000}"/>
    <cellStyle name="Total 2 7 2 2" xfId="10459" xr:uid="{00000000-0005-0000-0000-000022810000}"/>
    <cellStyle name="Total 2 7 2 3" xfId="32895" xr:uid="{00000000-0005-0000-0000-000023810000}"/>
    <cellStyle name="Total 2 7 3" xfId="8637" xr:uid="{00000000-0005-0000-0000-000024810000}"/>
    <cellStyle name="Total 2 7 3 2" xfId="17364" xr:uid="{00000000-0005-0000-0000-000025810000}"/>
    <cellStyle name="Total 2 7 3 3" xfId="32896" xr:uid="{00000000-0005-0000-0000-000026810000}"/>
    <cellStyle name="Total 2 7 4" xfId="8776" xr:uid="{00000000-0005-0000-0000-000027810000}"/>
    <cellStyle name="Total 2 7 5" xfId="10458" xr:uid="{00000000-0005-0000-0000-000028810000}"/>
    <cellStyle name="Total 2 7 6" xfId="32894" xr:uid="{00000000-0005-0000-0000-000029810000}"/>
    <cellStyle name="Total 2 8" xfId="8638" xr:uid="{00000000-0005-0000-0000-00002A810000}"/>
    <cellStyle name="Total 2 8 2" xfId="8639" xr:uid="{00000000-0005-0000-0000-00002B810000}"/>
    <cellStyle name="Total 2 8 2 2" xfId="17365" xr:uid="{00000000-0005-0000-0000-00002C810000}"/>
    <cellStyle name="Total 2 8 2 3" xfId="32898" xr:uid="{00000000-0005-0000-0000-00002D810000}"/>
    <cellStyle name="Total 2 8 3" xfId="8777" xr:uid="{00000000-0005-0000-0000-00002E810000}"/>
    <cellStyle name="Total 2 8 4" xfId="10460" xr:uid="{00000000-0005-0000-0000-00002F810000}"/>
    <cellStyle name="Total 2 8 5" xfId="32897" xr:uid="{00000000-0005-0000-0000-000030810000}"/>
    <cellStyle name="Total 2 9" xfId="8640" xr:uid="{00000000-0005-0000-0000-000031810000}"/>
    <cellStyle name="Total 2 9 2" xfId="8641" xr:uid="{00000000-0005-0000-0000-000032810000}"/>
    <cellStyle name="Total 2 9 2 2" xfId="17366" xr:uid="{00000000-0005-0000-0000-000033810000}"/>
    <cellStyle name="Total 2 9 2 3" xfId="32900" xr:uid="{00000000-0005-0000-0000-000034810000}"/>
    <cellStyle name="Total 2 9 3" xfId="8778" xr:uid="{00000000-0005-0000-0000-000035810000}"/>
    <cellStyle name="Total 2 9 4" xfId="10461" xr:uid="{00000000-0005-0000-0000-000036810000}"/>
    <cellStyle name="Total 2 9 5" xfId="32899" xr:uid="{00000000-0005-0000-0000-000037810000}"/>
    <cellStyle name="Total 20" xfId="8642" xr:uid="{00000000-0005-0000-0000-000038810000}"/>
    <cellStyle name="Total 20 2" xfId="8779" xr:uid="{00000000-0005-0000-0000-000039810000}"/>
    <cellStyle name="Total 20 3" xfId="32901" xr:uid="{00000000-0005-0000-0000-00003A810000}"/>
    <cellStyle name="Total 3" xfId="8643" xr:uid="{00000000-0005-0000-0000-00003B810000}"/>
    <cellStyle name="Total 3 2" xfId="8675" xr:uid="{00000000-0005-0000-0000-00003C810000}"/>
    <cellStyle name="Total 3 3" xfId="32902" xr:uid="{00000000-0005-0000-0000-00003D810000}"/>
    <cellStyle name="Total 3 4" xfId="33092" xr:uid="{00000000-0005-0000-0000-00003E810000}"/>
    <cellStyle name="Total 4" xfId="8644" xr:uid="{00000000-0005-0000-0000-00003F810000}"/>
    <cellStyle name="Total 4 2" xfId="8780" xr:uid="{00000000-0005-0000-0000-000040810000}"/>
    <cellStyle name="Total 4 3" xfId="32903" xr:uid="{00000000-0005-0000-0000-000041810000}"/>
    <cellStyle name="Total 5" xfId="8645" xr:uid="{00000000-0005-0000-0000-000042810000}"/>
    <cellStyle name="Total 5 2" xfId="8781" xr:uid="{00000000-0005-0000-0000-000043810000}"/>
    <cellStyle name="Total 5 3" xfId="32904" xr:uid="{00000000-0005-0000-0000-000044810000}"/>
    <cellStyle name="Total 6" xfId="8646" xr:uid="{00000000-0005-0000-0000-000045810000}"/>
    <cellStyle name="Total 6 2" xfId="8782" xr:uid="{00000000-0005-0000-0000-000046810000}"/>
    <cellStyle name="Total 6 3" xfId="32905" xr:uid="{00000000-0005-0000-0000-000047810000}"/>
    <cellStyle name="Total 7" xfId="8647" xr:uid="{00000000-0005-0000-0000-000048810000}"/>
    <cellStyle name="Total 7 2" xfId="8783" xr:uid="{00000000-0005-0000-0000-000049810000}"/>
    <cellStyle name="Total 7 3" xfId="32906" xr:uid="{00000000-0005-0000-0000-00004A810000}"/>
    <cellStyle name="Total 8" xfId="8648" xr:uid="{00000000-0005-0000-0000-00004B810000}"/>
    <cellStyle name="Total 8 2" xfId="8784" xr:uid="{00000000-0005-0000-0000-00004C810000}"/>
    <cellStyle name="Total 8 3" xfId="32907" xr:uid="{00000000-0005-0000-0000-00004D810000}"/>
    <cellStyle name="Total 9" xfId="8649" xr:uid="{00000000-0005-0000-0000-00004E810000}"/>
    <cellStyle name="Total 9 2" xfId="8785" xr:uid="{00000000-0005-0000-0000-00004F810000}"/>
    <cellStyle name="Total 9 3" xfId="32908" xr:uid="{00000000-0005-0000-0000-000050810000}"/>
    <cellStyle name="Warning Text" xfId="33034" builtinId="11" customBuiltin="1"/>
    <cellStyle name="Warning Text 2" xfId="8814" xr:uid="{00000000-0005-0000-0000-000052810000}"/>
    <cellStyle name="Warning Text 2 2" xfId="33057" xr:uid="{00000000-0005-0000-0000-000053810000}"/>
    <cellStyle name="Warning Text 3" xfId="32909" xr:uid="{00000000-0005-0000-0000-000054810000}"/>
    <cellStyle name="Warning Text 4" xfId="8650" xr:uid="{00000000-0005-0000-0000-000055810000}"/>
  </cellStyles>
  <dxfs count="662">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color rgb="FF9C6500"/>
      </font>
      <fill>
        <patternFill>
          <bgColor rgb="FFFFEB9C"/>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7"/>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7"/>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b/>
        <i val="0"/>
        <color rgb="FF006100"/>
      </font>
      <fill>
        <patternFill>
          <bgColor rgb="FFC6EFCE"/>
        </patternFill>
      </fill>
    </dxf>
    <dxf>
      <font>
        <color rgb="FF006100"/>
      </font>
      <fill>
        <patternFill>
          <bgColor rgb="FFC6EFCE"/>
        </patternFill>
      </fill>
    </dxf>
    <dxf>
      <font>
        <b/>
        <i val="0"/>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ill>
        <patternFill>
          <bgColor indexed="55"/>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ont>
        <b/>
        <i val="0"/>
      </font>
      <fill>
        <patternFill>
          <bgColor rgb="FFFF9999"/>
        </patternFill>
      </fill>
    </dxf>
    <dxf>
      <font>
        <b/>
        <i val="0"/>
      </font>
      <fill>
        <patternFill>
          <bgColor rgb="FFFF9999"/>
        </patternFill>
      </fill>
    </dxf>
    <dxf>
      <font>
        <b/>
        <i val="0"/>
      </font>
      <fill>
        <patternFill patternType="none">
          <bgColor auto="1"/>
        </patternFill>
      </fill>
    </dxf>
    <dxf>
      <fill>
        <patternFill>
          <bgColor rgb="FFF0F0F0"/>
        </patternFill>
      </fill>
    </dxf>
    <dxf>
      <font>
        <b/>
        <i val="0"/>
      </font>
      <border>
        <left style="thin">
          <color auto="1"/>
        </left>
        <right style="thin">
          <color auto="1"/>
        </right>
        <top style="thin">
          <color auto="1"/>
        </top>
        <bottom style="thin">
          <color auto="1"/>
        </bottom>
      </border>
    </dxf>
    <dxf>
      <fill>
        <patternFill>
          <bgColor rgb="FFF0F0F0"/>
        </patternFill>
      </fill>
    </dxf>
    <dxf>
      <fill>
        <patternFill>
          <bgColor indexed="42"/>
        </patternFill>
      </fill>
    </dxf>
    <dxf>
      <fill>
        <patternFill>
          <bgColor indexed="22"/>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22"/>
        </patternFill>
      </fill>
    </dxf>
    <dxf>
      <fill>
        <patternFill>
          <bgColor indexed="42"/>
        </patternFill>
      </fill>
    </dxf>
    <dxf>
      <fill>
        <patternFill>
          <bgColor indexed="22"/>
        </patternFill>
      </fill>
    </dxf>
    <dxf>
      <fill>
        <patternFill>
          <bgColor indexed="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99"/>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Distribution of Marketing Costs over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Marketing!$H$35:$N$35</c:f>
              <c:numCache>
                <c:formatCode>"SYE "General</c:formatCode>
                <c:ptCount val="7"/>
                <c:pt idx="0">
                  <c:v>2023</c:v>
                </c:pt>
                <c:pt idx="1">
                  <c:v>2024</c:v>
                </c:pt>
                <c:pt idx="2">
                  <c:v>2025</c:v>
                </c:pt>
                <c:pt idx="3">
                  <c:v>2026</c:v>
                </c:pt>
                <c:pt idx="4">
                  <c:v>2027</c:v>
                </c:pt>
                <c:pt idx="5">
                  <c:v>2028</c:v>
                </c:pt>
                <c:pt idx="6">
                  <c:v>2029</c:v>
                </c:pt>
              </c:numCache>
            </c:numRef>
          </c:cat>
          <c:val>
            <c:numRef>
              <c:f>Marketing!$H$45:$N$45</c:f>
              <c:numCache>
                <c:formatCode>0%;[Red]\(0%\);"-%"</c:formatCode>
                <c:ptCount val="7"/>
                <c:pt idx="0">
                  <c:v>0.31707317073170732</c:v>
                </c:pt>
                <c:pt idx="1">
                  <c:v>0.12195121951219512</c:v>
                </c:pt>
                <c:pt idx="2">
                  <c:v>0.12195121951219512</c:v>
                </c:pt>
                <c:pt idx="3">
                  <c:v>0.12195121951219512</c:v>
                </c:pt>
                <c:pt idx="4">
                  <c:v>0.12195121951219512</c:v>
                </c:pt>
                <c:pt idx="5">
                  <c:v>9.7560975609756101E-2</c:v>
                </c:pt>
                <c:pt idx="6">
                  <c:v>9.7560975609756101E-2</c:v>
                </c:pt>
              </c:numCache>
            </c:numRef>
          </c:val>
          <c:extLst>
            <c:ext xmlns:c16="http://schemas.microsoft.com/office/drawing/2014/chart" uri="{C3380CC4-5D6E-409C-BE32-E72D297353CC}">
              <c16:uniqueId val="{00000000-5CB2-48AE-9193-C06B0AC357F4}"/>
            </c:ext>
          </c:extLst>
        </c:ser>
        <c:dLbls>
          <c:showLegendKey val="0"/>
          <c:showVal val="0"/>
          <c:showCatName val="0"/>
          <c:showSerName val="0"/>
          <c:showPercent val="0"/>
          <c:showBubbleSize val="0"/>
        </c:dLbls>
        <c:gapWidth val="219"/>
        <c:overlap val="-27"/>
        <c:axId val="609338608"/>
        <c:axId val="609337296"/>
      </c:barChart>
      <c:catAx>
        <c:axId val="609338608"/>
        <c:scaling>
          <c:orientation val="minMax"/>
        </c:scaling>
        <c:delete val="0"/>
        <c:axPos val="b"/>
        <c:numFmt formatCode="&quot;SYE &quot;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7296"/>
        <c:crosses val="autoZero"/>
        <c:auto val="1"/>
        <c:lblAlgn val="ctr"/>
        <c:lblOffset val="100"/>
        <c:noMultiLvlLbl val="0"/>
      </c:catAx>
      <c:valAx>
        <c:axId val="609337296"/>
        <c:scaling>
          <c:orientation val="minMax"/>
        </c:scaling>
        <c:delete val="0"/>
        <c:axPos val="l"/>
        <c:majorGridlines>
          <c:spPr>
            <a:ln w="9525" cap="flat" cmpd="sng" algn="ctr">
              <a:solidFill>
                <a:schemeClr val="tx1">
                  <a:lumMod val="15000"/>
                  <a:lumOff val="85000"/>
                </a:schemeClr>
              </a:solidFill>
              <a:round/>
            </a:ln>
            <a:effectLst/>
          </c:spPr>
        </c:majorGridlines>
        <c:numFmt formatCode="0%;[Red]\(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twoCellAnchor>
    <xdr:from>
      <xdr:col>7</xdr:col>
      <xdr:colOff>625668</xdr:colOff>
      <xdr:row>92</xdr:row>
      <xdr:rowOff>133350</xdr:rowOff>
    </xdr:from>
    <xdr:to>
      <xdr:col>8</xdr:col>
      <xdr:colOff>1353545</xdr:colOff>
      <xdr:row>100</xdr:row>
      <xdr:rowOff>98231</xdr:rowOff>
    </xdr:to>
    <xdr:sp macro="" textlink="">
      <xdr:nvSpPr>
        <xdr:cNvPr id="2" name="TextBox 1">
          <a:extLst>
            <a:ext uri="{FF2B5EF4-FFF2-40B4-BE49-F238E27FC236}">
              <a16:creationId xmlns:a16="http://schemas.microsoft.com/office/drawing/2014/main" id="{1334E5A0-3049-4880-A491-B51E80F9CCAF}"/>
            </a:ext>
          </a:extLst>
        </xdr:cNvPr>
        <xdr:cNvSpPr txBox="1"/>
      </xdr:nvSpPr>
      <xdr:spPr>
        <a:xfrm>
          <a:off x="8760018" y="15039975"/>
          <a:ext cx="2166152" cy="1165031"/>
        </a:xfrm>
        <a:prstGeom prst="rect">
          <a:avLst/>
        </a:prstGeom>
        <a:solidFill>
          <a:srgbClr xmlns:mc="http://schemas.openxmlformats.org/markup-compatibility/2006" xmlns:a14="http://schemas.microsoft.com/office/drawing/2010/main" val="FFFF99" mc:Ignorable="a14" a14:legacySpreadsheetColorIndex="4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Overwrite your inputs to the left.  These assumptions are provided as examples only.  They</a:t>
          </a:r>
          <a:r>
            <a:rPr lang="en-US" sz="1100" baseline="0"/>
            <a:t> </a:t>
          </a:r>
          <a:r>
            <a:rPr lang="en-US" sz="1100"/>
            <a:t>are those that other schools have used. They may not be applicable to your situation.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417634</xdr:colOff>
      <xdr:row>19</xdr:row>
      <xdr:rowOff>0</xdr:rowOff>
    </xdr:from>
    <xdr:to>
      <xdr:col>15</xdr:col>
      <xdr:colOff>4725865</xdr:colOff>
      <xdr:row>19</xdr:row>
      <xdr:rowOff>0</xdr:rowOff>
    </xdr:to>
    <xdr:sp macro="" textlink="">
      <xdr:nvSpPr>
        <xdr:cNvPr id="2" name="TextBox 1">
          <a:extLst>
            <a:ext uri="{FF2B5EF4-FFF2-40B4-BE49-F238E27FC236}">
              <a16:creationId xmlns:a16="http://schemas.microsoft.com/office/drawing/2014/main" id="{988DB187-1639-41B7-B8FC-96B5A9246A0C}"/>
            </a:ext>
          </a:extLst>
        </xdr:cNvPr>
        <xdr:cNvSpPr txBox="1"/>
      </xdr:nvSpPr>
      <xdr:spPr>
        <a:xfrm>
          <a:off x="12076234" y="3383280"/>
          <a:ext cx="2931" cy="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 IN PRINT RANGE</a:t>
          </a:r>
        </a:p>
      </xdr:txBody>
    </xdr:sp>
    <xdr:clientData/>
  </xdr:twoCellAnchor>
  <xdr:twoCellAnchor>
    <xdr:from>
      <xdr:col>13</xdr:col>
      <xdr:colOff>323850</xdr:colOff>
      <xdr:row>6</xdr:row>
      <xdr:rowOff>47625</xdr:rowOff>
    </xdr:from>
    <xdr:to>
      <xdr:col>52</xdr:col>
      <xdr:colOff>200025</xdr:colOff>
      <xdr:row>24</xdr:row>
      <xdr:rowOff>66675</xdr:rowOff>
    </xdr:to>
    <xdr:sp macro="" textlink="">
      <xdr:nvSpPr>
        <xdr:cNvPr id="3" name="TextBox 2">
          <a:extLst>
            <a:ext uri="{FF2B5EF4-FFF2-40B4-BE49-F238E27FC236}">
              <a16:creationId xmlns:a16="http://schemas.microsoft.com/office/drawing/2014/main" id="{E582830C-3F9B-458D-9503-E1B82C3B0704}"/>
            </a:ext>
          </a:extLst>
        </xdr:cNvPr>
        <xdr:cNvSpPr txBox="1"/>
      </xdr:nvSpPr>
      <xdr:spPr>
        <a:xfrm>
          <a:off x="11136630" y="1152525"/>
          <a:ext cx="9050655" cy="3211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4.28 move some/all FYIs to separate location?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85725</xdr:colOff>
      <xdr:row>51</xdr:row>
      <xdr:rowOff>180975</xdr:rowOff>
    </xdr:from>
    <xdr:to>
      <xdr:col>12</xdr:col>
      <xdr:colOff>733425</xdr:colOff>
      <xdr:row>73</xdr:row>
      <xdr:rowOff>11206</xdr:rowOff>
    </xdr:to>
    <xdr:sp macro="" textlink="">
      <xdr:nvSpPr>
        <xdr:cNvPr id="3" name="TextBox 2">
          <a:extLst>
            <a:ext uri="{FF2B5EF4-FFF2-40B4-BE49-F238E27FC236}">
              <a16:creationId xmlns:a16="http://schemas.microsoft.com/office/drawing/2014/main" id="{EE61AF48-7033-4E02-B3E1-47F6974AFA13}"/>
            </a:ext>
          </a:extLst>
        </xdr:cNvPr>
        <xdr:cNvSpPr txBox="1"/>
      </xdr:nvSpPr>
      <xdr:spPr>
        <a:xfrm>
          <a:off x="7828990" y="9134475"/>
          <a:ext cx="7808259" cy="4021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7</a:t>
          </a:r>
          <a:r>
            <a:rPr lang="en-US" sz="1100">
              <a:solidFill>
                <a:schemeClr val="dk1"/>
              </a:solidFill>
              <a:effectLst/>
              <a:latin typeface="+mn-lt"/>
              <a:ea typeface="+mn-ea"/>
              <a:cs typeface="+mn-cs"/>
            </a:rPr>
            <a:t>/10/2020 :</a:t>
          </a:r>
          <a:endParaRPr lang="en-US">
            <a:effectLst/>
          </a:endParaRPr>
        </a:p>
        <a:p>
          <a:r>
            <a:rPr lang="en-US" sz="1100">
              <a:solidFill>
                <a:schemeClr val="dk1"/>
              </a:solidFill>
              <a:effectLst/>
              <a:latin typeface="+mn-lt"/>
              <a:ea typeface="+mn-ea"/>
              <a:cs typeface="+mn-cs"/>
            </a:rPr>
            <a:t>* Charter Schools are Choice agencies so all PERS eligible employees would have the option to select the Employer paid or the Employee/Employer paid contribution plan if the employee has never selected the Employer paid plan in the past at a choice employer.</a:t>
          </a:r>
        </a:p>
        <a:p>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4/14/2020 :</a:t>
          </a:r>
        </a:p>
        <a:p>
          <a:pPr eaLnBrk="1" fontAlgn="auto" latinLnBrk="0" hangingPunct="1"/>
          <a:r>
            <a:rPr lang="en-US" sz="1100">
              <a:solidFill>
                <a:schemeClr val="dk1"/>
              </a:solidFill>
              <a:effectLst/>
              <a:latin typeface="+mn-lt"/>
              <a:ea typeface="+mn-ea"/>
              <a:cs typeface="+mn-cs"/>
            </a:rPr>
            <a:t>* The Employer Paid rate is 29.25% and the Employee/ Employer Paid plan is 15.25% for the EE and 15.25% for the Employer.</a:t>
          </a:r>
        </a:p>
        <a:p>
          <a:r>
            <a:rPr lang="en-US" sz="1100" b="0" i="0">
              <a:solidFill>
                <a:schemeClr val="dk1"/>
              </a:solidFill>
              <a:effectLst/>
              <a:latin typeface="+mn-lt"/>
              <a:ea typeface="+mn-ea"/>
              <a:cs typeface="+mn-cs"/>
            </a:rPr>
            <a:t>PERS rate change, 7/12/2021</a:t>
          </a:r>
        </a:p>
        <a:p>
          <a:r>
            <a:rPr lang="en-US"/>
            <a:t>THE CONTRIBUTION RATE FOR MEMBERS OF THE RETIREMENT SYSTEM WHO ELECT EMPLOYEE/EMPLOYER PAY CONTRIBUTION PLAN IS 15.50%. </a:t>
          </a:r>
          <a:r>
            <a:rPr lang="en-US" sz="1100" b="0" i="0">
              <a:solidFill>
                <a:schemeClr val="dk1"/>
              </a:solidFill>
              <a:effectLst/>
              <a:latin typeface="+mn-lt"/>
              <a:ea typeface="+mn-ea"/>
              <a:cs typeface="+mn-cs"/>
            </a:rPr>
            <a:t> </a:t>
          </a:r>
        </a:p>
        <a:p>
          <a:pPr eaLnBrk="1" fontAlgn="auto" latinLnBrk="0" hangingPunct="1"/>
          <a:endParaRPr lang="en-US">
            <a:effectLst/>
          </a:endParaRPr>
        </a:p>
        <a:p>
          <a:endParaRPr lang="en-US">
            <a:effectLst/>
          </a:endParaRPr>
        </a:p>
        <a:p>
          <a:r>
            <a:rPr lang="en-US">
              <a:hlinkClick xmlns:r="http://schemas.openxmlformats.org/officeDocument/2006/relationships" r:id=""/>
            </a:rPr>
            <a:t>https://www.nvpers.org/public/employers/PERS%20Official%20Policies.pdf</a:t>
          </a:r>
          <a:endParaRPr lang="en-US">
            <a:effectLst/>
          </a:endParaRPr>
        </a:p>
        <a:p>
          <a:endParaRPr lang="en-US">
            <a:effectLst/>
          </a:endParaRPr>
        </a:p>
        <a:p>
          <a:r>
            <a:rPr lang="en-US"/>
            <a:t>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a:t>
          </a:r>
          <a:endParaRPr lang="en-US"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351075</xdr:colOff>
      <xdr:row>53</xdr:row>
      <xdr:rowOff>152288</xdr:rowOff>
    </xdr:from>
    <xdr:to>
      <xdr:col>5</xdr:col>
      <xdr:colOff>425530</xdr:colOff>
      <xdr:row>98</xdr:row>
      <xdr:rowOff>88375</xdr:rowOff>
    </xdr:to>
    <xdr:sp macro="" textlink="">
      <xdr:nvSpPr>
        <xdr:cNvPr id="2" name="TextBox 1">
          <a:extLst>
            <a:ext uri="{FF2B5EF4-FFF2-40B4-BE49-F238E27FC236}">
              <a16:creationId xmlns:a16="http://schemas.microsoft.com/office/drawing/2014/main" id="{240D1027-C1D0-47E6-B105-8D66286594A0}"/>
            </a:ext>
          </a:extLst>
        </xdr:cNvPr>
        <xdr:cNvSpPr txBox="1"/>
      </xdr:nvSpPr>
      <xdr:spPr>
        <a:xfrm>
          <a:off x="351075" y="10147935"/>
          <a:ext cx="6338543" cy="7500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NAC 388A.190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Provision and maintenance of industrial and general liability insurance coverage. (</a:t>
          </a:r>
          <a:r>
            <a:rPr lang="en-US" sz="1100" u="sng">
              <a:solidFill>
                <a:schemeClr val="dk1"/>
              </a:solidFill>
              <a:effectLst/>
              <a:latin typeface="+mn-lt"/>
              <a:ea typeface="+mn-ea"/>
              <a:cs typeface="+mn-cs"/>
              <a:hlinkClick xmlns:r="http://schemas.openxmlformats.org/officeDocument/2006/relationships" r:id=""/>
            </a:rPr>
            <a:t>NRS 385.080</a:t>
          </a:r>
          <a:r>
            <a:rPr lang="en-US" sz="1100" b="1">
              <a:solidFill>
                <a:schemeClr val="dk1"/>
              </a:solidFill>
              <a:effectLst/>
              <a:latin typeface="+mn-lt"/>
              <a:ea typeface="+mn-ea"/>
              <a:cs typeface="+mn-cs"/>
            </a:rPr>
            <a:t>, </a:t>
          </a:r>
          <a:r>
            <a:rPr lang="en-US" sz="1100" u="sng">
              <a:solidFill>
                <a:schemeClr val="dk1"/>
              </a:solidFill>
              <a:effectLst/>
              <a:latin typeface="+mn-lt"/>
              <a:ea typeface="+mn-ea"/>
              <a:cs typeface="+mn-cs"/>
              <a:hlinkClick xmlns:r="http://schemas.openxmlformats.org/officeDocument/2006/relationships" r:id=""/>
            </a:rPr>
            <a:t>388A.110</a:t>
          </a:r>
          <a:r>
            <a:rPr lang="en-US" sz="1100" b="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1.  Except as otherwise provided in subsection 4 of </a:t>
          </a:r>
          <a:r>
            <a:rPr lang="en-US" sz="1100" u="sng">
              <a:solidFill>
                <a:schemeClr val="dk1"/>
              </a:solidFill>
              <a:effectLst/>
              <a:latin typeface="+mn-lt"/>
              <a:ea typeface="+mn-ea"/>
              <a:cs typeface="+mn-cs"/>
              <a:hlinkClick xmlns:r="http://schemas.openxmlformats.org/officeDocument/2006/relationships" r:id=""/>
            </a:rPr>
            <a:t>NAC 388A.140</a:t>
          </a:r>
          <a:r>
            <a:rPr lang="en-US" sz="1100">
              <a:solidFill>
                <a:schemeClr val="dk1"/>
              </a:solidFill>
              <a:effectLst/>
              <a:latin typeface="+mn-lt"/>
              <a:ea typeface="+mn-ea"/>
              <a:cs typeface="+mn-cs"/>
            </a:rPr>
            <a:t>, a committee to form a charter school shall obtain insurance from an authorized insurer as follows:</a:t>
          </a:r>
        </a:p>
        <a:p>
          <a:r>
            <a:rPr lang="en-US" sz="1100">
              <a:solidFill>
                <a:schemeClr val="dk1"/>
              </a:solidFill>
              <a:effectLst/>
              <a:latin typeface="+mn-lt"/>
              <a:ea typeface="+mn-ea"/>
              <a:cs typeface="+mn-cs"/>
            </a:rPr>
            <a:t>     (a) Industrial insurance coverage in accordance with the applicable provisions of the Nevada Industrial Insurance Act, </a:t>
          </a:r>
          <a:r>
            <a:rPr lang="en-US" sz="1100" u="sng">
              <a:solidFill>
                <a:schemeClr val="dk1"/>
              </a:solidFill>
              <a:effectLst/>
              <a:latin typeface="+mn-lt"/>
              <a:ea typeface="+mn-ea"/>
              <a:cs typeface="+mn-cs"/>
              <a:hlinkClick xmlns:r="http://schemas.openxmlformats.org/officeDocument/2006/relationships" r:id=""/>
            </a:rPr>
            <a:t>chapters 616A</a:t>
          </a:r>
          <a:r>
            <a:rPr lang="en-US" sz="1100">
              <a:solidFill>
                <a:schemeClr val="dk1"/>
              </a:solidFill>
              <a:effectLst/>
              <a:latin typeface="+mn-lt"/>
              <a:ea typeface="+mn-ea"/>
              <a:cs typeface="+mn-cs"/>
            </a:rPr>
            <a:t> to </a:t>
          </a:r>
          <a:r>
            <a:rPr lang="en-US" sz="1100" u="sng">
              <a:solidFill>
                <a:schemeClr val="dk1"/>
              </a:solidFill>
              <a:effectLst/>
              <a:latin typeface="+mn-lt"/>
              <a:ea typeface="+mn-ea"/>
              <a:cs typeface="+mn-cs"/>
              <a:hlinkClick xmlns:r="http://schemas.openxmlformats.org/officeDocument/2006/relationships" r:id=""/>
            </a:rPr>
            <a:t>616D</a:t>
          </a:r>
          <a:r>
            <a:rPr lang="en-US" sz="1100">
              <a:solidFill>
                <a:schemeClr val="dk1"/>
              </a:solidFill>
              <a:effectLst/>
              <a:latin typeface="+mn-lt"/>
              <a:ea typeface="+mn-ea"/>
              <a:cs typeface="+mn-cs"/>
            </a:rPr>
            <a:t>, inclusive, of NRS.</a:t>
          </a:r>
        </a:p>
        <a:p>
          <a:r>
            <a:rPr lang="en-US" sz="1100">
              <a:solidFill>
                <a:schemeClr val="dk1"/>
              </a:solidFill>
              <a:effectLst/>
              <a:latin typeface="+mn-lt"/>
              <a:ea typeface="+mn-ea"/>
              <a:cs typeface="+mn-cs"/>
            </a:rPr>
            <a:t>     (b) Except as otherwise provided in subsection 2, </a:t>
          </a:r>
          <a:r>
            <a:rPr lang="en-US" sz="1100" b="0">
              <a:solidFill>
                <a:schemeClr val="dk1"/>
              </a:solidFill>
              <a:effectLst/>
              <a:latin typeface="+mn-lt"/>
              <a:ea typeface="+mn-ea"/>
              <a:cs typeface="+mn-cs"/>
            </a:rPr>
            <a:t>general liability</a:t>
          </a:r>
          <a:r>
            <a:rPr lang="en-US" sz="1100">
              <a:solidFill>
                <a:schemeClr val="dk1"/>
              </a:solidFill>
              <a:effectLst/>
              <a:latin typeface="+mn-lt"/>
              <a:ea typeface="+mn-ea"/>
              <a:cs typeface="+mn-cs"/>
            </a:rPr>
            <a:t> insurance with a minimum coverage of $1,000,000. The general liability insurance policy must include coverage for molestation and sexual abuse, and have a broad form policy, with the named insureds as follows:</a:t>
          </a:r>
        </a:p>
        <a:p>
          <a:r>
            <a:rPr lang="en-US" sz="1100">
              <a:solidFill>
                <a:schemeClr val="dk1"/>
              </a:solidFill>
              <a:effectLst/>
              <a:latin typeface="+mn-lt"/>
              <a:ea typeface="+mn-ea"/>
              <a:cs typeface="+mn-cs"/>
            </a:rPr>
            <a:t>          (1) The sponsor of the charter school;</a:t>
          </a:r>
        </a:p>
        <a:p>
          <a:r>
            <a:rPr lang="en-US" sz="1100">
              <a:solidFill>
                <a:schemeClr val="dk1"/>
              </a:solidFill>
              <a:effectLst/>
              <a:latin typeface="+mn-lt"/>
              <a:ea typeface="+mn-ea"/>
              <a:cs typeface="+mn-cs"/>
            </a:rPr>
            <a:t>          (2) All employees of the charter school, including, without limitation, former, present and future employees;</a:t>
          </a:r>
        </a:p>
        <a:p>
          <a:r>
            <a:rPr lang="en-US" sz="1100">
              <a:solidFill>
                <a:schemeClr val="dk1"/>
              </a:solidFill>
              <a:effectLst/>
              <a:latin typeface="+mn-lt"/>
              <a:ea typeface="+mn-ea"/>
              <a:cs typeface="+mn-cs"/>
            </a:rPr>
            <a:t>          (3) Volunteers at the charter school; and</a:t>
          </a:r>
        </a:p>
        <a:p>
          <a:r>
            <a:rPr lang="en-US" sz="1100">
              <a:solidFill>
                <a:schemeClr val="dk1"/>
              </a:solidFill>
              <a:effectLst/>
              <a:latin typeface="+mn-lt"/>
              <a:ea typeface="+mn-ea"/>
              <a:cs typeface="+mn-cs"/>
            </a:rPr>
            <a:t>          (4) </a:t>
          </a:r>
          <a:r>
            <a:rPr lang="en-US" sz="1100" b="0">
              <a:solidFill>
                <a:schemeClr val="dk1"/>
              </a:solidFill>
              <a:effectLst/>
              <a:latin typeface="+mn-lt"/>
              <a:ea typeface="+mn-ea"/>
              <a:cs typeface="+mn-cs"/>
            </a:rPr>
            <a:t>Directors </a:t>
          </a:r>
          <a:r>
            <a:rPr lang="en-US" sz="1100">
              <a:solidFill>
                <a:schemeClr val="dk1"/>
              </a:solidFill>
              <a:effectLst/>
              <a:latin typeface="+mn-lt"/>
              <a:ea typeface="+mn-ea"/>
              <a:cs typeface="+mn-cs"/>
            </a:rPr>
            <a:t>of the charter school, including, </a:t>
          </a:r>
          <a:r>
            <a:rPr lang="en-US" sz="1100" b="0">
              <a:solidFill>
                <a:schemeClr val="dk1"/>
              </a:solidFill>
              <a:effectLst/>
              <a:latin typeface="+mn-lt"/>
              <a:ea typeface="+mn-ea"/>
              <a:cs typeface="+mn-cs"/>
            </a:rPr>
            <a:t>without limitation, executive directors.</a:t>
          </a:r>
        </a:p>
        <a:p>
          <a:r>
            <a:rPr lang="en-US" sz="1100">
              <a:solidFill>
                <a:schemeClr val="dk1"/>
              </a:solidFill>
              <a:effectLst/>
              <a:latin typeface="+mn-lt"/>
              <a:ea typeface="+mn-ea"/>
              <a:cs typeface="+mn-cs"/>
            </a:rPr>
            <a:t>     (c) Umbrella liability insurance with a minimum coverage of $3,000,000.               </a:t>
          </a:r>
        </a:p>
        <a:p>
          <a:r>
            <a:rPr lang="en-US" sz="1100">
              <a:solidFill>
                <a:schemeClr val="dk1"/>
              </a:solidFill>
              <a:effectLst/>
              <a:latin typeface="+mn-lt"/>
              <a:ea typeface="+mn-ea"/>
              <a:cs typeface="+mn-cs"/>
            </a:rPr>
            <a:t>     (d) Educators’ legal liability insurance with a minimum coverage of $1,000,000.</a:t>
          </a:r>
        </a:p>
        <a:p>
          <a:r>
            <a:rPr lang="en-US" sz="1100">
              <a:solidFill>
                <a:schemeClr val="dk1"/>
              </a:solidFill>
              <a:effectLst/>
              <a:latin typeface="+mn-lt"/>
              <a:ea typeface="+mn-ea"/>
              <a:cs typeface="+mn-cs"/>
            </a:rPr>
            <a:t>     (e) Employment practices liability insurance with a minimum coverage of $1,000,000.</a:t>
          </a:r>
        </a:p>
        <a:p>
          <a:r>
            <a:rPr lang="en-US" sz="1100">
              <a:solidFill>
                <a:schemeClr val="dk1"/>
              </a:solidFill>
              <a:effectLst/>
              <a:latin typeface="+mn-lt"/>
              <a:ea typeface="+mn-ea"/>
              <a:cs typeface="+mn-cs"/>
            </a:rPr>
            <a:t>     (f) Employment benefits liability insurance with a minimum coverage of $1,000,000.</a:t>
          </a:r>
        </a:p>
        <a:p>
          <a:r>
            <a:rPr lang="en-US" sz="1100">
              <a:solidFill>
                <a:schemeClr val="dk1"/>
              </a:solidFill>
              <a:effectLst/>
              <a:latin typeface="+mn-lt"/>
              <a:ea typeface="+mn-ea"/>
              <a:cs typeface="+mn-cs"/>
            </a:rPr>
            <a:t>     (g) Insurance covering errors and omissions of the sponsor and governing body of the charter school with a minimum coverage of $1,000,000.</a:t>
          </a:r>
        </a:p>
        <a:p>
          <a:r>
            <a:rPr lang="en-US" sz="1100">
              <a:solidFill>
                <a:schemeClr val="dk1"/>
              </a:solidFill>
              <a:effectLst/>
              <a:latin typeface="+mn-lt"/>
              <a:ea typeface="+mn-ea"/>
              <a:cs typeface="+mn-cs"/>
            </a:rPr>
            <a:t>     (h) If applicable, motor vehicle liability insurance with a minimum coverage of $1,000,000.</a:t>
          </a:r>
        </a:p>
        <a:p>
          <a:r>
            <a:rPr lang="en-US" sz="1100">
              <a:solidFill>
                <a:schemeClr val="dk1"/>
              </a:solidFill>
              <a:effectLst/>
              <a:latin typeface="+mn-lt"/>
              <a:ea typeface="+mn-ea"/>
              <a:cs typeface="+mn-cs"/>
            </a:rPr>
            <a:t>     (i) If applicable, liability insurance for sports and athletic participation with a minimum coverage of $1,000,000.</a:t>
          </a:r>
        </a:p>
        <a:p>
          <a:r>
            <a:rPr lang="en-US" sz="1100">
              <a:solidFill>
                <a:schemeClr val="dk1"/>
              </a:solidFill>
              <a:effectLst/>
              <a:latin typeface="+mn-lt"/>
              <a:ea typeface="+mn-ea"/>
              <a:cs typeface="+mn-cs"/>
            </a:rPr>
            <a:t>Ê The cost of insurance required by this subsection must be provided to the proposed sponsor by the authorized insurer and included in each budget submitted pursuant to subsection 4 of </a:t>
          </a:r>
          <a:r>
            <a:rPr lang="en-US" sz="1100" u="sng">
              <a:solidFill>
                <a:schemeClr val="dk1"/>
              </a:solidFill>
              <a:effectLst/>
              <a:latin typeface="+mn-lt"/>
              <a:ea typeface="+mn-ea"/>
              <a:cs typeface="+mn-cs"/>
              <a:hlinkClick xmlns:r="http://schemas.openxmlformats.org/officeDocument/2006/relationships" r:id=""/>
            </a:rPr>
            <a:t>NAC 388A.160</a:t>
          </a:r>
          <a:r>
            <a:rPr lang="en-US" sz="1100">
              <a:solidFill>
                <a:schemeClr val="dk1"/>
              </a:solidFill>
              <a:effectLst/>
              <a:latin typeface="+mn-lt"/>
              <a:ea typeface="+mn-ea"/>
              <a:cs typeface="+mn-cs"/>
            </a:rPr>
            <a:t> and </a:t>
          </a:r>
          <a:r>
            <a:rPr lang="en-US" sz="1100" u="sng">
              <a:solidFill>
                <a:schemeClr val="dk1"/>
              </a:solidFill>
              <a:effectLst/>
              <a:latin typeface="+mn-lt"/>
              <a:ea typeface="+mn-ea"/>
              <a:cs typeface="+mn-cs"/>
              <a:hlinkClick xmlns:r="http://schemas.openxmlformats.org/officeDocument/2006/relationships" r:id=""/>
            </a:rPr>
            <a:t>NAC 387.725</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p>
        <a:p>
          <a:r>
            <a:rPr lang="en-US" sz="1100">
              <a:solidFill>
                <a:schemeClr val="dk1"/>
              </a:solidFill>
              <a:effectLst/>
              <a:latin typeface="+mn-lt"/>
              <a:ea typeface="+mn-ea"/>
              <a:cs typeface="+mn-cs"/>
            </a:rPr>
            <a:t>     3.  If an application to form a charter school is approved, the governing body of the charter school shall maintain the insurance required by this section.</a:t>
          </a:r>
        </a:p>
        <a:p>
          <a:r>
            <a:rPr lang="en-US" sz="1100">
              <a:solidFill>
                <a:schemeClr val="dk1"/>
              </a:solidFill>
              <a:effectLst/>
              <a:latin typeface="+mn-lt"/>
              <a:ea typeface="+mn-ea"/>
              <a:cs typeface="+mn-cs"/>
            </a:rPr>
            <a:t>     4.  An insurer that provides any insurance required pursuant to this section must have a rating of “A-” or better and be classified in a financial category of “VII” or better as determined by A.M. Best Company of Oldwick, New Jersey.</a:t>
          </a:r>
        </a:p>
        <a:p>
          <a:r>
            <a:rPr lang="en-US" sz="1100">
              <a:solidFill>
                <a:schemeClr val="dk1"/>
              </a:solidFill>
              <a:effectLst/>
              <a:latin typeface="+mn-lt"/>
              <a:ea typeface="+mn-ea"/>
              <a:cs typeface="+mn-cs"/>
            </a:rPr>
            <a:t>     5.  As used in this section, “motor vehicle” has the meaning ascribed to it in </a:t>
          </a:r>
          <a:r>
            <a:rPr lang="en-US" sz="1100" u="sng">
              <a:solidFill>
                <a:schemeClr val="dk1"/>
              </a:solidFill>
              <a:effectLst/>
              <a:latin typeface="+mn-lt"/>
              <a:ea typeface="+mn-ea"/>
              <a:cs typeface="+mn-cs"/>
              <a:hlinkClick xmlns:r="http://schemas.openxmlformats.org/officeDocument/2006/relationships" r:id=""/>
            </a:rPr>
            <a:t>NRS 485.050</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(Added to NAC by Dep’t of Education by R044-05, eff. 10-31-2005; A by R074-07, 10-31-2007; A by Bd. of Education by R026-09, 10-27-2009; A by Dep’t of Education by R035-14, 12-22-2014) — (Substituted in revision for NAC 386.215)</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xdr:colOff>
      <xdr:row>0</xdr:row>
      <xdr:rowOff>42861</xdr:rowOff>
    </xdr:from>
    <xdr:to>
      <xdr:col>14</xdr:col>
      <xdr:colOff>0</xdr:colOff>
      <xdr:row>8</xdr:row>
      <xdr:rowOff>133350</xdr:rowOff>
    </xdr:to>
    <xdr:graphicFrame macro="">
      <xdr:nvGraphicFramePr>
        <xdr:cNvPr id="3" name="Chart 2">
          <a:extLst>
            <a:ext uri="{FF2B5EF4-FFF2-40B4-BE49-F238E27FC236}">
              <a16:creationId xmlns:a16="http://schemas.microsoft.com/office/drawing/2014/main" id="{252BAAC3-BACD-46F0-9E2E-B6D3A33A0F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125016</xdr:colOff>
      <xdr:row>16</xdr:row>
      <xdr:rowOff>8283</xdr:rowOff>
    </xdr:from>
    <xdr:to>
      <xdr:col>4</xdr:col>
      <xdr:colOff>414130</xdr:colOff>
      <xdr:row>21</xdr:row>
      <xdr:rowOff>190500</xdr:rowOff>
    </xdr:to>
    <xdr:sp macro="" textlink="">
      <xdr:nvSpPr>
        <xdr:cNvPr id="2" name="Right Brace 1">
          <a:extLst>
            <a:ext uri="{FF2B5EF4-FFF2-40B4-BE49-F238E27FC236}">
              <a16:creationId xmlns:a16="http://schemas.microsoft.com/office/drawing/2014/main" id="{0F46D520-CD22-4243-8B12-BE1C09720F3A}"/>
            </a:ext>
          </a:extLst>
        </xdr:cNvPr>
        <xdr:cNvSpPr/>
      </xdr:nvSpPr>
      <xdr:spPr bwMode="auto">
        <a:xfrm>
          <a:off x="5417603" y="3163957"/>
          <a:ext cx="289114" cy="977347"/>
        </a:xfrm>
        <a:prstGeom prst="rightBrace">
          <a:avLst>
            <a:gd name="adj1" fmla="val 0"/>
            <a:gd name="adj2" fmla="val 5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238125</xdr:colOff>
      <xdr:row>231</xdr:row>
      <xdr:rowOff>190500</xdr:rowOff>
    </xdr:from>
    <xdr:to>
      <xdr:col>37</xdr:col>
      <xdr:colOff>266700</xdr:colOff>
      <xdr:row>252</xdr:row>
      <xdr:rowOff>133350</xdr:rowOff>
    </xdr:to>
    <xdr:sp macro="" textlink="">
      <xdr:nvSpPr>
        <xdr:cNvPr id="4" name="TextBox 3">
          <a:extLst>
            <a:ext uri="{FF2B5EF4-FFF2-40B4-BE49-F238E27FC236}">
              <a16:creationId xmlns:a16="http://schemas.microsoft.com/office/drawing/2014/main" id="{E02FF4D1-AE58-4044-885C-AF51C7C1B860}"/>
            </a:ext>
          </a:extLst>
        </xdr:cNvPr>
        <xdr:cNvSpPr txBox="1"/>
      </xdr:nvSpPr>
      <xdr:spPr>
        <a:xfrm>
          <a:off x="9229725" y="24745950"/>
          <a:ext cx="3952875" cy="414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Though a student can only be counted</a:t>
          </a:r>
          <a:r>
            <a:rPr lang="en-US" sz="1100" baseline="0"/>
            <a:t> in one category if they otherwise qualify for multiple categories I'm breaking out the mixture of  where a student is being counted and not counted.</a:t>
          </a:r>
        </a:p>
        <a:p>
          <a:endParaRPr lang="en-US" sz="1100" baseline="0"/>
        </a:p>
        <a:p>
          <a:r>
            <a:rPr lang="en-US" sz="1100" baseline="0"/>
            <a:t>That's because we've been counting "blended" students  historically and I think we want to still be able to  continue that "measurement" approach.</a:t>
          </a:r>
        </a:p>
        <a:p>
          <a:endParaRPr lang="en-US" sz="1100" baseline="0"/>
        </a:p>
        <a:p>
          <a:r>
            <a:rPr lang="en-US" sz="1100" baseline="0"/>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lang="en-US" sz="1100"/>
        </a:p>
      </xdr:txBody>
    </xdr:sp>
    <xdr:clientData/>
  </xdr:twoCellAnchor>
  <xdr:oneCellAnchor>
    <xdr:from>
      <xdr:col>5</xdr:col>
      <xdr:colOff>771525</xdr:colOff>
      <xdr:row>57</xdr:row>
      <xdr:rowOff>142875</xdr:rowOff>
    </xdr:from>
    <xdr:ext cx="184731" cy="264560"/>
    <xdr:sp macro="" textlink="">
      <xdr:nvSpPr>
        <xdr:cNvPr id="5" name="TextBox 4">
          <a:extLst>
            <a:ext uri="{FF2B5EF4-FFF2-40B4-BE49-F238E27FC236}">
              <a16:creationId xmlns:a16="http://schemas.microsoft.com/office/drawing/2014/main" id="{CF1715AC-FB00-451D-860C-E637E4496418}"/>
            </a:ext>
          </a:extLst>
        </xdr:cNvPr>
        <xdr:cNvSpPr txBox="1"/>
      </xdr:nvSpPr>
      <xdr:spPr>
        <a:xfrm>
          <a:off x="4953000" y="1089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478568</xdr:colOff>
      <xdr:row>25</xdr:row>
      <xdr:rowOff>26918</xdr:rowOff>
    </xdr:from>
    <xdr:to>
      <xdr:col>20</xdr:col>
      <xdr:colOff>57232</xdr:colOff>
      <xdr:row>46</xdr:row>
      <xdr:rowOff>154470</xdr:rowOff>
    </xdr:to>
    <xdr:pic>
      <xdr:nvPicPr>
        <xdr:cNvPr id="4" name="Picture 10">
          <a:extLst>
            <a:ext uri="{FF2B5EF4-FFF2-40B4-BE49-F238E27FC236}">
              <a16:creationId xmlns:a16="http://schemas.microsoft.com/office/drawing/2014/main" id="{10F8F633-D7A6-43D2-98E4-4A8A182DB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088" y="1261358"/>
          <a:ext cx="11450624" cy="3647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198782</xdr:colOff>
      <xdr:row>47</xdr:row>
      <xdr:rowOff>124239</xdr:rowOff>
    </xdr:from>
    <xdr:to>
      <xdr:col>10</xdr:col>
      <xdr:colOff>480391</xdr:colOff>
      <xdr:row>55</xdr:row>
      <xdr:rowOff>107674</xdr:rowOff>
    </xdr:to>
    <xdr:sp macro="" textlink="">
      <xdr:nvSpPr>
        <xdr:cNvPr id="3" name="TextBox 2">
          <a:extLst>
            <a:ext uri="{FF2B5EF4-FFF2-40B4-BE49-F238E27FC236}">
              <a16:creationId xmlns:a16="http://schemas.microsoft.com/office/drawing/2014/main" id="{D104F1A3-32FF-4A1B-9B3B-9F2787368E25}"/>
            </a:ext>
          </a:extLst>
        </xdr:cNvPr>
        <xdr:cNvSpPr txBox="1"/>
      </xdr:nvSpPr>
      <xdr:spPr>
        <a:xfrm>
          <a:off x="198782" y="4994413"/>
          <a:ext cx="6137413" cy="1308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115957</xdr:colOff>
      <xdr:row>5</xdr:row>
      <xdr:rowOff>49696</xdr:rowOff>
    </xdr:from>
    <xdr:to>
      <xdr:col>8</xdr:col>
      <xdr:colOff>397565</xdr:colOff>
      <xdr:row>25</xdr:row>
      <xdr:rowOff>1</xdr:rowOff>
    </xdr:to>
    <xdr:sp macro="" textlink="">
      <xdr:nvSpPr>
        <xdr:cNvPr id="2" name="TextBox 1">
          <a:hlinkClick xmlns:r="http://schemas.openxmlformats.org/officeDocument/2006/relationships" r:id="rId1"/>
          <a:extLst>
            <a:ext uri="{FF2B5EF4-FFF2-40B4-BE49-F238E27FC236}">
              <a16:creationId xmlns:a16="http://schemas.microsoft.com/office/drawing/2014/main" id="{26377E2C-059C-47BD-AD43-F0EAE52F1DE5}"/>
            </a:ext>
          </a:extLst>
        </xdr:cNvPr>
        <xdr:cNvSpPr txBox="1"/>
      </xdr:nvSpPr>
      <xdr:spPr>
        <a:xfrm>
          <a:off x="115957" y="944218"/>
          <a:ext cx="5284304" cy="3263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Generic Facilities and FFE narrative</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https://tax.nv.gov/LocalGovt/PolicyPub/ArchiveFiles/PersonalPropertyManual/2020-2021_Personal_Property_Manual_rev_03282019/</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 .  The values used come from the Information Systems section on page 11, and the Office Furniture, Retail Sales Equipment, Other section on page 16.</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p>
        <a:p>
          <a:r>
            <a:rPr lang="en-US" sz="1100" u="none" strike="noStrike" baseline="0">
              <a:solidFill>
                <a:srgbClr xmlns:mc="http://schemas.openxmlformats.org/markup-compatibility/2006" xmlns:a14="http://schemas.microsoft.com/office/drawing/2010/main" val="000000" mc:Ignorable="a14" a14:legacySpreadsheetColorIndex="8"/>
              </a:solidFill>
              <a:latin typeface="Times New Roman" panose="02020603050405020304" pitchFamily="18" charset="0"/>
            </a:rPr>
            <a:t>sdf</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xdr:col>
      <xdr:colOff>115956</xdr:colOff>
      <xdr:row>8</xdr:row>
      <xdr:rowOff>124238</xdr:rowOff>
    </xdr:from>
    <xdr:ext cx="2923761" cy="1297919"/>
    <xdr:sp macro="" textlink="">
      <xdr:nvSpPr>
        <xdr:cNvPr id="2" name="TextBox 1">
          <a:extLst>
            <a:ext uri="{FF2B5EF4-FFF2-40B4-BE49-F238E27FC236}">
              <a16:creationId xmlns:a16="http://schemas.microsoft.com/office/drawing/2014/main" id="{344B4FE5-32CA-449D-ADED-41FA2D531554}"/>
            </a:ext>
          </a:extLst>
        </xdr:cNvPr>
        <xdr:cNvSpPr txBox="1"/>
      </xdr:nvSpPr>
      <xdr:spPr>
        <a:xfrm>
          <a:off x="10576891" y="1292086"/>
          <a:ext cx="2923761" cy="1297919"/>
        </a:xfrm>
        <a:prstGeom prst="rect">
          <a:avLst/>
        </a:prstGeom>
        <a:solidFill>
          <a:schemeClr val="accent1">
            <a:alpha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This page is intended to be a quick view of how each cost center is affecting overall financial performance. </a:t>
          </a:r>
        </a:p>
        <a:p>
          <a:r>
            <a:rPr lang="en-US" sz="1100"/>
            <a:t>It will automatically populate</a:t>
          </a:r>
          <a:r>
            <a:rPr lang="en-US" sz="1100" baseline="0"/>
            <a:t> as you complete the required tabs in the application. The use of this tab is completely optional and at your discretion.</a:t>
          </a:r>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Mike Dang" id="{FAF4D931-C93D-4FFD-82E5-86CCABFC6923}" userId="Mike Dang" providerId="None"/>
  <person displayName="Michael Dang" id="{58D7CBF4-770A-4C73-A5CB-9F34A753C88F}" userId="Michael Dang" providerId="None"/>
  <person displayName="Rebecca Feiden" id="{3F526A3D-F904-4460-8024-57A590EB9F4D}" userId="Rebecca Feiden" providerId="None"/>
  <person displayName="Michael Dang" id="{53965B3A-B08B-4BC2-8174-88EB25E8A830}" userId="S::mdang@spcsa.nv.gov::a3e2d36e-033d-41a4-80d1-b0cff51c0698" providerId="AD"/>
  <person displayName="Michael Hutchins" id="{B99A2D5D-3262-48B4-9518-41102A0FECDD}" userId="S::m.hutchins@spcsa.nv.gov::0dee9529-13a7-462b-a458-930bcfd86a30" providerId="AD"/>
  <person displayName="Rebecca Feiden" id="{7A64DA6E-3042-4603-90E5-A73BD641A103}" userId="S::rebecca.feiden@spcsa.nv.gov::fd18cebc-0508-4b38-b6c1-d0a03d487c7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 personId="{58D7CBF4-770A-4C73-A5CB-9F34A753C88F}" id="{C9720B80-4DE7-4342-B7EE-57EDC974AF12}">
    <text>Freeze pane anchor cell.</text>
  </threadedComment>
  <threadedComment ref="B14" dT="2019-10-09T22:19:25.08" personId="{B99A2D5D-3262-48B4-9518-41102A0FECDD}" id="{9909DB41-4054-4051-8E9D-3A06A152DDC1}">
    <text>Lines renamed to match profile</text>
  </threadedComment>
  <threadedComment ref="B42" dT="2019-10-09T22:19:55.60" personId="{B99A2D5D-3262-48B4-9518-41102A0FECDD}" id="{AE8693CC-D799-40D8-BC0A-DDEFCADE3B8B}">
    <text>Lines renamed to match profile and other tabs</text>
  </threadedComment>
  <threadedComment ref="C42" dT="2019-10-09T22:20:22.95" personId="{B99A2D5D-3262-48B4-9518-41102A0FECDD}" id="{14D4832A-A429-4B66-9D06-54B3C5043617}">
    <text>Numbers now pulling from depreciation based expenses instead of cash acquisition cost.</text>
  </threadedComment>
</ThreadedComments>
</file>

<file path=xl/threadedComments/threadedComment10.xml><?xml version="1.0" encoding="utf-8"?>
<ThreadedComments xmlns="http://schemas.microsoft.com/office/spreadsheetml/2018/threadedcomments" xmlns:x="http://schemas.openxmlformats.org/spreadsheetml/2006/main">
  <threadedComment ref="Q14" personId="{3F526A3D-F904-4460-8024-57A590EB9F4D}" id="{AE20A937-C675-4D93-974B-C8C4FB974162}">
    <text>Used SY 2017-18 projections from NDE Budget Template</text>
  </threadedComment>
</ThreadedComments>
</file>

<file path=xl/threadedComments/threadedComment11.xml><?xml version="1.0" encoding="utf-8"?>
<ThreadedComments xmlns="http://schemas.microsoft.com/office/spreadsheetml/2018/threadedcomments" xmlns:x="http://schemas.openxmlformats.org/spreadsheetml/2006/main">
  <threadedComment ref="B36" personId="{58D7CBF4-770A-4C73-A5CB-9F34A753C88F}" id="{5A0475E5-6B0D-4D68-9F79-BF251AC40EF8}">
    <text xml:space="preserve">Keep at &gt;=1 in FTE section; use PT section for PT, like 0.5 </text>
  </threadedComment>
</ThreadedComments>
</file>

<file path=xl/threadedComments/threadedComment12.xml><?xml version="1.0" encoding="utf-8"?>
<ThreadedComments xmlns="http://schemas.microsoft.com/office/spreadsheetml/2018/threadedcomments" xmlns:x="http://schemas.openxmlformats.org/spreadsheetml/2006/main">
  <threadedComment ref="B33" personId="{58D7CBF4-770A-4C73-A5CB-9F34A753C88F}" id="{3A938AAD-556B-4D4E-BDCA-B0961C23113C}">
    <text>Great Teaching &amp; Leading, NV Ready Technology, Teacher Incentives, and other measures in AB309 of the 2019 legislative session</text>
  </threadedComment>
</ThreadedComments>
</file>

<file path=xl/threadedComments/threadedComment13.xml><?xml version="1.0" encoding="utf-8"?>
<ThreadedComments xmlns="http://schemas.microsoft.com/office/spreadsheetml/2018/threadedcomments" xmlns:x="http://schemas.openxmlformats.org/spreadsheetml/2006/main">
  <threadedComment ref="E3" personId="{58D7CBF4-770A-4C73-A5CB-9F34A753C88F}" id="{BA7C49A7-E4F8-478A-B9F9-8FF2E94C5657}">
    <text>1. Enter a # only, like 1.  Do not enter text with a number.
2. New schools may enter a 0 here so they can input their Planning &amp; pre-opening period.</text>
  </threadedComment>
  <threadedComment ref="E16" personId="{58D7CBF4-770A-4C73-A5CB-9F34A753C88F}" id="{FF5B6DC4-8A8F-41AA-917C-8CC709B31B55}">
    <text>Enter the year # only.  Do not enter "Fall."</text>
  </threadedComment>
  <threadedComment ref="D30" personId="{58D7CBF4-770A-4C73-A5CB-9F34A753C88F}" id="{9EF2DCE2-0379-443E-AF19-FD6DA92042C6}">
    <text>Source: Actual enrollment from DSA spreadsheet</text>
  </threadedComment>
  <threadedComment ref="D31" personId="{58D7CBF4-770A-4C73-A5CB-9F34A753C88F}" id="{80EE43C8-23A7-41E1-8ECC-4681E57D3A31}">
    <text>Source:  Projected/budgeted from submitted annual proposed budget</text>
  </threadedComment>
  <threadedComment ref="D50" personId="{58D7CBF4-770A-4C73-A5CB-9F34A753C88F}" id="{D94463C8-17DE-4EE8-85C5-B346F078C2FC}">
    <text>Source: Statement of Activities--for Accrual based figures</text>
  </threadedComment>
  <threadedComment ref="D56" personId="{58D7CBF4-770A-4C73-A5CB-9F34A753C88F}" id="{8BCCCF2A-5654-40EA-869B-E87FF448E73C}">
    <text>Exclude borrowings, other "Other Financing Sources"</text>
  </threadedComment>
  <threadedComment ref="D57" personId="{58D7CBF4-770A-4C73-A5CB-9F34A753C88F}" id="{A5B5DA5E-2398-43F8-8BD4-72FC99DAD521}">
    <text>May include interest and all other revenues</text>
  </threadedComment>
  <threadedComment ref="D61" personId="{58D7CBF4-770A-4C73-A5CB-9F34A753C88F}" id="{925C8E0F-3549-4C79-A543-85B85CB6E18F}">
    <text>Source: Statement of Activities--for Accrual based figures</text>
  </threadedComment>
  <threadedComment ref="D68" personId="{58D7CBF4-770A-4C73-A5CB-9F34A753C88F}" id="{EAF65C4F-B2FB-4841-BADF-2A1884486645}">
    <text>Input Total Expenses here and show select included detail below.</text>
  </threadedComment>
  <threadedComment ref="D76" personId="{58D7CBF4-770A-4C73-A5CB-9F34A753C88F}" id="{D424E146-9AB4-4D53-8AE7-E99FB1C03F66}">
    <text>Treated as included operating expenses.</text>
  </threadedComment>
  <threadedComment ref="D81" personId="{58D7CBF4-770A-4C73-A5CB-9F34A753C88F}" id="{0E6723B7-983A-4E34-A6C4-A8764EAEEDEB}">
    <text>Source: Notes to the audited financial statements</text>
  </threadedComment>
  <threadedComment ref="D84" personId="{58D7CBF4-770A-4C73-A5CB-9F34A753C88F}" id="{FF5409AF-10DD-4058-A75C-9F1704F33019}">
    <text>This total does not include the detail breakout shown above.</text>
  </threadedComment>
  <threadedComment ref="D93" personId="{58D7CBF4-770A-4C73-A5CB-9F34A753C88F}" id="{6160B074-5221-4D20-8A46-B8DE112F6730}">
    <text>Borrowings (bond proceeds, capital lease balance) are not net income, but
like Net Income they may change the fund balance</text>
  </threadedComment>
  <threadedComment ref="D95" personId="{58D7CBF4-770A-4C73-A5CB-9F34A753C88F}" id="{D81F2086-D8C7-4FEF-A557-2513669E30DC}">
    <text>Exclude principal reductions; 
Include allowed pre-issuance Capital Expenditures.</text>
  </threadedComment>
  <threadedComment ref="D96" personId="{58D7CBF4-770A-4C73-A5CB-9F34A753C88F}" id="{F5FBE767-41EE-42CC-B61D-40BD1B40E5FE}">
    <text>Exclude principal reductions; 
Include allowed pre-issuance Capital Expenditures.</text>
  </threadedComment>
  <threadedComment ref="D99" personId="{58D7CBF4-770A-4C73-A5CB-9F34A753C88F}" id="{D764C28F-7392-4896-8432-C1BD663F5A28}">
    <text>Source: Notes to the audited financial statements</text>
  </threadedComment>
  <threadedComment ref="D114" personId="{58D7CBF4-770A-4C73-A5CB-9F34A753C88F}" id="{BF827CE1-E0D5-4A41-AC33-4F05FA0F0810}">
    <text>Source: Statement of Net Position for Accrual based figures</text>
  </threadedComment>
  <threadedComment ref="D115" personId="{58D7CBF4-770A-4C73-A5CB-9F34A753C88F}" id="{D3D3D0DD-E457-461D-99D3-FAFD6D4B48CA}">
    <text>Includes committed, assigned and unassigned Fund Balance in Cash</text>
  </threadedComment>
  <threadedComment ref="D116" personId="{58D7CBF4-770A-4C73-A5CB-9F34A753C88F}" id="{CCD7618F-33E3-4329-861C-B9BC87D0850C}">
    <text>Includes restricted and non spendable</text>
  </threadedComment>
  <threadedComment ref="D118" personId="{58D7CBF4-770A-4C73-A5CB-9F34A753C88F}" id="{B05B84E6-AD1B-44AD-9CF8-CD28C8499B41}">
    <text>Other liquid assets, (includes restricted and non spendable?)</text>
  </threadedComment>
  <threadedComment ref="D119" personId="{58D7CBF4-770A-4C73-A5CB-9F34A753C88F}" id="{C36D1222-C8D7-4773-9447-1EE5A79832A4}">
    <text>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ext>
  </threadedComment>
  <threadedComment ref="D128" personId="{58D7CBF4-770A-4C73-A5CB-9F34A753C88F}" id="{2EF6650B-478F-45AC-8488-920858D382E1}">
    <text>Source: Statement of Net Position</text>
  </threadedComment>
  <threadedComment ref="D133" personId="{58D7CBF4-770A-4C73-A5CB-9F34A753C88F}" id="{FC606374-F8DD-4108-BF46-277C3A8BE38C}">
    <text>Fixed, capital and other non current assets</text>
  </threadedComment>
  <threadedComment ref="D138" personId="{58D7CBF4-770A-4C73-A5CB-9F34A753C88F}" id="{9FFB3B12-1544-40D9-958D-4779E7749ACA}">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0" personId="{58D7CBF4-770A-4C73-A5CB-9F34A753C88F}" id="{B4855853-AEE4-4A76-917F-062A501F0687}">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2" personId="{58D7CBF4-770A-4C73-A5CB-9F34A753C88F}" id="{6130FD02-39D3-4368-A866-A5C0F2A5D0E2}">
    <text>Sources: Statement of Net Position for Accrual based figures</text>
  </threadedComment>
  <threadedComment ref="D147" personId="{58D7CBF4-770A-4C73-A5CB-9F34A753C88F}" id="{6FB96492-3895-47C8-ACA1-4775A5724239}">
    <text>This figure will be included in the DSCR (Debt Service Coverage Ratio) as the Annual Principal part of the current portion of debt service.</text>
  </threadedComment>
  <threadedComment ref="D148" personId="{58D7CBF4-770A-4C73-A5CB-9F34A753C88F}" id="{1CCF4E3A-97D0-4F0C-B3F1-02E31D46296F}">
    <text>Excludes (current) Annual Principal</text>
  </threadedComment>
  <threadedComment ref="D153" personId="{58D7CBF4-770A-4C73-A5CB-9F34A753C88F}" id="{5A1BC673-86C8-4B69-AF12-294879169A98}">
    <text>Noncurrent portions</text>
  </threadedComment>
  <threadedComment ref="D157" personId="{58D7CBF4-770A-4C73-A5CB-9F34A753C88F}" id="{5A1F9388-6BA2-4832-A636-9827827CEBE5}">
    <text xml:space="preserve">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ext>
  </threadedComment>
  <threadedComment ref="D159" personId="{58D7CBF4-770A-4C73-A5CB-9F34A753C88F}" id="{B956B5D8-D6C2-48D3-BA19-495F736E00F1}">
    <text>This line excludes bonds and pension liabilities.</text>
  </threadedComment>
  <threadedComment ref="D163" personId="{FAF4D931-C93D-4FFD-82E5-86CCABFC6923}" id="{A0E80373-DA3A-4C6E-98CF-2F2B71098BA6}">
    <text>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5" personId="{58D7CBF4-770A-4C73-A5CB-9F34A753C88F}" id="{3B28F732-7871-4595-A39C-F96037823978}">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6" personId="{58D7CBF4-770A-4C73-A5CB-9F34A753C88F}" id="{E1F0B92A-4338-4CCD-A354-1F5BDB8D005E}">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82" personId="{58D7CBF4-770A-4C73-A5CB-9F34A753C88F}" id="{6E7A36B7-E470-47E3-ABF5-9D9DB52B5C10}">
    <text xml:space="preserve">E.g., Total Expense line may not tie to annual report due to GASB treatment of Capital Expenditures and Other Financing Sources (e.g., Capital Leases)
or
See attached comments from CFO/Auditor…
</text>
  </threadedComment>
  <threadedComment ref="P194" personId="{58D7CBF4-770A-4C73-A5CB-9F34A753C88F}" id="{8D516DA2-B76D-40AA-BD42-6FF36222AC10}">
    <text>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ext>
  </threadedComment>
  <threadedComment ref="B195" personId="{FAF4D931-C93D-4FFD-82E5-86CCABFC6923}" id="{8FB0F1CB-7550-4984-B838-41F2F3F4DADB}">
    <text xml:space="preserve">These numbers point to the row this line is pulling data from for easy verification of input and calculations. </text>
  </threadedComment>
  <threadedComment ref="D195" personId="{FAF4D931-C93D-4FFD-82E5-86CCABFC6923}" id="{EEF88A48-2BA2-4CD8-ABA9-461F8B833776}">
    <text>1. Operating vs. facility/bond/capital oriented.
2. 'Cash and cash equivalents, Marketable securities, Accounts receivable, Prepaid expenses, Inventory</text>
  </threadedComment>
  <threadedComment ref="D205" personId="{FAF4D931-C93D-4FFD-82E5-86CCABFC6923}" id="{1F9E233C-FF65-459E-BC31-54B201D5C46C}">
    <text xml:space="preserve">Unrestricted cash and unrestricted cash equivalents included. </text>
  </threadedComment>
  <threadedComment ref="P205" personId="{58D7CBF4-770A-4C73-A5CB-9F34A753C88F}" id="{DEDF1C8B-6C66-44A9-82F9-AC74543E08C4}">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07" personId="{FAF4D931-C93D-4FFD-82E5-86CCABFC6923}" id="{21881F71-D08F-4B70-B53D-72A9DF7F1FFD}">
    <text>Added Amortization line which is not in NACSA baseline framework.</text>
  </threadedComment>
  <threadedComment ref="D208" personId="{FAF4D931-C93D-4FFD-82E5-86CCABFC6923}" id="{9DDB4C4B-2DC4-4C61-AF3F-46195EC07D9A}">
    <text>Removed Amortization line to be consistent w/NACSA baseline framework.</text>
  </threadedComment>
  <threadedComment ref="D209" personId="{58D7CBF4-770A-4C73-A5CB-9F34A753C88F}" id="{3A896750-4502-4AA5-8478-D8ABA6B9EBEC}">
    <text>Total Expenses, Net of, excluding, Depreciation and Amortization.</text>
  </threadedComment>
  <threadedComment ref="D211" personId="{FAF4D931-C93D-4FFD-82E5-86CCABFC6923}" id="{FAD6E8D0-EB82-4A56-B61F-39D2DB4D483F}">
    <text>Schools paid quarterly, especially new ones, may have lower year end balances to account for as they wait for funding for the next quarter.</text>
  </threadedComment>
  <threadedComment ref="D218" dT="2021-12-23T17:29:54.96" personId="{53965B3A-B08B-4BC2-8174-88EB25E8A830}" id="{0063AFC9-9FDC-4CAA-9923-89974B3B2A3E}">
    <text>This measure adds A/R.  This can add important information when scheduled government payments to the school may have been delayed but are highly likely to be received within a very short period of time from the relevant, instant year end.</text>
  </threadedComment>
  <threadedComment ref="P218" personId="{58D7CBF4-770A-4C73-A5CB-9F34A753C88F}" id="{8BC8C2A0-BB26-42D3-8E44-B3939D6FE69E}">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19" personId="{FAF4D931-C93D-4FFD-82E5-86CCABFC6923}" id="{5265978B-105B-45BF-9594-E5B22EA7C2FD}">
    <text xml:space="preserve">Unrestricted cash and unrestricted cash equivalents included. </text>
  </threadedComment>
  <threadedComment ref="D221" personId="{FAF4D931-C93D-4FFD-82E5-86CCABFC6923}" id="{DC9596C0-6132-41E9-924A-4A47A7516640}">
    <text>Added Amortization line which is not in NACSA baseline framework.</text>
  </threadedComment>
  <threadedComment ref="D222" personId="{FAF4D931-C93D-4FFD-82E5-86CCABFC6923}" id="{2B35503D-E18C-4D16-A3A4-0936A5D32441}">
    <text>Removed Amortization line to be consistent w/NACSA baseline framework.</text>
  </threadedComment>
  <threadedComment ref="D224" personId="{58D7CBF4-770A-4C73-A5CB-9F34A753C88F}" id="{2ED45917-42E6-402D-9CAC-4B0F90A5F6DC}">
    <text>Total Expenses, Net of, excluding, Depreciation and Amortization.</text>
  </threadedComment>
  <threadedComment ref="D226" personId="{FAF4D931-C93D-4FFD-82E5-86CCABFC6923}" id="{601BE3D0-0922-44B0-9F70-AB7E4FCA4C80}">
    <text>Schools paid quarterly, especially new ones, may have lower year end balances to account for as they wait for funding for the next quarter.</text>
  </threadedComment>
  <threadedComment ref="P240" personId="{58D7CBF4-770A-4C73-A5CB-9F34A753C88F}" id="{503B4693-9D63-4B98-9336-8EDDDCDCBBA5}">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 ref="D282" personId="{FAF4D931-C93D-4FFD-82E5-86CCABFC6923}" id="{02CF319E-90FB-4226-9EC1-79BB3F7EB809}">
    <text>Aka Net Income.  Do not include borrowings in Net Income.</text>
  </threadedComment>
  <threadedComment ref="P282" personId="{58D7CBF4-770A-4C73-A5CB-9F34A753C88F}" id="{BBFD4C95-C4C9-401A-A8CF-22651C01C513}">
    <text xml:space="preserve">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ext>
  </threadedComment>
  <threadedComment ref="D283" personId="{FAF4D931-C93D-4FFD-82E5-86CCABFC6923}" id="{B7E5CA85-6F5D-4411-9D73-71501D39BD4F}">
    <text>Do not add borrowings to revenue or net income.  Do not count principal payments as expenses.</text>
  </threadedComment>
  <threadedComment ref="D284" personId="{FAF4D931-C93D-4FFD-82E5-86CCABFC6923}" id="{535E5536-FC56-4659-8AD0-E3D444E2226B}">
    <text>Uses SPCSA baseline # decimal places, p 13.</text>
  </threadedComment>
  <threadedComment ref="D290" personId="{58D7CBF4-770A-4C73-A5CB-9F34A753C88F}" id="{01A5D7BB-E23D-4406-9B63-5B75F6404407}">
    <text>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ext>
  </threadedComment>
  <threadedComment ref="D296" personId="{58D7CBF4-770A-4C73-A5CB-9F34A753C88F}" id="{95811CE4-6005-4935-820C-8B258A433E6C}">
    <text>Includes Capital Assets, bond issuance, facility, capital lease activity.</text>
  </threadedComment>
  <threadedComment ref="P296" personId="{58D7CBF4-770A-4C73-A5CB-9F34A753C88F}" id="{0DF9C7D3-EEE8-48EF-AB67-B62051911BCF}">
    <text>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ext>
  </threadedComment>
  <threadedComment ref="D303" personId="{58D7CBF4-770A-4C73-A5CB-9F34A753C88F}" id="{7DF9987E-6C4B-469B-908A-16AD58F44BCF}">
    <text>Total "Operating" Liabilities (All non capital liabilities)(ST &amp; LT Liabilities)</text>
  </threadedComment>
  <threadedComment ref="D304" personId="{58D7CBF4-770A-4C73-A5CB-9F34A753C88F}" id="{DB89B4EC-15C7-4B85-9D53-08020EC25FEE}">
    <text>Total "Operating" Assets</text>
  </threadedComment>
  <threadedComment ref="D305" personId="{58D7CBF4-770A-4C73-A5CB-9F34A753C88F}" id="{FC44B013-D5FD-494F-B31B-1433077214F9}">
    <text>Excludes Capital Assets</text>
  </threadedComment>
  <threadedComment ref="D311" personId="{58D7CBF4-770A-4C73-A5CB-9F34A753C88F}" id="{601B84D7-24DA-46B4-973B-914D11CF95CF}">
    <text>"[I]ncludes restricted and unrestricted funds."</text>
  </threadedComment>
  <threadedComment ref="P311" personId="{58D7CBF4-770A-4C73-A5CB-9F34A753C88F}" id="{7FCD745E-454A-42BA-8D6C-9A6B290D9E46}">
    <text>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ext>
  </threadedComment>
  <threadedComment ref="D312" personId="{FAF4D931-C93D-4FFD-82E5-86CCABFC6923}" id="{2AD78D4C-CEE7-431C-B39E-3986FE147149}">
    <text>To be consistent with our focus on operations, bond  proceeds cash is not included in these amounts. 
Includes cash equivalents (Excludes bond proceeds)</text>
  </threadedComment>
  <threadedComment ref="D313" personId="{58D7CBF4-770A-4C73-A5CB-9F34A753C88F}" id="{980124F9-FAA1-4650-9678-AD631AF10EC1}">
    <text>Y3-Y1 (rolling 3 year lookback)</text>
  </threadedComment>
  <threadedComment ref="D314" personId="{58D7CBF4-770A-4C73-A5CB-9F34A753C88F}" id="{546DFF76-CA63-4F28-8F88-AA2F2397E48A}">
    <text>Y2-Y1 (rolling 1 year lookback)</text>
  </threadedComment>
  <threadedComment ref="P321" personId="{58D7CBF4-770A-4C73-A5CB-9F34A753C88F}" id="{7938D43F-6361-4D55-B3AE-BF681A84214C}">
    <text>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ext>
  </threadedComment>
  <threadedComment ref="D328" personId="{58D7CBF4-770A-4C73-A5CB-9F34A753C88F}" id="{9B1F396B-8A2B-44F8-AB60-74B5E8E89686}">
    <text>Net Income before Depreciation, Interest Expense and Amortization, to derive net income cash available to cover fixed charges</text>
  </threadedComment>
  <threadedComment ref="D331" personId="{58D7CBF4-770A-4C73-A5CB-9F34A753C88F}" id="{66EB5305-7BEB-4AAD-A06E-A479F8A134ED}">
    <text>Total Interest, including bond, capital, building, financing interest</text>
  </threadedComment>
  <threadedComment ref="D336" personId="{58D7CBF4-770A-4C73-A5CB-9F34A753C88F}" id="{F7F68BF0-AB4A-44FB-9F20-9EACBBB5733C}">
    <text>Or Debt, Lease and other Fixed Charge Coverage Ratio</text>
  </threadedComment>
  <threadedComment ref="D365" personId="{58D7CBF4-770A-4C73-A5CB-9F34A753C88F}" id="{75594FC5-C4A4-4C79-BD10-ABB57AAFBF5A}">
    <text>Is this school in it's first contract term (or is it in a renewal term)?</text>
  </threadedComment>
  <threadedComment ref="D383" personId="{58D7CBF4-770A-4C73-A5CB-9F34A753C88F}" id="{99961362-1BB4-4A7D-B24F-3DE09C251E50}">
    <text>Is this school in it's first contract term (or is it in a renewal term)?</text>
  </threadedComment>
  <threadedComment ref="P399" personId="{58D7CBF4-770A-4C73-A5CB-9F34A753C88F}" id="{707DC854-63F4-46CF-A2E4-897B9E05C39F}">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C9" personId="{58D7CBF4-770A-4C73-A5CB-9F34A753C88F}" id="{3C354C26-ABAF-4990-B105-01215F15C21A}">
    <text>Freeze pane anchor cell.</text>
  </threadedComment>
  <threadedComment ref="B75" dT="2019-10-09T22:21:33.10" personId="{B99A2D5D-3262-48B4-9518-41102A0FECDD}" id="{B6F42B41-A78D-412D-AF3D-9126A5E0D606}">
    <text>lines changed for consistency</text>
  </threadedComment>
  <threadedComment ref="B92" dT="2019-10-09T22:21:46.00" personId="{B99A2D5D-3262-48B4-9518-41102A0FECDD}" id="{60129E67-CD70-46E7-91DA-906463589E3F}">
    <text>lines changed for consistency</text>
  </threadedComment>
  <threadedComment ref="B112" dT="2019-10-09T22:21:59.11" personId="{B99A2D5D-3262-48B4-9518-41102A0FECDD}" id="{E0B74DCF-2136-4060-977D-5542CAFEBFAB}">
    <text>lines changed for consistency</text>
  </threadedComment>
</ThreadedComments>
</file>

<file path=xl/threadedComments/threadedComment3.xml><?xml version="1.0" encoding="utf-8"?>
<ThreadedComments xmlns="http://schemas.microsoft.com/office/spreadsheetml/2018/threadedcomments" xmlns:x="http://schemas.openxmlformats.org/spreadsheetml/2006/main">
  <threadedComment ref="B34" personId="{58D7CBF4-770A-4C73-A5CB-9F34A753C88F}" id="{87EFE0C2-FEF2-455B-9DF6-67099F02ADE0}">
    <text>A five mile distance as the crow flies or by google maps travel distance.</text>
  </threadedComment>
  <threadedComment ref="I34" personId="{58D7CBF4-770A-4C73-A5CB-9F34A753C88F}" id="{F01B7D95-1612-4E39-9CC5-6D2B6DA04B58}">
    <text>Based on Google Maps or another mapping program of your choice.
The distance from the school can be to your targeted location or to nearby cross-streets.</text>
  </threadedComment>
  <threadedComment ref="B59" personId="{58D7CBF4-770A-4C73-A5CB-9F34A753C88F}" id="{FC7B4D31-52E5-4D8E-9CFD-7E893C787CAE}">
    <text>A five mile distance as the crow flies or by google maps travel distance.</text>
  </threadedComment>
  <threadedComment ref="I59" personId="{58D7CBF4-770A-4C73-A5CB-9F34A753C88F}" id="{3148EB90-8AD1-426D-8608-1AB43F281B40}">
    <text>Based on Google Maps or another mapping program of your choice.
The distance from the school can be to your targeted location or to nearby cross-streets.</text>
  </threadedComment>
</ThreadedComments>
</file>

<file path=xl/threadedComments/threadedComment4.xml><?xml version="1.0" encoding="utf-8"?>
<ThreadedComments xmlns="http://schemas.microsoft.com/office/spreadsheetml/2018/threadedcomments" xmlns:x="http://schemas.openxmlformats.org/spreadsheetml/2006/main">
  <threadedComment ref="D12" personId="{58D7CBF4-770A-4C73-A5CB-9F34A753C88F}" id="{44638AEC-F4AF-481B-B482-D02A8E76DFE4}">
    <text xml:space="preserve">Freeze Pane Anchor cell.
Place cursor here if you wish to freeze the panes so you can see which e so you can continue to see the years for the columns you want to review. </text>
  </threadedComment>
  <threadedComment ref="B40" dT="2021-10-04T23:22:54.99" personId="{7A64DA6E-3042-4603-90E5-A73BD641A103}" id="{ACFF2C00-C68D-444F-A86C-AF37774166CB}">
    <text>I would call this "ENROLLMENT BY STUDENT GROUP (Federally Fundable)</text>
  </threadedComment>
  <threadedComment ref="B40" dT="2021-10-04T23:33:10.37" personId="{53965B3A-B08B-4BC2-8174-88EB25E8A830}" id="{EBFCEABF-E48C-4A48-80CC-451A555DB4CA}" parentId="{ACFF2C00-C68D-444F-A86C-AF37774166CB}">
    <text>Thank you.  It's updated.</text>
  </threadedComment>
  <threadedComment ref="C94" personId="{58D7CBF4-770A-4C73-A5CB-9F34A753C88F}" id="{FAF9EAF0-2408-4BEA-AA7F-D3ED4C6366EF}">
    <text>From $350. 2019.11.14</text>
  </threadedComment>
  <threadedComment ref="C94" dT="2021-09-30T17:34:30.93" personId="{53965B3A-B08B-4BC2-8174-88EB25E8A830}" id="{D547E158-008F-4D23-A342-727E8EDADA7E}" parentId="{FAF9EAF0-2408-4BEA-AA7F-D3ED4C6366EF}">
    <text>August 26, 2021 em from RF: $400 PP</text>
  </threadedComment>
  <threadedComment ref="C94" dT="2021-09-30T20:49:37.35" personId="{53965B3A-B08B-4BC2-8174-88EB25E8A830}" id="{80965E5C-60E9-4736-A322-1CF90D3DBC29}" parentId="{FAF9EAF0-2408-4BEA-AA7F-D3ED4C6366EF}">
    <text>RF 8/26/21 em @ $400</text>
  </threadedComment>
</ThreadedComments>
</file>

<file path=xl/threadedComments/threadedComment5.xml><?xml version="1.0" encoding="utf-8"?>
<ThreadedComments xmlns="http://schemas.microsoft.com/office/spreadsheetml/2018/threadedcomments" xmlns:x="http://schemas.openxmlformats.org/spreadsheetml/2006/main">
  <threadedComment ref="B17" dT="2019-10-09T22:22:23.61" personId="{B99A2D5D-3262-48B4-9518-41102A0FECDD}" id="{428C169F-7646-4CB0-B350-6B3997D0EBEC}">
    <text>lines changed to align with profile tab</text>
  </threadedComment>
  <threadedComment ref="F17" dT="2020-09-22T19:45:51.09" personId="{53965B3A-B08B-4BC2-8174-88EB25E8A830}" id="{BDF6EB88-3B12-45EF-B31B-51448D1C1895}">
    <text>=(B14/4)*0.75 used to reflect not getting full amount in Q1 but getting balance of payments equally for remaining quarters--for those on a quarterly payment plan.</text>
  </threadedComment>
  <threadedComment ref="F17" dT="2020-10-08T21:07:40.04" personId="{53965B3A-B08B-4BC2-8174-88EB25E8A830}" id="{8E21B931-9FD6-403A-B1CB-471B871E5471}" parentId="{BDF6EB88-3B12-45EF-B31B-51448D1C1895}">
    <text>Typically paid ~ 0.75~ of estimate and then the 0.25 is made up over the rest of the year.  See Sage formula; based on enrollment count in May.</text>
  </threadedComment>
  <threadedComment ref="I17" dT="2020-09-22T19:46:13.34" personId="{53965B3A-B08B-4BC2-8174-88EB25E8A830}" id="{CC4CE2D3-F1FC-4593-8BE0-D7109E7EAC25}">
    <text>used to reflect getting balance of payments equally for remaining quarters--for those on a quarterly payment plan.</text>
  </threadedComment>
  <threadedComment ref="B39" dT="2019-10-09T22:22:57.48" personId="{B99A2D5D-3262-48B4-9518-41102A0FECDD}" id="{747F349B-9CDE-4C7C-8445-7504F225BB0C}">
    <text>Lines changed to line up with profile and other tabs</text>
  </threadedComment>
  <threadedComment ref="E39" dT="2019-10-09T22:23:07.55" personId="{B99A2D5D-3262-48B4-9518-41102A0FECDD}" id="{5F5A5891-0F7E-438F-98FE-D46B19DAAF7A}">
    <text>conditional formatting added</text>
  </threadedComment>
  <threadedComment ref="B86" dT="2019-10-09T22:23:55.26" personId="{B99A2D5D-3262-48B4-9518-41102A0FECDD}" id="{E1B0AABC-FE85-4305-BCDA-D864236FBEFC}">
    <text>lines changed for consistency</text>
  </threadedComment>
  <threadedComment ref="B108" dT="2019-10-09T22:24:07.51" personId="{B99A2D5D-3262-48B4-9518-41102A0FECDD}" id="{105A4EF2-9C02-45A7-B312-9628B5927DF1}">
    <text>lines changed for consistency</text>
  </threadedComment>
  <threadedComment ref="B130" dT="2019-10-09T22:25:27.80" personId="{B99A2D5D-3262-48B4-9518-41102A0FECDD}" id="{5FEA338C-255D-43F8-9B7C-705D98B58B85}">
    <text>added lines to display cash expenses for each month as a percentage of the beginning and ending cash balance to highlight areas of potential liquidity concerns.</text>
  </threadedComment>
</ThreadedComments>
</file>

<file path=xl/threadedComments/threadedComment6.xml><?xml version="1.0" encoding="utf-8"?>
<ThreadedComments xmlns="http://schemas.microsoft.com/office/spreadsheetml/2018/threadedcomments" xmlns:x="http://schemas.openxmlformats.org/spreadsheetml/2006/main">
  <threadedComment ref="B60" personId="{58D7CBF4-770A-4C73-A5CB-9F34A753C88F}" id="{5A0A3B32-63B9-42AC-8F5E-76D6B93E179E}">
    <text xml:space="preserve">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ext>
  </threadedComment>
  <threadedComment ref="C62" personId="{58D7CBF4-770A-4C73-A5CB-9F34A753C88F}" id="{3FB75770-6A7E-41E4-989A-899F878C4E99}">
    <text xml:space="preserve">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ext>
  </threadedComment>
  <threadedComment ref="G140" dT="2020-09-22T19:01:17.23" personId="{53965B3A-B08B-4BC2-8174-88EB25E8A830}" id="{9FA39296-9023-4041-80FE-8575CCE2873E}">
    <text>You may now increase/decrease staff counts in this section of the model.</text>
  </threadedComment>
  <threadedComment ref="B427" dT="2020-10-14T22:58:10.23" personId="{53965B3A-B08B-4BC2-8174-88EB25E8A830}" id="{D1F6324D-8682-456C-9C83-BF47E7B5D48E}">
    <text>E.g., 0.5 + 0.5 + 0.25 + 0.6 = 1.85 PTE</text>
  </threadedComment>
</ThreadedComments>
</file>

<file path=xl/threadedComments/threadedComment7.xml><?xml version="1.0" encoding="utf-8"?>
<ThreadedComments xmlns="http://schemas.microsoft.com/office/spreadsheetml/2018/threadedcomments" xmlns:x="http://schemas.openxmlformats.org/spreadsheetml/2006/main">
  <threadedComment ref="C9" personId="{58D7CBF4-770A-4C73-A5CB-9F34A753C88F}" id="{8EDDD725-5C94-46C0-924D-C11E83DCC10F}">
    <text>Freeze Pane Anchor cell</text>
  </threadedComment>
  <threadedComment ref="F40" dT="2019-10-09T22:26:48.95" personId="{B99A2D5D-3262-48B4-9518-41102A0FECDD}" id="{049FD8B7-A556-4458-B741-9CE337C84F58}">
    <text>added capitalization assumption for capital outlay.  15 year depreciation schedule used based on Nevada Personal Property Manual (PPM)</text>
  </threadedComment>
  <threadedComment ref="G40" dT="2019-10-09T22:26:48.95" personId="{B99A2D5D-3262-48B4-9518-41102A0FECDD}" id="{7EE94EAF-B192-4E48-A3B1-248D938F898C}">
    <text>added capitalization assumption for capital outlay.  15 year depreciation schedule used based on Nevada Personal Property Manual (PPM)</text>
  </threadedComment>
  <threadedComment ref="F41" dT="2019-10-09T22:28:14.70" personId="{B99A2D5D-3262-48B4-9518-41102A0FECDD}" id="{DBC2E7CB-2685-404F-A07E-01603B5F45EF}">
    <text>LIst both the cash cost and the book expense</text>
  </threadedComment>
  <threadedComment ref="G41" dT="2019-10-09T22:28:14.70" personId="{B99A2D5D-3262-48B4-9518-41102A0FECDD}" id="{4D20B39F-CCD5-40F6-88A7-DA908090EB1A}">
    <text>LIst both the cash cost and the book expense</text>
  </threadedComment>
  <threadedComment ref="H41" dT="2019-10-09T22:28:14.70" personId="{B99A2D5D-3262-48B4-9518-41102A0FECDD}" id="{21BECB29-E1AE-4A1A-B3D7-3382A184FF5F}">
    <text>LIst both the cash cost and the book expense</text>
  </threadedComment>
  <threadedComment ref="I41" dT="2019-10-09T22:28:14.70" personId="{B99A2D5D-3262-48B4-9518-41102A0FECDD}" id="{CCEB1454-32E8-49D9-8901-DA3D297336F2}">
    <text>LIst both the cash cost and the book expense</text>
  </threadedComment>
  <threadedComment ref="J41" dT="2019-10-09T22:28:14.70" personId="{B99A2D5D-3262-48B4-9518-41102A0FECDD}" id="{37ECE0C7-2DF0-4069-83FB-34611AA80C80}">
    <text>LIst both the cash cost and the book expense</text>
  </threadedComment>
  <threadedComment ref="K41" dT="2019-10-09T22:28:14.70" personId="{B99A2D5D-3262-48B4-9518-41102A0FECDD}" id="{FEAE4CC4-5BE1-46EA-B674-1643248BBC0F}">
    <text>LIst both the cash cost and the book expense</text>
  </threadedComment>
  <threadedComment ref="L41" dT="2019-10-09T22:28:14.70" personId="{B99A2D5D-3262-48B4-9518-41102A0FECDD}" id="{E09D1AC0-CF29-4CCB-8732-58DCF484386E}">
    <text>LIst both the cash cost and the book expense</text>
  </threadedComment>
  <threadedComment ref="F71" dT="2019-10-09T22:28:29.17" personId="{B99A2D5D-3262-48B4-9518-41102A0FECDD}" id="{5A1E9927-B689-4F2F-9FDF-9AC411BA394B}">
    <text>LIst both the cash cost and the book expense</text>
  </threadedComment>
  <threadedComment ref="G71" dT="2019-10-09T22:28:29.17" personId="{B99A2D5D-3262-48B4-9518-41102A0FECDD}" id="{8B4CE012-06EE-44EF-B9A4-70A151D8CD64}">
    <text>LIst both the cash cost and the book expense</text>
  </threadedComment>
  <threadedComment ref="F72" dT="2019-10-09T22:27:53.20" personId="{B99A2D5D-3262-48B4-9518-41102A0FECDD}" id="{4A77444D-2667-414A-ACA6-5CACB9E7392C}">
    <text>Added a depreciation schedule for new building purchase/construction using a 50 year asset life per the Nevada PPM.</text>
  </threadedComment>
  <threadedComment ref="G72" dT="2019-10-09T22:27:53.20" personId="{B99A2D5D-3262-48B4-9518-41102A0FECDD}" id="{C044C3D4-0587-448F-AE58-11BAA9E73751}">
    <text>Added a depreciation schedule for new building purchase/construction using a 50 year asset life per the Nevada PPM.</text>
  </threadedComment>
  <threadedComment ref="F76" dT="2019-10-09T22:28:23.38" personId="{B99A2D5D-3262-48B4-9518-41102A0FECDD}" id="{CE06D8D1-4B55-4EF4-8B14-2444C8B0CA22}">
    <text>LIst both the cash cost and the book expense</text>
  </threadedComment>
</ThreadedComments>
</file>

<file path=xl/threadedComments/threadedComment8.xml><?xml version="1.0" encoding="utf-8"?>
<ThreadedComments xmlns="http://schemas.microsoft.com/office/spreadsheetml/2018/threadedcomments" xmlns:x="http://schemas.openxmlformats.org/spreadsheetml/2006/main">
  <threadedComment ref="D12" personId="{58D7CBF4-770A-4C73-A5CB-9F34A753C88F}" id="{88D99629-9430-4799-888B-536E1B48C1B0}">
    <text xml:space="preserve">Freeze Pane Anchor cell.
Place cursor here if you wish to freeze the panes so you can see which e so you can continue to see the years for the columns you want to review. </text>
  </threadedComment>
  <threadedComment ref="B66" dT="2019-10-09T22:25:54.66" personId="{B99A2D5D-3262-48B4-9518-41102A0FECDD}" id="{B7BA76B9-72DC-4B51-84FC-DCB653FB95D7}">
    <text>removed marketing from this section</text>
  </threadedComment>
  <threadedComment ref="D146" personId="{58D7CBF4-770A-4C73-A5CB-9F34A753C88F}" id="{9A98AA4F-1C78-4B0C-ADC0-E55A5537B0DC}">
    <text>Per student</text>
  </threadedComment>
  <threadedComment ref="D147" personId="{58D7CBF4-770A-4C73-A5CB-9F34A753C88F}" id="{B89FAE20-3CE4-47C1-AE62-E249220CB33F}">
    <text>Per student (not covered by Title I)</text>
  </threadedComment>
  <threadedComment ref="D148" personId="{58D7CBF4-770A-4C73-A5CB-9F34A753C88F}" id="{8B1027DD-1690-4078-BE4E-8CCE2602C947}">
    <text>Per student</text>
  </threadedComment>
  <threadedComment ref="D149" personId="{58D7CBF4-770A-4C73-A5CB-9F34A753C88F}" id="{081B3B9E-102C-4FB3-AD68-C0B3B1CBEAFF}">
    <text>Input "yes or "no"</text>
  </threadedComment>
</ThreadedComments>
</file>

<file path=xl/threadedComments/threadedComment9.xml><?xml version="1.0" encoding="utf-8"?>
<ThreadedComments xmlns="http://schemas.microsoft.com/office/spreadsheetml/2018/threadedcomments" xmlns:x="http://schemas.openxmlformats.org/spreadsheetml/2006/main">
  <threadedComment ref="C13" dT="2019-10-09T22:28:59.88" personId="{B99A2D5D-3262-48B4-9518-41102A0FECDD}" id="{F988B70B-290B-4766-ABAF-6F3E355164A9}">
    <text>added depreciation schedules with asset lives based on their category in the Nevada PPM</text>
  </threadedComment>
  <threadedComment ref="C18" dT="2020-09-18T16:50:29.94" personId="{53965B3A-B08B-4BC2-8174-88EB25E8A830}" id="{3FF9201C-DBC8-4F22-A8BB-367D4D170A1D}">
    <text>you can comment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0.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microsoft.com/office/2017/10/relationships/threadedComment" Target="../threadedComments/threadedComment1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98"/>
  <sheetViews>
    <sheetView topLeftCell="A27" zoomScale="145" zoomScaleNormal="145" workbookViewId="0">
      <selection activeCell="D10" sqref="D10"/>
    </sheetView>
  </sheetViews>
  <sheetFormatPr defaultRowHeight="14.4"/>
  <cols>
    <col min="1" max="1" width="119.109375" customWidth="1"/>
  </cols>
  <sheetData>
    <row r="1" spans="1:11" ht="26.4" customHeight="1">
      <c r="A1" s="1588" t="s">
        <v>1448</v>
      </c>
    </row>
    <row r="2" spans="1:11" ht="15.6">
      <c r="A2" s="21" t="s">
        <v>0</v>
      </c>
    </row>
    <row r="3" spans="1:11" ht="15.6">
      <c r="A3" s="22" t="str">
        <f>SchoolName</f>
        <v>Eagle Charter Schools of Nevada</v>
      </c>
    </row>
    <row r="4" spans="1:11">
      <c r="A4" s="388" t="s">
        <v>1</v>
      </c>
      <c r="G4" s="481"/>
      <c r="H4" s="481"/>
      <c r="I4" s="481"/>
      <c r="J4" s="481"/>
      <c r="K4" s="481"/>
    </row>
    <row r="5" spans="1:11">
      <c r="A5" s="389" t="str">
        <f ca="1">CELL("filename")</f>
        <v>C:\Users\Nicho\Desktop\[Attachment 2.  Eagle NV RFA 12.16.22.xlsx]CF Y1 Mo</v>
      </c>
    </row>
    <row r="6" spans="1:11" ht="15.6">
      <c r="A6" s="1595" t="s">
        <v>2</v>
      </c>
    </row>
    <row r="7" spans="1:11" ht="6" customHeight="1">
      <c r="A7" s="1594"/>
    </row>
    <row r="8" spans="1:11" ht="15.6">
      <c r="A8" s="436" t="s">
        <v>3</v>
      </c>
    </row>
    <row r="9" spans="1:11" ht="12.6" customHeight="1"/>
    <row r="10" spans="1:11" ht="138.75" customHeight="1">
      <c r="A10" s="725" t="s">
        <v>4</v>
      </c>
    </row>
    <row r="12" spans="1:11" ht="15.6">
      <c r="A12" s="436" t="s">
        <v>5</v>
      </c>
    </row>
    <row r="13" spans="1:11" ht="95.25" customHeight="1">
      <c r="A13" s="312" t="s">
        <v>6</v>
      </c>
    </row>
    <row r="14" spans="1:11">
      <c r="A14" s="2"/>
    </row>
    <row r="15" spans="1:11">
      <c r="A15" s="314" t="s">
        <v>7</v>
      </c>
    </row>
    <row r="16" spans="1:11">
      <c r="A16" s="3" t="s">
        <v>8</v>
      </c>
    </row>
    <row r="17" spans="1:26">
      <c r="A17" s="3"/>
    </row>
    <row r="18" spans="1:26">
      <c r="A18" s="314" t="s">
        <v>9</v>
      </c>
    </row>
    <row r="19" spans="1:26" ht="28.8">
      <c r="A19" s="3" t="s">
        <v>10</v>
      </c>
    </row>
    <row r="20" spans="1:26">
      <c r="A20" s="2"/>
    </row>
    <row r="21" spans="1:26">
      <c r="A21" s="1332" t="s">
        <v>11</v>
      </c>
    </row>
    <row r="22" spans="1:26">
      <c r="A22" s="314" t="s">
        <v>12</v>
      </c>
    </row>
    <row r="23" spans="1:26" hidden="1">
      <c r="A23" s="313" t="s">
        <v>13</v>
      </c>
    </row>
    <row r="24" spans="1:26" ht="28.8" hidden="1">
      <c r="A24" s="313" t="s">
        <v>14</v>
      </c>
    </row>
    <row r="25" spans="1:26" ht="28.8" hidden="1">
      <c r="A25" s="313" t="s">
        <v>15</v>
      </c>
    </row>
    <row r="26" spans="1:26" ht="43.2">
      <c r="A26" s="2" t="s">
        <v>16</v>
      </c>
    </row>
    <row r="27" spans="1:26" ht="33.75" customHeight="1">
      <c r="A27" s="2" t="s">
        <v>17</v>
      </c>
    </row>
    <row r="28" spans="1:26" ht="28.8">
      <c r="A28" s="2" t="s">
        <v>18</v>
      </c>
      <c r="S28" s="5"/>
      <c r="T28" s="5"/>
      <c r="U28" s="5"/>
      <c r="V28" s="5"/>
      <c r="W28" s="5"/>
      <c r="X28" s="5"/>
      <c r="Y28" s="5"/>
      <c r="Z28" s="5"/>
    </row>
    <row r="29" spans="1:26">
      <c r="A29" t="s">
        <v>19</v>
      </c>
      <c r="S29" s="5"/>
      <c r="T29" s="5"/>
      <c r="U29" s="5"/>
      <c r="V29" s="5"/>
      <c r="W29" s="5"/>
      <c r="X29" s="5"/>
      <c r="Y29" s="5"/>
      <c r="Z29" s="5"/>
    </row>
    <row r="30" spans="1:26">
      <c r="A30" s="1" t="s">
        <v>20</v>
      </c>
      <c r="S30" s="5"/>
      <c r="T30" s="5"/>
      <c r="U30" s="5"/>
      <c r="V30" s="5"/>
      <c r="W30" s="5"/>
      <c r="X30" s="5"/>
      <c r="Y30" s="5"/>
      <c r="Z30" s="5"/>
    </row>
    <row r="31" spans="1:26">
      <c r="A31" s="1" t="s">
        <v>21</v>
      </c>
      <c r="S31" s="5"/>
      <c r="T31" s="5"/>
      <c r="U31" s="5"/>
      <c r="V31" s="5"/>
      <c r="W31" s="5"/>
      <c r="X31" s="5"/>
      <c r="Y31" s="5"/>
      <c r="Z31" s="5"/>
    </row>
    <row r="32" spans="1:26">
      <c r="A32" s="1" t="s">
        <v>22</v>
      </c>
      <c r="S32" s="5"/>
      <c r="T32" s="5"/>
      <c r="U32" s="5"/>
      <c r="V32" s="5"/>
      <c r="W32" s="5"/>
      <c r="X32" s="5"/>
      <c r="Y32" s="5"/>
      <c r="Z32" s="5"/>
    </row>
    <row r="33" spans="1:26">
      <c r="A33" s="1" t="s">
        <v>23</v>
      </c>
      <c r="S33" s="5"/>
      <c r="T33" s="5"/>
      <c r="U33" s="5"/>
      <c r="V33" s="5"/>
      <c r="W33" s="5"/>
      <c r="X33" s="5"/>
      <c r="Y33" s="5"/>
      <c r="Z33" s="5"/>
    </row>
    <row r="34" spans="1:26">
      <c r="A34" s="1" t="s">
        <v>24</v>
      </c>
      <c r="S34" s="5"/>
      <c r="T34" s="5"/>
      <c r="U34" s="5"/>
      <c r="V34" s="5"/>
      <c r="W34" s="5"/>
      <c r="X34" s="5"/>
      <c r="Y34" s="5"/>
      <c r="Z34" s="5"/>
    </row>
    <row r="35" spans="1:26">
      <c r="A35" s="1" t="s">
        <v>25</v>
      </c>
      <c r="S35" s="5"/>
      <c r="T35" s="5"/>
      <c r="U35" s="5"/>
      <c r="V35" s="5"/>
      <c r="W35" s="5"/>
      <c r="X35" s="5"/>
      <c r="Y35" s="5"/>
      <c r="Z35" s="5"/>
    </row>
    <row r="36" spans="1:26">
      <c r="S36" s="5"/>
      <c r="T36" s="5"/>
      <c r="U36" s="5"/>
      <c r="V36" s="5"/>
      <c r="W36" s="5"/>
      <c r="X36" s="5"/>
      <c r="Y36" s="5"/>
      <c r="Z36" s="5"/>
    </row>
    <row r="37" spans="1:26">
      <c r="A37" s="314" t="s">
        <v>26</v>
      </c>
      <c r="S37" s="5"/>
      <c r="T37" s="5"/>
      <c r="U37" s="5"/>
      <c r="V37" s="5"/>
      <c r="W37" s="5"/>
      <c r="X37" s="5"/>
      <c r="Y37" s="5"/>
      <c r="Z37" s="5"/>
    </row>
    <row r="38" spans="1:26" ht="43.2">
      <c r="A38" s="3" t="s">
        <v>27</v>
      </c>
      <c r="S38" s="5"/>
      <c r="T38" s="5"/>
      <c r="U38" s="5"/>
      <c r="V38" s="5"/>
      <c r="W38" s="5"/>
      <c r="X38" s="5"/>
      <c r="Y38" s="5"/>
      <c r="Z38" s="5"/>
    </row>
    <row r="39" spans="1:26">
      <c r="A39" s="314" t="s">
        <v>28</v>
      </c>
      <c r="S39" s="5"/>
      <c r="T39" s="5"/>
      <c r="U39" s="5"/>
      <c r="V39" s="5"/>
      <c r="W39" s="5"/>
      <c r="X39" s="5"/>
      <c r="Y39" s="5"/>
      <c r="Z39" s="5"/>
    </row>
    <row r="40" spans="1:26" hidden="1">
      <c r="A40" s="249" t="s">
        <v>29</v>
      </c>
      <c r="S40" s="5"/>
      <c r="T40" s="5"/>
      <c r="U40" s="5"/>
      <c r="V40" s="5"/>
      <c r="W40" s="5"/>
      <c r="X40" s="5"/>
      <c r="Y40" s="5"/>
      <c r="Z40" s="5"/>
    </row>
    <row r="41" spans="1:26" hidden="1">
      <c r="A41" s="249" t="s">
        <v>30</v>
      </c>
      <c r="S41" s="5"/>
      <c r="T41" s="5"/>
      <c r="U41" s="5"/>
      <c r="V41" s="5"/>
      <c r="W41" s="5"/>
      <c r="X41" s="5"/>
      <c r="Y41" s="5"/>
      <c r="Z41" s="5"/>
    </row>
    <row r="42" spans="1:26" hidden="1">
      <c r="A42" s="249" t="s">
        <v>31</v>
      </c>
      <c r="S42" s="5"/>
      <c r="T42" s="5"/>
      <c r="U42" s="5"/>
      <c r="V42" s="5"/>
      <c r="W42" s="5"/>
      <c r="X42" s="5"/>
      <c r="Y42" s="5"/>
      <c r="Z42" s="5"/>
    </row>
    <row r="43" spans="1:26" ht="28.8" hidden="1">
      <c r="A43" s="313" t="s">
        <v>32</v>
      </c>
      <c r="S43" s="5"/>
      <c r="T43" s="5"/>
      <c r="U43" s="5"/>
      <c r="V43" s="5"/>
      <c r="W43" s="5"/>
      <c r="X43" s="5"/>
      <c r="Y43" s="5"/>
      <c r="Z43" s="5"/>
    </row>
    <row r="44" spans="1:26" hidden="1">
      <c r="A44" s="249" t="s">
        <v>33</v>
      </c>
      <c r="S44" s="5"/>
      <c r="T44" s="5"/>
      <c r="U44" s="5"/>
      <c r="V44" s="5"/>
      <c r="W44" s="5"/>
      <c r="X44" s="5"/>
      <c r="Y44" s="5"/>
      <c r="Z44" s="5"/>
    </row>
    <row r="45" spans="1:26" hidden="1">
      <c r="A45" s="249" t="s">
        <v>34</v>
      </c>
      <c r="S45" s="5"/>
      <c r="T45" s="5"/>
      <c r="U45" s="5"/>
      <c r="V45" s="5"/>
      <c r="W45" s="5"/>
      <c r="X45" s="5"/>
      <c r="Y45" s="5"/>
      <c r="Z45" s="5"/>
    </row>
    <row r="46" spans="1:26" hidden="1">
      <c r="A46" s="249" t="s">
        <v>35</v>
      </c>
      <c r="S46" s="5"/>
      <c r="T46" s="5"/>
      <c r="U46" s="5"/>
      <c r="V46" s="5"/>
      <c r="W46" s="5"/>
      <c r="X46" s="5"/>
      <c r="Y46" s="5"/>
      <c r="Z46" s="5"/>
    </row>
    <row r="47" spans="1:26" ht="28.8" hidden="1">
      <c r="A47" s="313" t="s">
        <v>36</v>
      </c>
      <c r="S47" s="5"/>
      <c r="T47" s="5"/>
      <c r="U47" s="5"/>
      <c r="V47" s="5"/>
      <c r="W47" s="5"/>
      <c r="X47" s="5"/>
      <c r="Y47" s="5"/>
      <c r="Z47" s="5"/>
    </row>
    <row r="48" spans="1:26" ht="47.25" hidden="1" customHeight="1">
      <c r="A48" s="313" t="s">
        <v>37</v>
      </c>
      <c r="S48" s="5"/>
      <c r="T48" s="5"/>
      <c r="U48" s="5"/>
      <c r="V48" s="5"/>
      <c r="W48" s="5"/>
      <c r="X48" s="5"/>
      <c r="Y48" s="5"/>
      <c r="Z48" s="5"/>
    </row>
    <row r="49" spans="1:26" ht="15" hidden="1" customHeight="1">
      <c r="A49" s="313" t="s">
        <v>38</v>
      </c>
      <c r="S49" s="5"/>
      <c r="T49" s="5"/>
      <c r="U49" s="5"/>
      <c r="V49" s="5"/>
      <c r="W49" s="5"/>
      <c r="X49" s="5"/>
      <c r="Y49" s="5"/>
      <c r="Z49" s="5"/>
    </row>
    <row r="50" spans="1:26" ht="29.25" hidden="1" customHeight="1">
      <c r="A50" s="313" t="s">
        <v>39</v>
      </c>
      <c r="S50" s="5"/>
      <c r="T50" s="5"/>
      <c r="U50" s="5"/>
      <c r="V50" s="5"/>
      <c r="W50" s="5"/>
      <c r="X50" s="5"/>
      <c r="Y50" s="5"/>
      <c r="Z50" s="5"/>
    </row>
    <row r="51" spans="1:26">
      <c r="S51" s="5"/>
      <c r="T51" s="5"/>
      <c r="U51" s="5"/>
      <c r="V51" s="5"/>
      <c r="W51" s="5"/>
      <c r="X51" s="5"/>
      <c r="Y51" s="5"/>
      <c r="Z51" s="5"/>
    </row>
    <row r="52" spans="1:26">
      <c r="A52" s="314" t="s">
        <v>40</v>
      </c>
      <c r="S52" s="5"/>
      <c r="T52" s="5"/>
      <c r="U52" s="5"/>
      <c r="V52" s="5"/>
      <c r="W52" s="5"/>
      <c r="X52" s="5"/>
      <c r="Y52" s="5"/>
      <c r="Z52" s="5"/>
    </row>
    <row r="53" spans="1:26">
      <c r="A53" s="3" t="s">
        <v>41</v>
      </c>
      <c r="S53" s="5"/>
      <c r="T53" s="5"/>
      <c r="U53" s="5"/>
      <c r="V53" s="5"/>
      <c r="W53" s="5"/>
      <c r="X53" s="5"/>
      <c r="Y53" s="5"/>
      <c r="Z53" s="5"/>
    </row>
    <row r="54" spans="1:26">
      <c r="A54" s="3" t="s">
        <v>42</v>
      </c>
      <c r="S54" s="5"/>
      <c r="T54" s="5"/>
      <c r="U54" s="5"/>
      <c r="V54" s="5"/>
      <c r="W54" s="5"/>
      <c r="X54" s="5"/>
      <c r="Y54" s="5"/>
      <c r="Z54" s="5"/>
    </row>
    <row r="55" spans="1:26" ht="30.75" hidden="1" customHeight="1">
      <c r="A55" s="2" t="s">
        <v>43</v>
      </c>
      <c r="S55" s="5"/>
      <c r="T55" s="5"/>
      <c r="U55" s="5"/>
      <c r="V55" s="5"/>
      <c r="W55" s="5"/>
      <c r="X55" s="5"/>
      <c r="Y55" s="5"/>
      <c r="Z55" s="5"/>
    </row>
    <row r="56" spans="1:26" ht="28.8" hidden="1">
      <c r="A56" s="2" t="s">
        <v>44</v>
      </c>
      <c r="S56" s="5"/>
      <c r="T56" s="5"/>
      <c r="U56" s="5"/>
      <c r="V56" s="5"/>
      <c r="W56" s="5"/>
      <c r="X56" s="5"/>
      <c r="Y56" s="5"/>
      <c r="Z56" s="5"/>
    </row>
    <row r="57" spans="1:26">
      <c r="A57" s="2" t="s">
        <v>45</v>
      </c>
      <c r="S57" s="5"/>
      <c r="T57" s="5"/>
      <c r="U57" s="5"/>
      <c r="V57" s="5"/>
      <c r="W57" s="5"/>
      <c r="X57" s="5"/>
      <c r="Y57" s="5"/>
      <c r="Z57" s="5"/>
    </row>
    <row r="58" spans="1:26">
      <c r="S58" s="5"/>
      <c r="T58" s="5"/>
      <c r="U58" s="5"/>
      <c r="V58" s="5"/>
      <c r="W58" s="5"/>
      <c r="X58" s="5"/>
      <c r="Y58" s="5"/>
      <c r="Z58" s="5"/>
    </row>
    <row r="59" spans="1:26">
      <c r="A59" s="314" t="s">
        <v>46</v>
      </c>
      <c r="S59" s="5"/>
      <c r="T59" s="5"/>
      <c r="U59" s="5"/>
      <c r="V59" s="5"/>
      <c r="W59" s="5"/>
      <c r="X59" s="5"/>
      <c r="Y59" s="5"/>
      <c r="Z59" s="5"/>
    </row>
    <row r="60" spans="1:26">
      <c r="A60" s="3" t="s">
        <v>47</v>
      </c>
      <c r="S60" s="5"/>
      <c r="T60" s="5"/>
      <c r="U60" s="5"/>
      <c r="V60" s="5"/>
      <c r="W60" s="5"/>
      <c r="X60" s="5"/>
      <c r="Y60" s="5"/>
      <c r="Z60" s="5"/>
    </row>
    <row r="61" spans="1:26">
      <c r="A61" s="2"/>
      <c r="S61" s="5"/>
      <c r="T61" s="5"/>
      <c r="U61" s="5"/>
      <c r="V61" s="5"/>
      <c r="W61" s="5"/>
      <c r="X61" s="5"/>
      <c r="Y61" s="5"/>
      <c r="Z61" s="5"/>
    </row>
    <row r="62" spans="1:26">
      <c r="A62" s="314" t="s">
        <v>48</v>
      </c>
      <c r="S62" s="5"/>
      <c r="T62" s="5"/>
      <c r="U62" s="5"/>
      <c r="V62" s="5"/>
      <c r="W62" s="5"/>
      <c r="X62" s="5"/>
      <c r="Y62" s="5"/>
      <c r="Z62" s="5"/>
    </row>
    <row r="63" spans="1:26">
      <c r="A63" s="3" t="s">
        <v>49</v>
      </c>
      <c r="S63" s="5"/>
      <c r="T63" s="5"/>
      <c r="U63" s="5"/>
      <c r="V63" s="5"/>
      <c r="W63" s="5"/>
      <c r="X63" s="5"/>
      <c r="Y63" s="5"/>
      <c r="Z63" s="5"/>
    </row>
    <row r="64" spans="1:26" ht="15" customHeight="1">
      <c r="A64" s="3" t="s">
        <v>50</v>
      </c>
      <c r="S64" s="5"/>
      <c r="T64" s="5"/>
      <c r="U64" s="5"/>
      <c r="V64" s="5"/>
      <c r="W64" s="5"/>
      <c r="X64" s="5"/>
      <c r="Y64" s="5"/>
      <c r="Z64" s="5"/>
    </row>
    <row r="65" spans="1:26">
      <c r="S65" s="5"/>
      <c r="T65" s="5"/>
      <c r="U65" s="5"/>
      <c r="V65" s="5"/>
      <c r="W65" s="5"/>
      <c r="X65" s="5"/>
      <c r="Y65" s="5"/>
      <c r="Z65" s="5"/>
    </row>
    <row r="66" spans="1:26">
      <c r="A66" s="314" t="s">
        <v>51</v>
      </c>
    </row>
    <row r="67" spans="1:26">
      <c r="A67" s="3" t="s">
        <v>52</v>
      </c>
    </row>
    <row r="68" spans="1:26">
      <c r="A68" s="3"/>
    </row>
    <row r="69" spans="1:26">
      <c r="A69" s="314" t="s">
        <v>53</v>
      </c>
    </row>
    <row r="70" spans="1:26">
      <c r="A70" s="3" t="s">
        <v>54</v>
      </c>
    </row>
    <row r="71" spans="1:26">
      <c r="A71" s="3" t="s">
        <v>55</v>
      </c>
    </row>
    <row r="72" spans="1:26">
      <c r="A72" s="314" t="s">
        <v>51</v>
      </c>
    </row>
    <row r="74" spans="1:26">
      <c r="A74" s="314" t="s">
        <v>56</v>
      </c>
    </row>
    <row r="75" spans="1:26">
      <c r="A75" s="3" t="s">
        <v>57</v>
      </c>
    </row>
    <row r="77" spans="1:26">
      <c r="A77" s="314" t="s">
        <v>58</v>
      </c>
    </row>
    <row r="78" spans="1:26">
      <c r="A78" s="3" t="s">
        <v>1455</v>
      </c>
    </row>
    <row r="80" spans="1:26">
      <c r="A80" s="314" t="s">
        <v>59</v>
      </c>
    </row>
    <row r="81" spans="1:1">
      <c r="A81" s="3" t="s">
        <v>60</v>
      </c>
    </row>
    <row r="82" spans="1:1">
      <c r="A82" s="3"/>
    </row>
    <row r="83" spans="1:1">
      <c r="A83" s="314" t="s">
        <v>61</v>
      </c>
    </row>
    <row r="84" spans="1:1">
      <c r="A84" s="3" t="s">
        <v>62</v>
      </c>
    </row>
    <row r="85" spans="1:1">
      <c r="A85" s="3"/>
    </row>
    <row r="86" spans="1:1">
      <c r="A86" s="314" t="s">
        <v>63</v>
      </c>
    </row>
    <row r="87" spans="1:1">
      <c r="A87" s="3" t="s">
        <v>64</v>
      </c>
    </row>
    <row r="88" spans="1:1">
      <c r="A88" s="3"/>
    </row>
    <row r="89" spans="1:1">
      <c r="A89" s="314" t="s">
        <v>65</v>
      </c>
    </row>
    <row r="90" spans="1:1">
      <c r="A90" s="3" t="s">
        <v>66</v>
      </c>
    </row>
    <row r="91" spans="1:1" ht="28.8">
      <c r="A91" s="3" t="s">
        <v>67</v>
      </c>
    </row>
    <row r="92" spans="1:1">
      <c r="A92" s="717"/>
    </row>
    <row r="93" spans="1:1">
      <c r="A93" s="314" t="s">
        <v>68</v>
      </c>
    </row>
    <row r="96" spans="1:1">
      <c r="A96" s="435" t="s">
        <v>69</v>
      </c>
    </row>
    <row r="97" spans="1:1">
      <c r="A97" s="3" t="s">
        <v>1453</v>
      </c>
    </row>
    <row r="98" spans="1:1">
      <c r="A98" s="3" t="s">
        <v>70</v>
      </c>
    </row>
  </sheetData>
  <sheetProtection algorithmName="SHA-512" hashValue="hXLK6Xb56NkGELUNk+hYaztM+PlJ+OU/nXZV7nq9eHi2KQtMXIGo29S1VyoL21TgmerUa0j3wf5Mb8XcqMPcyg==" saltValue="IeyxmI+QDWyVolxXqXifzw==" spinCount="100000" sheet="1" objects="1" scenarios="1"/>
  <hyperlinks>
    <hyperlink ref="A6" location="HypLink1" display="HypLink1" xr:uid="{B4FAA55C-DF6E-4B2A-9D27-F7F9957BFA3F}"/>
  </hyperlinks>
  <pageMargins left="0.35" right="0.25" top="0.32" bottom="0.5" header="0.32" footer="0.3"/>
  <pageSetup orientation="portrait" r:id="rId1"/>
  <headerFooter>
    <oddFooter>&amp;L&amp;7&amp;D  at &amp;T Mike 702.854.0691&amp;C&amp;7Page &amp;P of &amp;N&amp;R&amp;7&amp;F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0370-FC1C-4B54-A404-4F56C11DD8BD}">
  <sheetPr codeName="Sheet16">
    <tabColor rgb="FFFFFF00"/>
  </sheetPr>
  <dimension ref="A1:Y472"/>
  <sheetViews>
    <sheetView showGridLines="0" topLeftCell="A7" zoomScale="90" zoomScaleNormal="90" workbookViewId="0">
      <pane xSplit="2" ySplit="4" topLeftCell="C60" activePane="bottomRight" state="frozen"/>
      <selection activeCell="A7" sqref="A7"/>
      <selection pane="topRight" activeCell="C7" sqref="C7"/>
      <selection pane="bottomLeft" activeCell="A11" sqref="A11"/>
      <selection pane="bottomRight" activeCell="H156" sqref="H156"/>
    </sheetView>
  </sheetViews>
  <sheetFormatPr defaultColWidth="8.88671875" defaultRowHeight="13.8" outlineLevelRow="1"/>
  <cols>
    <col min="1" max="1" width="8.109375" style="35" customWidth="1"/>
    <col min="2" max="2" width="47.88671875" style="35" customWidth="1"/>
    <col min="3" max="3" width="20.33203125" style="35" customWidth="1"/>
    <col min="4" max="6" width="13.33203125" style="35" customWidth="1"/>
    <col min="7" max="7" width="15.33203125" style="35" customWidth="1"/>
    <col min="8" max="8" width="16.109375" style="35" customWidth="1"/>
    <col min="9" max="10" width="21" style="35" customWidth="1"/>
    <col min="11" max="12" width="17" style="35" customWidth="1"/>
    <col min="13" max="13" width="16.5546875" style="35" customWidth="1"/>
    <col min="14" max="14" width="2.5546875" style="35" customWidth="1"/>
    <col min="15" max="15" width="70.44140625" style="317" customWidth="1"/>
    <col min="16" max="18" width="12.5546875" style="35" customWidth="1"/>
    <col min="19" max="24" width="16.44140625" style="35" customWidth="1"/>
    <col min="25" max="25" width="26.109375" style="35" customWidth="1"/>
    <col min="26" max="16384" width="8.88671875" style="35"/>
  </cols>
  <sheetData>
    <row r="1" spans="1:25" ht="17.399999999999999">
      <c r="A1" s="130" t="s">
        <v>392</v>
      </c>
      <c r="B1" s="37"/>
      <c r="D1" s="438" t="s">
        <v>2</v>
      </c>
      <c r="Q1" s="38"/>
      <c r="Y1" s="317"/>
    </row>
    <row r="2" spans="1:25" ht="15.6">
      <c r="A2" s="121" t="str">
        <f>SchoolName</f>
        <v>Eagle Charter Schools of Nevada</v>
      </c>
      <c r="B2" s="40"/>
      <c r="Y2" s="317"/>
    </row>
    <row r="3" spans="1:25">
      <c r="A3" s="41" t="s">
        <v>72</v>
      </c>
      <c r="L3" s="33"/>
      <c r="Y3" s="317"/>
    </row>
    <row r="4" spans="1:25">
      <c r="A4" s="42" t="s">
        <v>73</v>
      </c>
      <c r="Y4" s="317"/>
    </row>
    <row r="5" spans="1:25">
      <c r="A5" s="32" t="str">
        <f ca="1">CELL("filename")</f>
        <v>C:\Users\Nicho\Desktop\[Attachment 2.  Eagle NV RFA 12.16.22.xlsx]CF Y1 Mo</v>
      </c>
      <c r="Y5" s="317"/>
    </row>
    <row r="6" spans="1:25" ht="15.6">
      <c r="A6" s="509"/>
      <c r="D6" s="67" t="s">
        <v>242</v>
      </c>
      <c r="E6" s="67"/>
      <c r="F6" s="67"/>
      <c r="G6" s="533"/>
      <c r="H6" s="534"/>
      <c r="I6" s="533"/>
      <c r="J6" s="533"/>
      <c r="K6" s="67"/>
      <c r="L6" s="533"/>
      <c r="M6" s="533"/>
      <c r="Y6" s="317"/>
    </row>
    <row r="7" spans="1:25">
      <c r="A7" s="509"/>
      <c r="D7" s="34" t="s">
        <v>243</v>
      </c>
      <c r="E7" s="34"/>
      <c r="F7" s="34"/>
      <c r="G7" s="533"/>
      <c r="H7" s="67"/>
      <c r="I7" s="533"/>
      <c r="J7" s="533"/>
      <c r="K7" s="67"/>
      <c r="L7" s="533"/>
      <c r="M7" s="533"/>
      <c r="Y7" s="317"/>
    </row>
    <row r="8" spans="1:25">
      <c r="A8" s="509"/>
      <c r="G8" s="759" t="str">
        <f>' Enrol &amp; Rev'!F9</f>
        <v>SY 0/Incu</v>
      </c>
      <c r="H8" s="760">
        <f>' Enrol &amp; Rev'!G9</f>
        <v>1</v>
      </c>
      <c r="I8" s="760">
        <f>' Enrol &amp; Rev'!H9</f>
        <v>2</v>
      </c>
      <c r="J8" s="760">
        <f>' Enrol &amp; Rev'!I9</f>
        <v>3</v>
      </c>
      <c r="K8" s="760">
        <f>' Enrol &amp; Rev'!J9</f>
        <v>4</v>
      </c>
      <c r="L8" s="760">
        <f>' Enrol &amp; Rev'!K9</f>
        <v>5</v>
      </c>
      <c r="M8" s="1333">
        <f>' Enrol &amp; Rev'!L9</f>
        <v>6</v>
      </c>
    </row>
    <row r="9" spans="1:25">
      <c r="A9" s="509"/>
      <c r="G9" s="761">
        <f>' Enrol &amp; Rev'!F10</f>
        <v>2022</v>
      </c>
      <c r="H9" s="762">
        <f>' Enrol &amp; Rev'!G10</f>
        <v>2023</v>
      </c>
      <c r="I9" s="762">
        <f>' Enrol &amp; Rev'!H10</f>
        <v>2024</v>
      </c>
      <c r="J9" s="762">
        <f>' Enrol &amp; Rev'!I10</f>
        <v>2025</v>
      </c>
      <c r="K9" s="762">
        <f>' Enrol &amp; Rev'!J10</f>
        <v>2026</v>
      </c>
      <c r="L9" s="762">
        <f>' Enrol &amp; Rev'!K10</f>
        <v>2027</v>
      </c>
      <c r="M9" s="763">
        <f>' Enrol &amp; Rev'!L10</f>
        <v>2028</v>
      </c>
    </row>
    <row r="10" spans="1:25">
      <c r="A10" s="509"/>
      <c r="G10" s="764">
        <f>' Enrol &amp; Rev'!F11</f>
        <v>2023</v>
      </c>
      <c r="H10" s="765">
        <f>' Enrol &amp; Rev'!G11</f>
        <v>2024</v>
      </c>
      <c r="I10" s="765">
        <f>' Enrol &amp; Rev'!H11</f>
        <v>2025</v>
      </c>
      <c r="J10" s="765">
        <f>' Enrol &amp; Rev'!I11</f>
        <v>2026</v>
      </c>
      <c r="K10" s="765">
        <f>' Enrol &amp; Rev'!J11</f>
        <v>2027</v>
      </c>
      <c r="L10" s="765">
        <f>' Enrol &amp; Rev'!K11</f>
        <v>2028</v>
      </c>
      <c r="M10" s="766">
        <f>' Enrol &amp; Rev'!L11</f>
        <v>2029</v>
      </c>
    </row>
    <row r="11" spans="1:25" ht="17.399999999999999">
      <c r="A11" s="509"/>
      <c r="B11" s="464" t="s">
        <v>393</v>
      </c>
      <c r="G11" s="533"/>
      <c r="H11" s="533"/>
      <c r="I11" s="533"/>
      <c r="J11" s="533"/>
      <c r="K11" s="533"/>
      <c r="L11" s="533"/>
      <c r="M11" s="533"/>
    </row>
    <row r="12" spans="1:25">
      <c r="A12" s="509"/>
      <c r="D12" s="299"/>
      <c r="E12" s="299"/>
      <c r="F12" s="299"/>
      <c r="G12" s="533"/>
      <c r="H12" s="533"/>
      <c r="I12" s="533"/>
      <c r="J12" s="533"/>
      <c r="K12" s="533"/>
      <c r="L12" s="533"/>
      <c r="M12" s="533"/>
      <c r="N12" s="103"/>
      <c r="O12" s="1627"/>
    </row>
    <row r="13" spans="1:25">
      <c r="A13" s="509"/>
      <c r="B13" s="33" t="s">
        <v>394</v>
      </c>
      <c r="C13" s="33"/>
      <c r="D13" s="33"/>
      <c r="E13" s="33"/>
      <c r="F13" s="33"/>
      <c r="G13" s="67"/>
      <c r="H13" s="535"/>
      <c r="I13" s="535"/>
      <c r="J13" s="535"/>
      <c r="K13" s="535"/>
      <c r="L13" s="535"/>
      <c r="M13" s="535"/>
      <c r="N13" s="103"/>
      <c r="O13" s="1627"/>
    </row>
    <row r="14" spans="1:25" ht="17.399999999999999">
      <c r="A14" s="509">
        <f>ROW()</f>
        <v>14</v>
      </c>
      <c r="B14" s="831" t="s">
        <v>395</v>
      </c>
      <c r="C14" s="832"/>
      <c r="D14" s="832"/>
      <c r="E14" s="832"/>
      <c r="F14" s="832"/>
      <c r="G14" s="833"/>
      <c r="H14" s="833"/>
      <c r="I14" s="833"/>
      <c r="J14" s="833"/>
      <c r="K14" s="833"/>
      <c r="L14" s="833"/>
      <c r="M14" s="833"/>
      <c r="N14" s="103"/>
      <c r="O14" s="1615" t="s">
        <v>95</v>
      </c>
    </row>
    <row r="15" spans="1:25">
      <c r="A15" s="509">
        <f>ROW()</f>
        <v>15</v>
      </c>
      <c r="N15" s="103"/>
      <c r="O15" s="491"/>
    </row>
    <row r="16" spans="1:25" ht="17.399999999999999">
      <c r="A16" s="509">
        <f>ROW()</f>
        <v>16</v>
      </c>
      <c r="B16" s="82" t="s">
        <v>1363</v>
      </c>
      <c r="D16" s="1541" t="s">
        <v>1362</v>
      </c>
      <c r="E16" s="65"/>
      <c r="F16" s="65"/>
      <c r="G16" s="1542">
        <f>+G10</f>
        <v>2023</v>
      </c>
      <c r="H16" s="1542">
        <f t="shared" ref="H16:M16" si="0">+H10</f>
        <v>2024</v>
      </c>
      <c r="I16" s="1542">
        <f t="shared" si="0"/>
        <v>2025</v>
      </c>
      <c r="J16" s="1542">
        <f t="shared" si="0"/>
        <v>2026</v>
      </c>
      <c r="K16" s="1542">
        <f t="shared" si="0"/>
        <v>2027</v>
      </c>
      <c r="L16" s="1542">
        <f t="shared" si="0"/>
        <v>2028</v>
      </c>
      <c r="M16" s="1542">
        <f t="shared" si="0"/>
        <v>2029</v>
      </c>
      <c r="N16" s="103"/>
      <c r="O16" s="491"/>
    </row>
    <row r="17" spans="1:15" ht="15.6">
      <c r="A17" s="509">
        <f>ROW()</f>
        <v>17</v>
      </c>
      <c r="B17" s="82" t="s">
        <v>1364</v>
      </c>
      <c r="D17" s="384" t="s">
        <v>396</v>
      </c>
      <c r="E17" s="384"/>
      <c r="F17" s="384"/>
      <c r="G17" s="1535">
        <f>$G$86</f>
        <v>0.6</v>
      </c>
      <c r="H17" s="1535">
        <f>$H$86</f>
        <v>3</v>
      </c>
      <c r="I17" s="1535">
        <f>$I$86</f>
        <v>3</v>
      </c>
      <c r="J17" s="1535">
        <f>$J$86</f>
        <v>4</v>
      </c>
      <c r="K17" s="1535">
        <f>$K$86</f>
        <v>4</v>
      </c>
      <c r="L17" s="1535">
        <f>$L$86</f>
        <v>4</v>
      </c>
      <c r="M17" s="1535">
        <f>$M$86</f>
        <v>4</v>
      </c>
      <c r="N17" s="103"/>
      <c r="O17" s="491"/>
    </row>
    <row r="18" spans="1:15" ht="15.6">
      <c r="A18" s="509">
        <f>ROW()</f>
        <v>18</v>
      </c>
      <c r="D18" s="384" t="s">
        <v>397</v>
      </c>
      <c r="E18" s="384"/>
      <c r="F18" s="384"/>
      <c r="G18" s="1535">
        <f>$G$94-$G$86</f>
        <v>0</v>
      </c>
      <c r="H18" s="1535">
        <f>$H$94-$H$86</f>
        <v>3</v>
      </c>
      <c r="I18" s="1535">
        <f>$I$94-$I$86</f>
        <v>3</v>
      </c>
      <c r="J18" s="1535">
        <f>$J$94-$J$86</f>
        <v>3</v>
      </c>
      <c r="K18" s="1535">
        <f>$K$94-$K$86</f>
        <v>3</v>
      </c>
      <c r="L18" s="1535">
        <f>$L$94-$L$86</f>
        <v>3</v>
      </c>
      <c r="M18" s="1535">
        <f>$M$94-$M$86</f>
        <v>3</v>
      </c>
      <c r="N18" s="103"/>
      <c r="O18" s="353"/>
    </row>
    <row r="19" spans="1:15" ht="15.6">
      <c r="A19" s="509">
        <f>ROW()</f>
        <v>19</v>
      </c>
      <c r="D19" s="384" t="s">
        <v>398</v>
      </c>
      <c r="E19" s="384"/>
      <c r="F19" s="384"/>
      <c r="G19" s="1535">
        <f>$G$106</f>
        <v>0</v>
      </c>
      <c r="H19" s="1535">
        <f>$H$106</f>
        <v>3</v>
      </c>
      <c r="I19" s="1535">
        <f>$I$106</f>
        <v>5</v>
      </c>
      <c r="J19" s="1535">
        <f>$J$106</f>
        <v>5</v>
      </c>
      <c r="K19" s="1535">
        <f>$K$106</f>
        <v>6</v>
      </c>
      <c r="L19" s="1535">
        <f>$L$106</f>
        <v>6</v>
      </c>
      <c r="M19" s="1535">
        <f>$M$106</f>
        <v>6</v>
      </c>
      <c r="N19" s="103"/>
      <c r="O19" s="353"/>
    </row>
    <row r="20" spans="1:15" ht="15.6">
      <c r="A20" s="509">
        <f>ROW()</f>
        <v>20</v>
      </c>
      <c r="D20" s="384" t="s">
        <v>399</v>
      </c>
      <c r="E20" s="384"/>
      <c r="F20" s="384"/>
      <c r="G20" s="1535">
        <f>$G$120</f>
        <v>0</v>
      </c>
      <c r="H20" s="1535">
        <f>$H$120</f>
        <v>3</v>
      </c>
      <c r="I20" s="1535">
        <f>$I$120</f>
        <v>3</v>
      </c>
      <c r="J20" s="1535">
        <f>$J$120</f>
        <v>4</v>
      </c>
      <c r="K20" s="1535">
        <f>$K$120</f>
        <v>4</v>
      </c>
      <c r="L20" s="1535">
        <f>$L$120</f>
        <v>4</v>
      </c>
      <c r="M20" s="1535">
        <f>$M$120</f>
        <v>4</v>
      </c>
      <c r="N20" s="103"/>
      <c r="O20" s="353"/>
    </row>
    <row r="21" spans="1:15" ht="15.6">
      <c r="A21" s="509">
        <f>ROW()</f>
        <v>21</v>
      </c>
      <c r="D21" s="384" t="s">
        <v>400</v>
      </c>
      <c r="E21" s="384"/>
      <c r="F21" s="384"/>
      <c r="G21" s="1535">
        <f>$G$132</f>
        <v>0</v>
      </c>
      <c r="H21" s="1535">
        <f>$H$132</f>
        <v>1</v>
      </c>
      <c r="I21" s="1535">
        <f>$I$132</f>
        <v>2</v>
      </c>
      <c r="J21" s="1535">
        <f>$J$132</f>
        <v>3</v>
      </c>
      <c r="K21" s="1535">
        <f>$K$132</f>
        <v>3</v>
      </c>
      <c r="L21" s="1535">
        <f>$L$132</f>
        <v>3</v>
      </c>
      <c r="M21" s="1535">
        <f>$M$132</f>
        <v>3</v>
      </c>
      <c r="N21" s="103"/>
      <c r="O21" s="353"/>
    </row>
    <row r="22" spans="1:15" ht="15.6">
      <c r="A22" s="509">
        <f>ROW()</f>
        <v>22</v>
      </c>
      <c r="D22" s="384" t="s">
        <v>401</v>
      </c>
      <c r="E22" s="384"/>
      <c r="F22" s="384"/>
      <c r="G22" s="1535">
        <f>$G$236</f>
        <v>0</v>
      </c>
      <c r="H22" s="1535">
        <f>$H$236</f>
        <v>23</v>
      </c>
      <c r="I22" s="1535">
        <f>$I$236</f>
        <v>31</v>
      </c>
      <c r="J22" s="1535">
        <f>$J$236</f>
        <v>36</v>
      </c>
      <c r="K22" s="1535">
        <f>$K$236</f>
        <v>40</v>
      </c>
      <c r="L22" s="1535">
        <f>$L$236</f>
        <v>42</v>
      </c>
      <c r="M22" s="1535">
        <f>$M$236</f>
        <v>43</v>
      </c>
      <c r="N22" s="103"/>
      <c r="O22" s="353"/>
    </row>
    <row r="23" spans="1:15" ht="15.6">
      <c r="A23" s="509">
        <f>ROW()</f>
        <v>23</v>
      </c>
      <c r="C23" s="33"/>
      <c r="D23" s="183" t="s">
        <v>1236</v>
      </c>
      <c r="E23" s="183"/>
      <c r="F23" s="183"/>
      <c r="G23" s="1540">
        <f t="shared" ref="G23:M23" si="1">SUM(G17:G22)</f>
        <v>0.6</v>
      </c>
      <c r="H23" s="1540">
        <f t="shared" si="1"/>
        <v>36</v>
      </c>
      <c r="I23" s="1540">
        <f t="shared" si="1"/>
        <v>47</v>
      </c>
      <c r="J23" s="1540">
        <f t="shared" si="1"/>
        <v>55</v>
      </c>
      <c r="K23" s="1540">
        <f t="shared" si="1"/>
        <v>60</v>
      </c>
      <c r="L23" s="1540">
        <f t="shared" si="1"/>
        <v>62</v>
      </c>
      <c r="M23" s="1540">
        <f t="shared" si="1"/>
        <v>63</v>
      </c>
      <c r="N23" s="103"/>
      <c r="O23" s="353"/>
    </row>
    <row r="24" spans="1:15" ht="15.6">
      <c r="A24" s="509">
        <f>ROW()</f>
        <v>24</v>
      </c>
      <c r="D24" s="384"/>
      <c r="E24" s="384"/>
      <c r="F24" s="384"/>
      <c r="G24" s="384"/>
      <c r="H24" s="1536"/>
      <c r="I24" s="1536"/>
      <c r="J24" s="1536"/>
      <c r="K24" s="384"/>
      <c r="L24" s="384"/>
      <c r="M24" s="384"/>
      <c r="N24" s="103"/>
      <c r="O24" s="353"/>
    </row>
    <row r="25" spans="1:15" ht="15.6">
      <c r="A25" s="509">
        <f>ROW()</f>
        <v>25</v>
      </c>
      <c r="D25" s="1537" t="s">
        <v>403</v>
      </c>
      <c r="E25" s="1537"/>
      <c r="F25" s="1537"/>
      <c r="G25" s="1538">
        <f>G453</f>
        <v>0</v>
      </c>
      <c r="H25" s="1538">
        <f t="shared" ref="H25:M25" si="2">H453</f>
        <v>0</v>
      </c>
      <c r="I25" s="1538">
        <f t="shared" si="2"/>
        <v>0</v>
      </c>
      <c r="J25" s="1538">
        <f t="shared" si="2"/>
        <v>0</v>
      </c>
      <c r="K25" s="1538">
        <f t="shared" si="2"/>
        <v>0</v>
      </c>
      <c r="L25" s="1538">
        <f t="shared" si="2"/>
        <v>0</v>
      </c>
      <c r="M25" s="1538">
        <f t="shared" si="2"/>
        <v>0</v>
      </c>
      <c r="N25" s="103"/>
      <c r="O25" s="353"/>
    </row>
    <row r="26" spans="1:15" ht="15.6">
      <c r="A26" s="509">
        <f>ROW()</f>
        <v>26</v>
      </c>
      <c r="D26" s="384"/>
      <c r="E26" s="384"/>
      <c r="F26" s="384"/>
      <c r="G26" s="384"/>
      <c r="H26" s="1536"/>
      <c r="I26" s="1536"/>
      <c r="J26" s="1536"/>
      <c r="K26" s="384"/>
      <c r="L26" s="384"/>
      <c r="M26" s="384"/>
      <c r="N26" s="103"/>
      <c r="O26" s="353"/>
    </row>
    <row r="27" spans="1:15" ht="15.6">
      <c r="A27" s="509">
        <f>ROW()</f>
        <v>27</v>
      </c>
      <c r="C27" s="33"/>
      <c r="D27" s="183" t="s">
        <v>1361</v>
      </c>
      <c r="E27" s="183"/>
      <c r="F27" s="183"/>
      <c r="G27" s="1539">
        <f>+G25+G23</f>
        <v>0.6</v>
      </c>
      <c r="H27" s="1539">
        <f t="shared" ref="H27:M27" si="3">+H25+H23</f>
        <v>36</v>
      </c>
      <c r="I27" s="1539">
        <f t="shared" si="3"/>
        <v>47</v>
      </c>
      <c r="J27" s="1539">
        <f t="shared" si="3"/>
        <v>55</v>
      </c>
      <c r="K27" s="1539">
        <f t="shared" si="3"/>
        <v>60</v>
      </c>
      <c r="L27" s="1539">
        <f t="shared" si="3"/>
        <v>62</v>
      </c>
      <c r="M27" s="1539">
        <f t="shared" si="3"/>
        <v>63</v>
      </c>
      <c r="N27" s="103"/>
      <c r="O27" s="353"/>
    </row>
    <row r="28" spans="1:15">
      <c r="A28" s="509">
        <f>ROW()</f>
        <v>28</v>
      </c>
      <c r="H28" s="110"/>
      <c r="I28" s="110"/>
      <c r="J28" s="110"/>
      <c r="N28" s="103"/>
      <c r="O28" s="353"/>
    </row>
    <row r="29" spans="1:15">
      <c r="A29" s="509">
        <f>ROW()</f>
        <v>29</v>
      </c>
      <c r="C29" s="533" t="s">
        <v>404</v>
      </c>
      <c r="H29" s="110"/>
      <c r="I29" s="110"/>
      <c r="J29" s="110"/>
      <c r="N29" s="103"/>
      <c r="O29" s="353"/>
    </row>
    <row r="30" spans="1:15" ht="17.399999999999999">
      <c r="A30" s="509">
        <f>ROW()</f>
        <v>30</v>
      </c>
      <c r="B30" s="1801" t="s">
        <v>405</v>
      </c>
      <c r="C30" s="1802">
        <f>AVERAGE(H30:M30)</f>
        <v>769.5</v>
      </c>
      <c r="D30" s="1803"/>
      <c r="E30" s="1803"/>
      <c r="F30" s="1803"/>
      <c r="G30" s="1804"/>
      <c r="H30" s="1804">
        <f>Levers!D9</f>
        <v>540</v>
      </c>
      <c r="I30" s="1804">
        <f>Levers!E9</f>
        <v>648</v>
      </c>
      <c r="J30" s="1804">
        <f>Levers!F9</f>
        <v>756</v>
      </c>
      <c r="K30" s="1804">
        <f>Levers!G9</f>
        <v>864</v>
      </c>
      <c r="L30" s="1804">
        <f>Levers!H9</f>
        <v>891</v>
      </c>
      <c r="M30" s="1804">
        <f>Levers!I9</f>
        <v>918</v>
      </c>
      <c r="N30" s="103"/>
      <c r="O30" s="353"/>
    </row>
    <row r="31" spans="1:15" ht="18">
      <c r="A31" s="509">
        <f>ROW()</f>
        <v>31</v>
      </c>
      <c r="B31" s="1689" t="s">
        <v>1389</v>
      </c>
      <c r="C31" s="1569"/>
      <c r="D31" s="1570"/>
      <c r="E31" s="1570"/>
      <c r="F31" s="1570"/>
      <c r="G31" s="1571">
        <f>SUM(G19,G20,G22)</f>
        <v>0</v>
      </c>
      <c r="H31" s="1571">
        <f t="shared" ref="H31:M31" si="4">SUM(H19,H20,H22)</f>
        <v>29</v>
      </c>
      <c r="I31" s="1571">
        <f t="shared" si="4"/>
        <v>39</v>
      </c>
      <c r="J31" s="1571">
        <f t="shared" si="4"/>
        <v>45</v>
      </c>
      <c r="K31" s="1571">
        <f t="shared" si="4"/>
        <v>50</v>
      </c>
      <c r="L31" s="1571">
        <f t="shared" si="4"/>
        <v>52</v>
      </c>
      <c r="M31" s="1571">
        <f t="shared" si="4"/>
        <v>53</v>
      </c>
      <c r="N31" s="103"/>
      <c r="O31" s="353"/>
    </row>
    <row r="32" spans="1:15" ht="18">
      <c r="A32" s="509">
        <f>ROW()</f>
        <v>32</v>
      </c>
      <c r="B32" s="1690" t="s">
        <v>1390</v>
      </c>
      <c r="C32" s="1572"/>
      <c r="D32" s="1573"/>
      <c r="E32" s="1573"/>
      <c r="F32" s="1573"/>
      <c r="G32" s="1574">
        <f>IFERROR(G30/G31,0)</f>
        <v>0</v>
      </c>
      <c r="H32" s="1574">
        <f t="shared" ref="H32:M32" si="5">IFERROR(H30/H31,0)</f>
        <v>18.620689655172413</v>
      </c>
      <c r="I32" s="1574">
        <f t="shared" si="5"/>
        <v>16.615384615384617</v>
      </c>
      <c r="J32" s="1574">
        <f t="shared" si="5"/>
        <v>16.8</v>
      </c>
      <c r="K32" s="1574">
        <f t="shared" si="5"/>
        <v>17.28</v>
      </c>
      <c r="L32" s="1574">
        <f t="shared" si="5"/>
        <v>17.134615384615383</v>
      </c>
      <c r="M32" s="1574">
        <f t="shared" si="5"/>
        <v>17.320754716981131</v>
      </c>
      <c r="N32" s="103"/>
      <c r="O32" s="353"/>
    </row>
    <row r="33" spans="1:15">
      <c r="A33" s="509">
        <f>ROW()</f>
        <v>33</v>
      </c>
      <c r="B33" s="851"/>
      <c r="C33" s="851"/>
      <c r="D33" s="465"/>
      <c r="E33" s="465"/>
      <c r="F33" s="465"/>
      <c r="G33" s="465"/>
      <c r="H33" s="465"/>
      <c r="I33" s="465"/>
      <c r="J33" s="465"/>
      <c r="K33" s="465"/>
      <c r="L33" s="465"/>
      <c r="M33" s="465"/>
      <c r="N33" s="103"/>
      <c r="O33" s="353"/>
    </row>
    <row r="34" spans="1:15">
      <c r="A34" s="509">
        <f>ROW()</f>
        <v>34</v>
      </c>
      <c r="B34" s="179" t="s">
        <v>406</v>
      </c>
      <c r="C34" s="851">
        <f t="shared" ref="C34:C35" si="6">AVERAGE(H34:M34)</f>
        <v>8443122.6133452486</v>
      </c>
      <c r="D34" s="485"/>
      <c r="E34" s="482"/>
      <c r="F34" s="482"/>
      <c r="G34" s="484">
        <f>Levers!C10</f>
        <v>150000</v>
      </c>
      <c r="H34" s="484">
        <f>Levers!D10</f>
        <v>5253734.6500000004</v>
      </c>
      <c r="I34" s="484">
        <f>Levers!E10</f>
        <v>7196317.5757038658</v>
      </c>
      <c r="J34" s="484">
        <f>Levers!F10</f>
        <v>8318281.1288446411</v>
      </c>
      <c r="K34" s="484">
        <f>Levers!G10</f>
        <v>9540244.6819854137</v>
      </c>
      <c r="L34" s="484">
        <f>Levers!H10</f>
        <v>10022333.377626188</v>
      </c>
      <c r="M34" s="484">
        <f>Levers!I10</f>
        <v>10327824.26591138</v>
      </c>
      <c r="N34" s="103"/>
      <c r="O34" s="353"/>
    </row>
    <row r="35" spans="1:15">
      <c r="A35" s="509">
        <f>ROW()</f>
        <v>35</v>
      </c>
      <c r="B35" s="179" t="s">
        <v>407</v>
      </c>
      <c r="C35" s="851">
        <f t="shared" si="6"/>
        <v>2677840</v>
      </c>
      <c r="D35" s="485"/>
      <c r="E35" s="482"/>
      <c r="F35" s="482"/>
      <c r="G35" s="484">
        <f>G396</f>
        <v>65790</v>
      </c>
      <c r="H35" s="484">
        <f>H396</f>
        <v>1833960</v>
      </c>
      <c r="I35" s="484">
        <f t="shared" ref="I35:M35" si="7">I396</f>
        <v>2347020</v>
      </c>
      <c r="J35" s="484">
        <f t="shared" si="7"/>
        <v>2739720</v>
      </c>
      <c r="K35" s="484">
        <f t="shared" si="7"/>
        <v>2972280</v>
      </c>
      <c r="L35" s="484">
        <f t="shared" si="7"/>
        <v>3064080</v>
      </c>
      <c r="M35" s="484">
        <f t="shared" si="7"/>
        <v>3109980</v>
      </c>
      <c r="N35" s="103"/>
      <c r="O35" s="353"/>
    </row>
    <row r="36" spans="1:15">
      <c r="A36" s="509">
        <f>ROW()</f>
        <v>36</v>
      </c>
      <c r="C36" s="138"/>
      <c r="D36" s="57"/>
      <c r="E36" s="57"/>
      <c r="F36" s="57"/>
      <c r="G36" s="57"/>
      <c r="H36" s="114"/>
      <c r="I36" s="114"/>
      <c r="J36" s="114"/>
      <c r="K36" s="114"/>
      <c r="L36" s="114"/>
      <c r="M36" s="114"/>
      <c r="N36" s="103"/>
      <c r="O36" s="353"/>
    </row>
    <row r="37" spans="1:15">
      <c r="A37" s="509">
        <f>ROW()</f>
        <v>37</v>
      </c>
      <c r="B37" s="179" t="s">
        <v>408</v>
      </c>
      <c r="C37" s="851">
        <f>AVERAGE(H37:M37)</f>
        <v>793686.02219235746</v>
      </c>
      <c r="D37" s="486"/>
      <c r="E37" s="483"/>
      <c r="F37" s="483"/>
      <c r="G37" s="532">
        <f>G421</f>
        <v>14726.805</v>
      </c>
      <c r="H37" s="532">
        <f t="shared" ref="H37:M37" si="8">H421</f>
        <v>528620.22</v>
      </c>
      <c r="I37" s="532">
        <f t="shared" si="8"/>
        <v>686437.49</v>
      </c>
      <c r="J37" s="532">
        <f t="shared" si="8"/>
        <v>807276.52</v>
      </c>
      <c r="K37" s="532">
        <f t="shared" si="8"/>
        <v>883598.14320000005</v>
      </c>
      <c r="L37" s="532">
        <f t="shared" si="8"/>
        <v>917858.10409280006</v>
      </c>
      <c r="M37" s="532">
        <f t="shared" si="8"/>
        <v>938325.65586134396</v>
      </c>
      <c r="N37" s="103"/>
      <c r="O37" s="353"/>
    </row>
    <row r="38" spans="1:15">
      <c r="A38" s="509">
        <f>ROW()</f>
        <v>38</v>
      </c>
      <c r="B38" s="35" t="s">
        <v>409</v>
      </c>
      <c r="G38" s="107">
        <f>G401</f>
        <v>2700</v>
      </c>
      <c r="H38" s="107">
        <f t="shared" ref="H38:M38" si="9">H401</f>
        <v>165240</v>
      </c>
      <c r="I38" s="107">
        <f t="shared" si="9"/>
        <v>220044.6</v>
      </c>
      <c r="J38" s="107">
        <f t="shared" si="9"/>
        <v>262648.98</v>
      </c>
      <c r="K38" s="107">
        <f t="shared" si="9"/>
        <v>292256.68319999997</v>
      </c>
      <c r="L38" s="107">
        <f t="shared" si="9"/>
        <v>308038.5440928</v>
      </c>
      <c r="M38" s="107">
        <f t="shared" si="9"/>
        <v>319267.04586134403</v>
      </c>
      <c r="N38" s="103"/>
      <c r="O38" s="353"/>
    </row>
    <row r="39" spans="1:15">
      <c r="A39" s="509">
        <f>ROW()</f>
        <v>39</v>
      </c>
      <c r="B39" s="35" t="s">
        <v>410</v>
      </c>
      <c r="G39" s="107">
        <f>G407</f>
        <v>10197.450000000001</v>
      </c>
      <c r="H39" s="107">
        <f t="shared" ref="H39:M39" si="10">H407</f>
        <v>284263.8</v>
      </c>
      <c r="I39" s="107">
        <f t="shared" si="10"/>
        <v>363788.1</v>
      </c>
      <c r="J39" s="107">
        <f t="shared" si="10"/>
        <v>424656.6</v>
      </c>
      <c r="K39" s="107">
        <f t="shared" si="10"/>
        <v>460703.4</v>
      </c>
      <c r="L39" s="107">
        <f t="shared" si="10"/>
        <v>474932.4</v>
      </c>
      <c r="M39" s="107">
        <f t="shared" si="10"/>
        <v>482046.9</v>
      </c>
      <c r="N39" s="103"/>
      <c r="O39" s="353"/>
    </row>
    <row r="40" spans="1:15">
      <c r="A40" s="509">
        <f>ROW()</f>
        <v>40</v>
      </c>
      <c r="B40" s="35" t="s">
        <v>411</v>
      </c>
      <c r="G40" s="107">
        <f t="shared" ref="G40:M40" si="11">G421-G39-G38</f>
        <v>1829.3549999999996</v>
      </c>
      <c r="H40" s="107">
        <f t="shared" si="11"/>
        <v>79116.419999999984</v>
      </c>
      <c r="I40" s="107">
        <f t="shared" si="11"/>
        <v>102604.79000000001</v>
      </c>
      <c r="J40" s="107">
        <f t="shared" si="11"/>
        <v>119970.94000000006</v>
      </c>
      <c r="K40" s="107">
        <f t="shared" si="11"/>
        <v>130638.06000000006</v>
      </c>
      <c r="L40" s="107">
        <f t="shared" si="11"/>
        <v>134887.16000000003</v>
      </c>
      <c r="M40" s="107">
        <f t="shared" si="11"/>
        <v>137011.7099999999</v>
      </c>
      <c r="N40" s="103"/>
      <c r="O40" s="353"/>
    </row>
    <row r="41" spans="1:15">
      <c r="A41" s="509">
        <f>ROW()</f>
        <v>41</v>
      </c>
      <c r="H41" s="110"/>
      <c r="I41" s="110"/>
      <c r="J41" s="110"/>
      <c r="N41" s="103"/>
      <c r="O41" s="353"/>
    </row>
    <row r="42" spans="1:15">
      <c r="A42" s="509">
        <f>ROW()</f>
        <v>42</v>
      </c>
      <c r="B42" s="179" t="s">
        <v>412</v>
      </c>
      <c r="C42" s="851">
        <f t="shared" ref="C42:C47" si="12">AVERAGE(H42:M42)</f>
        <v>3481216.0221923571</v>
      </c>
      <c r="D42" s="179"/>
      <c r="E42" s="179"/>
      <c r="F42" s="179"/>
      <c r="G42" s="532">
        <f>G457</f>
        <v>80624.804999999993</v>
      </c>
      <c r="H42" s="532">
        <f t="shared" ref="H42:M42" si="13">H457</f>
        <v>2369060.2199999997</v>
      </c>
      <c r="I42" s="532">
        <f t="shared" si="13"/>
        <v>3041917.49</v>
      </c>
      <c r="J42" s="532">
        <f t="shared" si="13"/>
        <v>3556896.52</v>
      </c>
      <c r="K42" s="532">
        <f t="shared" si="13"/>
        <v>3866678.1431999998</v>
      </c>
      <c r="L42" s="532">
        <f t="shared" si="13"/>
        <v>3993098.1040928001</v>
      </c>
      <c r="M42" s="532">
        <f t="shared" si="13"/>
        <v>4059645.6558613442</v>
      </c>
      <c r="N42" s="103"/>
      <c r="O42" s="353"/>
    </row>
    <row r="43" spans="1:15">
      <c r="A43" s="509">
        <f>ROW()</f>
        <v>43</v>
      </c>
      <c r="B43" s="35" t="s">
        <v>413</v>
      </c>
      <c r="C43" s="853">
        <f t="shared" si="12"/>
        <v>4527.5901191389521</v>
      </c>
      <c r="G43" s="466"/>
      <c r="H43" s="466">
        <f>Levers!D13</f>
        <v>4387.1485555555555</v>
      </c>
      <c r="I43" s="466">
        <f>Levers!E13</f>
        <v>4694.3171141975308</v>
      </c>
      <c r="J43" s="466">
        <f>Levers!F13</f>
        <v>4704.8895767195763</v>
      </c>
      <c r="K43" s="466">
        <f>Levers!G13</f>
        <v>4475.3219250000002</v>
      </c>
      <c r="L43" s="466">
        <f>Levers!H13</f>
        <v>4481.5915870850731</v>
      </c>
      <c r="M43" s="466">
        <f>Levers!I13</f>
        <v>4422.2719562759739</v>
      </c>
      <c r="N43" s="103"/>
      <c r="O43" s="353"/>
    </row>
    <row r="44" spans="1:15">
      <c r="A44" s="509">
        <f>ROW()</f>
        <v>44</v>
      </c>
      <c r="B44" s="74" t="s">
        <v>414</v>
      </c>
      <c r="C44" s="852">
        <f t="shared" si="12"/>
        <v>4961906.5911528915</v>
      </c>
      <c r="D44" s="74"/>
      <c r="E44" s="74"/>
      <c r="F44" s="74"/>
      <c r="G44" s="467">
        <f>Levers!C14</f>
        <v>69375.195000000007</v>
      </c>
      <c r="H44" s="467">
        <f>Levers!D14</f>
        <v>2884674.4300000006</v>
      </c>
      <c r="I44" s="467">
        <f>Levers!E14</f>
        <v>4154400.0857038656</v>
      </c>
      <c r="J44" s="467">
        <f>Levers!F14</f>
        <v>4761384.6088446416</v>
      </c>
      <c r="K44" s="467">
        <f>Levers!G14</f>
        <v>5673566.5387854138</v>
      </c>
      <c r="L44" s="467">
        <f>Levers!H14</f>
        <v>6029235.273533388</v>
      </c>
      <c r="M44" s="467">
        <f>Levers!I14</f>
        <v>6268178.6100500356</v>
      </c>
      <c r="N44" s="103"/>
      <c r="O44" s="353"/>
    </row>
    <row r="45" spans="1:15">
      <c r="A45" s="509">
        <f>ROW()</f>
        <v>45</v>
      </c>
      <c r="B45" s="74" t="s">
        <v>415</v>
      </c>
      <c r="C45" s="852">
        <f t="shared" si="12"/>
        <v>6368.7927366366448</v>
      </c>
      <c r="D45" s="74"/>
      <c r="E45" s="74"/>
      <c r="F45" s="74"/>
      <c r="G45" s="467"/>
      <c r="H45" s="467">
        <f>Levers!D15</f>
        <v>5341.9896851851863</v>
      </c>
      <c r="I45" s="467">
        <f>Levers!E15</f>
        <v>6411.1112433701628</v>
      </c>
      <c r="J45" s="467">
        <f>Levers!F15</f>
        <v>6298.1277894770392</v>
      </c>
      <c r="K45" s="467">
        <f>Levers!G15</f>
        <v>6566.627938409044</v>
      </c>
      <c r="L45" s="467">
        <f>Levers!H15</f>
        <v>6766.8184888141277</v>
      </c>
      <c r="M45" s="467">
        <f>Levers!I15</f>
        <v>6828.0812745643088</v>
      </c>
      <c r="N45" s="103"/>
      <c r="O45" s="353"/>
    </row>
    <row r="46" spans="1:15">
      <c r="A46" s="509">
        <f>ROW()</f>
        <v>46</v>
      </c>
      <c r="B46" s="74" t="s">
        <v>416</v>
      </c>
      <c r="C46" s="852">
        <f t="shared" si="12"/>
        <v>1283415.6111507127</v>
      </c>
      <c r="D46" s="74"/>
      <c r="E46" s="74"/>
      <c r="F46" s="74"/>
      <c r="G46" s="467">
        <f>Levers!C38</f>
        <v>1495.195000000007</v>
      </c>
      <c r="H46" s="467">
        <f>Levers!D38</f>
        <v>408864.40679680783</v>
      </c>
      <c r="I46" s="467">
        <f>Levers!E38</f>
        <v>1018956.9745006727</v>
      </c>
      <c r="J46" s="467">
        <f>Levers!F38</f>
        <v>1035416.9928292485</v>
      </c>
      <c r="K46" s="467">
        <f>Levers!G38</f>
        <v>1589581.608885807</v>
      </c>
      <c r="L46" s="467">
        <f>Levers!H38</f>
        <v>1877911.2805726153</v>
      </c>
      <c r="M46" s="467">
        <f>Levers!I38</f>
        <v>1769762.4033191246</v>
      </c>
      <c r="N46" s="103"/>
      <c r="O46" s="353"/>
    </row>
    <row r="47" spans="1:15">
      <c r="A47" s="509">
        <f>ROW()</f>
        <v>47</v>
      </c>
      <c r="B47" s="74" t="s">
        <v>417</v>
      </c>
      <c r="C47" s="852">
        <f t="shared" si="12"/>
        <v>1595.7506319159274</v>
      </c>
      <c r="D47" s="74"/>
      <c r="E47" s="74"/>
      <c r="F47" s="74"/>
      <c r="G47" s="467">
        <f>Levers!C39</f>
        <v>0</v>
      </c>
      <c r="H47" s="467">
        <f>Levers!D39</f>
        <v>757.15630888297744</v>
      </c>
      <c r="I47" s="467">
        <f>Levers!E39</f>
        <v>1572.4644668220258</v>
      </c>
      <c r="J47" s="467">
        <f>Levers!F39</f>
        <v>1369.5991968640853</v>
      </c>
      <c r="K47" s="467">
        <f>Levers!G39</f>
        <v>1839.7935288030174</v>
      </c>
      <c r="L47" s="467">
        <f>Levers!H39</f>
        <v>2107.6445348738666</v>
      </c>
      <c r="M47" s="467">
        <f>Levers!I39</f>
        <v>1927.8457552495911</v>
      </c>
      <c r="N47" s="103"/>
      <c r="O47" s="353"/>
    </row>
    <row r="48" spans="1:15">
      <c r="A48" s="509">
        <f>ROW()</f>
        <v>48</v>
      </c>
      <c r="H48" s="110"/>
      <c r="I48" s="110"/>
      <c r="J48" s="110"/>
      <c r="N48" s="103"/>
      <c r="O48" s="353"/>
    </row>
    <row r="49" spans="1:15">
      <c r="A49" s="509">
        <f>ROW()</f>
        <v>49</v>
      </c>
      <c r="B49" s="58" t="s">
        <v>145</v>
      </c>
      <c r="C49" s="58"/>
      <c r="D49" s="58"/>
      <c r="E49" s="58"/>
      <c r="F49" s="58"/>
      <c r="G49" s="529" t="str">
        <f t="shared" ref="G49:M51" si="14">G8</f>
        <v>SY 0/Incu</v>
      </c>
      <c r="H49" s="530">
        <f t="shared" si="14"/>
        <v>1</v>
      </c>
      <c r="I49" s="530">
        <f t="shared" si="14"/>
        <v>2</v>
      </c>
      <c r="J49" s="530">
        <f t="shared" si="14"/>
        <v>3</v>
      </c>
      <c r="K49" s="530">
        <f t="shared" si="14"/>
        <v>4</v>
      </c>
      <c r="L49" s="530">
        <f t="shared" si="14"/>
        <v>5</v>
      </c>
      <c r="M49" s="530">
        <f t="shared" si="14"/>
        <v>6</v>
      </c>
      <c r="N49" s="103"/>
      <c r="O49" s="353"/>
    </row>
    <row r="50" spans="1:15">
      <c r="A50" s="509">
        <f>ROW()</f>
        <v>50</v>
      </c>
      <c r="B50" s="33" t="s">
        <v>418</v>
      </c>
      <c r="C50" s="33"/>
      <c r="D50" s="33"/>
      <c r="E50" s="33"/>
      <c r="F50" s="33"/>
      <c r="G50" s="849">
        <f t="shared" si="14"/>
        <v>2022</v>
      </c>
      <c r="H50" s="849">
        <f t="shared" si="14"/>
        <v>2023</v>
      </c>
      <c r="I50" s="531">
        <f t="shared" si="14"/>
        <v>2024</v>
      </c>
      <c r="J50" s="531">
        <f t="shared" si="14"/>
        <v>2025</v>
      </c>
      <c r="K50" s="531">
        <f t="shared" si="14"/>
        <v>2026</v>
      </c>
      <c r="L50" s="531">
        <f t="shared" si="14"/>
        <v>2027</v>
      </c>
      <c r="M50" s="531">
        <f t="shared" si="14"/>
        <v>2028</v>
      </c>
      <c r="N50" s="103"/>
      <c r="O50" s="353"/>
    </row>
    <row r="51" spans="1:15">
      <c r="A51" s="509">
        <f>ROW()</f>
        <v>51</v>
      </c>
      <c r="B51" s="33" t="s">
        <v>419</v>
      </c>
      <c r="C51" s="33"/>
      <c r="D51" s="33"/>
      <c r="E51" s="33"/>
      <c r="F51" s="33"/>
      <c r="G51" s="67">
        <f t="shared" si="14"/>
        <v>2023</v>
      </c>
      <c r="H51" s="67">
        <f t="shared" si="14"/>
        <v>2024</v>
      </c>
      <c r="I51" s="67">
        <f t="shared" si="14"/>
        <v>2025</v>
      </c>
      <c r="J51" s="67">
        <f t="shared" si="14"/>
        <v>2026</v>
      </c>
      <c r="K51" s="67">
        <f t="shared" si="14"/>
        <v>2027</v>
      </c>
      <c r="L51" s="67">
        <f t="shared" si="14"/>
        <v>2028</v>
      </c>
      <c r="M51" s="67">
        <f t="shared" si="14"/>
        <v>2029</v>
      </c>
      <c r="N51" s="103"/>
      <c r="O51" s="353"/>
    </row>
    <row r="52" spans="1:15">
      <c r="A52" s="509">
        <f>ROW()</f>
        <v>52</v>
      </c>
      <c r="B52" s="178" t="s">
        <v>420</v>
      </c>
      <c r="C52" s="108"/>
      <c r="D52" s="108"/>
      <c r="E52" s="108"/>
      <c r="F52" s="108"/>
      <c r="G52" s="108"/>
      <c r="H52" s="108"/>
      <c r="I52" s="98"/>
      <c r="J52" s="98"/>
      <c r="K52" s="98"/>
      <c r="L52" s="98"/>
      <c r="M52" s="98"/>
      <c r="N52" s="103"/>
      <c r="O52" s="353"/>
    </row>
    <row r="53" spans="1:15" ht="14.4">
      <c r="A53" s="509">
        <f>ROW()</f>
        <v>53</v>
      </c>
      <c r="B53" s="129" t="s">
        <v>421</v>
      </c>
      <c r="C53" s="43"/>
      <c r="D53" s="43"/>
      <c r="E53" s="43"/>
      <c r="F53" s="43"/>
      <c r="G53" s="109"/>
      <c r="H53" s="99"/>
      <c r="I53" s="100"/>
      <c r="J53" s="100"/>
      <c r="K53" s="100"/>
      <c r="L53" s="100"/>
      <c r="M53" s="100"/>
      <c r="N53" s="103"/>
      <c r="O53" s="353"/>
    </row>
    <row r="54" spans="1:15">
      <c r="A54" s="509">
        <f>ROW()</f>
        <v>54</v>
      </c>
      <c r="B54" s="43" t="s">
        <v>422</v>
      </c>
      <c r="C54" s="854">
        <v>4500</v>
      </c>
      <c r="D54" s="99" t="s">
        <v>423</v>
      </c>
      <c r="E54" s="99"/>
      <c r="F54" s="99"/>
      <c r="I54" s="100"/>
      <c r="J54" s="100"/>
      <c r="K54" s="100"/>
      <c r="L54" s="100"/>
      <c r="M54" s="100"/>
      <c r="N54" s="103"/>
      <c r="O54" s="353"/>
    </row>
    <row r="55" spans="1:15">
      <c r="A55" s="509">
        <f>ROW()</f>
        <v>55</v>
      </c>
      <c r="B55" s="43" t="s">
        <v>424</v>
      </c>
      <c r="C55" s="854">
        <v>4500</v>
      </c>
      <c r="D55" s="99" t="s">
        <v>423</v>
      </c>
      <c r="E55" s="99"/>
      <c r="F55" s="99"/>
      <c r="I55" s="100"/>
      <c r="J55" s="100"/>
      <c r="K55" s="100"/>
      <c r="L55" s="100"/>
      <c r="M55" s="100"/>
      <c r="N55" s="103"/>
      <c r="O55" s="353"/>
    </row>
    <row r="56" spans="1:15">
      <c r="A56" s="509">
        <f>ROW()</f>
        <v>56</v>
      </c>
      <c r="B56" s="43" t="s">
        <v>425</v>
      </c>
      <c r="C56" s="855">
        <v>1</v>
      </c>
      <c r="D56" s="99"/>
      <c r="E56" s="99"/>
      <c r="F56" s="99"/>
      <c r="I56" s="100"/>
      <c r="J56" s="100"/>
      <c r="K56" s="100"/>
      <c r="L56" s="100"/>
      <c r="M56" s="100"/>
      <c r="N56" s="103"/>
      <c r="O56" s="353"/>
    </row>
    <row r="57" spans="1:15">
      <c r="A57" s="509">
        <f>ROW()</f>
        <v>57</v>
      </c>
      <c r="B57" s="43" t="s">
        <v>426</v>
      </c>
      <c r="C57" s="855">
        <v>1</v>
      </c>
      <c r="D57" s="99"/>
      <c r="E57" s="99"/>
      <c r="F57" s="99"/>
      <c r="I57" s="100"/>
      <c r="J57" s="100"/>
      <c r="K57" s="100"/>
      <c r="L57" s="100"/>
      <c r="M57" s="100"/>
      <c r="N57" s="103"/>
      <c r="O57" s="353"/>
    </row>
    <row r="58" spans="1:15">
      <c r="A58" s="509">
        <f>ROW()</f>
        <v>58</v>
      </c>
      <c r="B58" s="43" t="s">
        <v>427</v>
      </c>
      <c r="C58" s="1686">
        <f>(C57*C54)+((1-C57)*C55)</f>
        <v>4500</v>
      </c>
      <c r="D58" s="99" t="s">
        <v>428</v>
      </c>
      <c r="E58" s="99"/>
      <c r="F58" s="99"/>
      <c r="I58" s="100"/>
      <c r="J58" s="100"/>
      <c r="K58" s="100"/>
      <c r="L58" s="100"/>
      <c r="M58" s="100"/>
      <c r="N58" s="103"/>
      <c r="O58" s="353"/>
    </row>
    <row r="59" spans="1:15">
      <c r="A59" s="509">
        <f>ROW()</f>
        <v>59</v>
      </c>
      <c r="B59" s="43" t="s">
        <v>429</v>
      </c>
      <c r="C59" s="738">
        <v>1.4500000000000001E-2</v>
      </c>
      <c r="D59" s="99" t="s">
        <v>430</v>
      </c>
      <c r="E59" s="99"/>
      <c r="F59" s="99"/>
      <c r="I59" s="100"/>
      <c r="J59" s="100"/>
      <c r="K59" s="100"/>
      <c r="L59" s="100"/>
      <c r="M59" s="100"/>
      <c r="N59" s="103"/>
      <c r="O59" s="353"/>
    </row>
    <row r="60" spans="1:15">
      <c r="A60" s="509">
        <f>ROW()</f>
        <v>60</v>
      </c>
      <c r="B60" s="43" t="s">
        <v>431</v>
      </c>
      <c r="C60" s="738">
        <v>0.155</v>
      </c>
      <c r="D60" s="99" t="s">
        <v>430</v>
      </c>
      <c r="E60" s="99"/>
      <c r="F60" s="99"/>
      <c r="I60" s="100"/>
      <c r="J60" s="100"/>
      <c r="K60" s="100"/>
      <c r="L60" s="100"/>
      <c r="M60" s="100"/>
      <c r="N60" s="103"/>
      <c r="O60" s="353"/>
    </row>
    <row r="61" spans="1:15">
      <c r="A61" s="509">
        <f>ROW()</f>
        <v>61</v>
      </c>
      <c r="B61" s="43" t="s">
        <v>432</v>
      </c>
      <c r="C61" s="738">
        <v>0</v>
      </c>
      <c r="D61" s="99" t="s">
        <v>430</v>
      </c>
      <c r="E61" s="99"/>
      <c r="F61" s="99"/>
      <c r="I61" s="100"/>
      <c r="J61" s="100"/>
      <c r="K61" s="100"/>
      <c r="L61" s="100"/>
      <c r="M61" s="100"/>
      <c r="N61" s="103"/>
      <c r="O61" s="353"/>
    </row>
    <row r="62" spans="1:15">
      <c r="A62" s="509">
        <f>ROW()</f>
        <v>62</v>
      </c>
      <c r="B62" s="43" t="s">
        <v>433</v>
      </c>
      <c r="C62" s="856">
        <v>0</v>
      </c>
      <c r="D62" s="99" t="s">
        <v>434</v>
      </c>
      <c r="E62" s="99"/>
      <c r="F62" s="99"/>
      <c r="I62" s="100"/>
      <c r="J62" s="100"/>
      <c r="K62" s="100"/>
      <c r="L62" s="100"/>
      <c r="M62" s="100"/>
      <c r="N62" s="103"/>
      <c r="O62" s="353"/>
    </row>
    <row r="63" spans="1:15">
      <c r="A63" s="509">
        <f>ROW()</f>
        <v>63</v>
      </c>
      <c r="B63" s="43" t="s">
        <v>435</v>
      </c>
      <c r="C63" s="854">
        <v>959</v>
      </c>
      <c r="D63" s="99" t="s">
        <v>434</v>
      </c>
      <c r="E63" s="99"/>
      <c r="F63" s="99"/>
      <c r="I63" s="100"/>
      <c r="J63" s="100"/>
      <c r="K63" s="100"/>
      <c r="L63" s="100"/>
      <c r="M63" s="100"/>
      <c r="N63" s="103"/>
      <c r="O63" s="353"/>
    </row>
    <row r="64" spans="1:15">
      <c r="A64" s="509">
        <f>ROW()</f>
        <v>64</v>
      </c>
      <c r="B64" s="43" t="s">
        <v>436</v>
      </c>
      <c r="C64" s="854">
        <v>500</v>
      </c>
      <c r="D64" s="99" t="s">
        <v>434</v>
      </c>
      <c r="E64" s="99"/>
      <c r="F64" s="99"/>
      <c r="I64" s="100"/>
      <c r="J64" s="100"/>
      <c r="K64" s="100"/>
      <c r="L64" s="100"/>
      <c r="M64" s="100"/>
      <c r="N64" s="103"/>
      <c r="O64" s="353"/>
    </row>
    <row r="65" spans="1:15">
      <c r="A65" s="509">
        <f>ROW()</f>
        <v>65</v>
      </c>
      <c r="B65" s="43"/>
      <c r="C65" s="1687"/>
      <c r="D65" s="99"/>
      <c r="E65" s="99"/>
      <c r="F65" s="99"/>
      <c r="I65" s="100"/>
      <c r="J65" s="100"/>
      <c r="K65" s="100"/>
      <c r="L65" s="100"/>
      <c r="M65" s="100"/>
      <c r="N65" s="103"/>
      <c r="O65" s="353"/>
    </row>
    <row r="66" spans="1:15">
      <c r="A66" s="509">
        <f>ROW()</f>
        <v>66</v>
      </c>
      <c r="B66" s="43" t="s">
        <v>376</v>
      </c>
      <c r="C66" s="854">
        <v>15</v>
      </c>
      <c r="D66" s="99" t="s">
        <v>437</v>
      </c>
      <c r="E66" s="99"/>
      <c r="F66" s="99"/>
      <c r="I66" s="100"/>
      <c r="J66" s="100"/>
      <c r="K66" s="100"/>
      <c r="L66" s="100"/>
      <c r="M66" s="100"/>
      <c r="N66" s="103"/>
      <c r="O66" s="353"/>
    </row>
    <row r="67" spans="1:15">
      <c r="A67" s="509">
        <f>ROW()</f>
        <v>67</v>
      </c>
      <c r="B67" s="43" t="s">
        <v>438</v>
      </c>
      <c r="C67" s="1688" t="s">
        <v>439</v>
      </c>
      <c r="D67" s="99"/>
      <c r="E67" s="99"/>
      <c r="F67" s="99"/>
      <c r="I67" s="100"/>
      <c r="J67" s="100"/>
      <c r="K67" s="100"/>
      <c r="L67" s="100"/>
      <c r="M67" s="100"/>
      <c r="N67" s="103"/>
      <c r="O67" s="353"/>
    </row>
    <row r="68" spans="1:15">
      <c r="A68" s="509">
        <f>ROW()</f>
        <v>68</v>
      </c>
      <c r="B68" s="48" t="s">
        <v>440</v>
      </c>
      <c r="C68" s="738">
        <v>0.02</v>
      </c>
      <c r="D68" s="43" t="s">
        <v>441</v>
      </c>
      <c r="E68" s="48"/>
      <c r="F68" s="48"/>
      <c r="G68" s="76"/>
      <c r="H68" s="76"/>
      <c r="I68" s="34"/>
      <c r="J68" s="34"/>
      <c r="K68" s="34"/>
      <c r="L68" s="34"/>
      <c r="M68" s="34"/>
      <c r="N68" s="103"/>
      <c r="O68" s="353"/>
    </row>
    <row r="69" spans="1:15">
      <c r="A69" s="509">
        <f>ROW()</f>
        <v>69</v>
      </c>
      <c r="C69" s="317"/>
      <c r="N69" s="103"/>
      <c r="O69" s="353"/>
    </row>
    <row r="70" spans="1:15">
      <c r="A70" s="509">
        <f>ROW()</f>
        <v>70</v>
      </c>
      <c r="B70" s="35" t="s">
        <v>442</v>
      </c>
      <c r="C70" s="155">
        <v>180</v>
      </c>
      <c r="D70" s="297"/>
      <c r="E70" s="297"/>
      <c r="F70" s="297"/>
      <c r="H70" s="76"/>
      <c r="I70" s="34"/>
      <c r="J70" s="34"/>
      <c r="K70" s="34"/>
      <c r="L70" s="34"/>
      <c r="M70" s="34"/>
      <c r="N70" s="103"/>
      <c r="O70" s="353"/>
    </row>
    <row r="71" spans="1:15">
      <c r="A71" s="509">
        <f>ROW()</f>
        <v>71</v>
      </c>
      <c r="B71" s="43" t="s">
        <v>443</v>
      </c>
      <c r="C71" s="156">
        <v>0</v>
      </c>
      <c r="D71" s="298"/>
      <c r="E71" s="298"/>
      <c r="F71" s="298"/>
      <c r="H71" s="43"/>
      <c r="N71" s="103"/>
      <c r="O71" s="353"/>
    </row>
    <row r="72" spans="1:15">
      <c r="A72" s="509">
        <f>ROW()</f>
        <v>72</v>
      </c>
      <c r="B72" s="43" t="s">
        <v>444</v>
      </c>
      <c r="C72" s="156">
        <v>0</v>
      </c>
      <c r="D72" s="298"/>
      <c r="E72" s="298"/>
      <c r="F72" s="298"/>
      <c r="H72" s="43"/>
      <c r="N72" s="103"/>
      <c r="O72" s="353"/>
    </row>
    <row r="73" spans="1:15">
      <c r="A73" s="509">
        <f>ROW()</f>
        <v>73</v>
      </c>
      <c r="B73" s="43" t="s">
        <v>445</v>
      </c>
      <c r="C73" s="157">
        <v>0</v>
      </c>
      <c r="D73" s="299"/>
      <c r="E73" s="299"/>
      <c r="F73" s="299"/>
      <c r="H73" s="43"/>
      <c r="N73" s="103"/>
      <c r="O73" s="353"/>
    </row>
    <row r="74" spans="1:15">
      <c r="A74" s="509">
        <f>ROW()</f>
        <v>74</v>
      </c>
      <c r="H74" s="110"/>
      <c r="I74" s="110"/>
      <c r="J74" s="110"/>
      <c r="N74" s="103"/>
      <c r="O74" s="353"/>
    </row>
    <row r="75" spans="1:15" ht="15.6">
      <c r="A75" s="509">
        <f>ROW()</f>
        <v>75</v>
      </c>
      <c r="G75" s="383" t="s">
        <v>446</v>
      </c>
      <c r="H75" s="110"/>
      <c r="I75" s="110"/>
      <c r="J75" s="110"/>
      <c r="N75" s="103"/>
      <c r="O75" s="353"/>
    </row>
    <row r="76" spans="1:15" outlineLevel="1">
      <c r="A76" s="509">
        <f>ROW()</f>
        <v>76</v>
      </c>
      <c r="C76" s="34" t="s">
        <v>447</v>
      </c>
      <c r="D76" s="34" t="s">
        <v>448</v>
      </c>
      <c r="E76" s="34"/>
      <c r="F76" s="34"/>
      <c r="H76" s="110"/>
      <c r="I76" s="110"/>
      <c r="J76" s="110"/>
      <c r="N76" s="103"/>
      <c r="O76" s="353"/>
    </row>
    <row r="77" spans="1:15" ht="27.6" outlineLevel="1">
      <c r="A77" s="940">
        <f>ROW()</f>
        <v>77</v>
      </c>
      <c r="B77" s="77" t="s">
        <v>449</v>
      </c>
      <c r="C77" s="59">
        <f>' Enrol &amp; Rev'!$G$10</f>
        <v>2023</v>
      </c>
      <c r="D77" s="160" t="s">
        <v>450</v>
      </c>
      <c r="E77" s="125"/>
      <c r="F77" s="125"/>
      <c r="I77" s="125"/>
      <c r="J77" s="125"/>
      <c r="N77" s="103"/>
      <c r="O77" s="353"/>
    </row>
    <row r="78" spans="1:15" outlineLevel="1">
      <c r="A78" s="509">
        <f>ROW()</f>
        <v>78</v>
      </c>
      <c r="B78" s="714" t="s">
        <v>1226</v>
      </c>
      <c r="C78" s="176"/>
      <c r="D78" s="177"/>
      <c r="E78" s="232"/>
      <c r="F78" s="232"/>
      <c r="G78" s="838" t="str">
        <f>+B78&amp;" "&amp;"(Enter automatically or manually, hard code)"</f>
        <v>FTE Count &amp; Hiring Timing  (Enter automatically or manually, hard code)</v>
      </c>
      <c r="H78" s="233"/>
      <c r="I78" s="232"/>
      <c r="J78" s="232"/>
      <c r="K78" s="233"/>
      <c r="L78" s="233"/>
      <c r="M78" s="233"/>
      <c r="N78" s="103"/>
      <c r="O78" s="1641" t="s">
        <v>452</v>
      </c>
    </row>
    <row r="79" spans="1:15" outlineLevel="1">
      <c r="A79" s="509">
        <f>ROW()</f>
        <v>79</v>
      </c>
      <c r="B79" s="179" t="s">
        <v>453</v>
      </c>
      <c r="C79" s="59" t="s">
        <v>447</v>
      </c>
      <c r="D79" s="59"/>
      <c r="E79" s="59"/>
      <c r="F79" s="59"/>
      <c r="G79" s="65"/>
      <c r="H79" s="59"/>
      <c r="I79" s="59"/>
      <c r="J79" s="59"/>
      <c r="K79" s="65"/>
      <c r="L79" s="65"/>
      <c r="M79" s="65"/>
      <c r="N79" s="103"/>
      <c r="O79" s="1650" t="s">
        <v>454</v>
      </c>
    </row>
    <row r="80" spans="1:15" outlineLevel="1">
      <c r="A80" s="509">
        <f>ROW()</f>
        <v>80</v>
      </c>
      <c r="B80" s="193" t="s">
        <v>455</v>
      </c>
      <c r="C80" s="194">
        <v>2023</v>
      </c>
      <c r="D80" s="195">
        <v>90000</v>
      </c>
      <c r="E80" s="1662"/>
      <c r="F80" s="1662"/>
      <c r="G80" s="740">
        <v>0.25</v>
      </c>
      <c r="H80" s="740">
        <v>1</v>
      </c>
      <c r="I80" s="740">
        <v>1</v>
      </c>
      <c r="J80" s="740">
        <v>1</v>
      </c>
      <c r="K80" s="740">
        <v>1</v>
      </c>
      <c r="L80" s="740">
        <v>1</v>
      </c>
      <c r="M80" s="740">
        <v>1</v>
      </c>
      <c r="N80" s="103"/>
      <c r="O80" s="353"/>
    </row>
    <row r="81" spans="1:15" outlineLevel="1">
      <c r="A81" s="509">
        <f>ROW()</f>
        <v>81</v>
      </c>
      <c r="B81" s="158" t="s">
        <v>456</v>
      </c>
      <c r="C81" s="159">
        <v>2024</v>
      </c>
      <c r="D81" s="161">
        <v>65000</v>
      </c>
      <c r="E81" s="1660"/>
      <c r="F81" s="1660"/>
      <c r="G81" s="739">
        <v>0</v>
      </c>
      <c r="H81" s="739">
        <v>1</v>
      </c>
      <c r="I81" s="739">
        <v>1</v>
      </c>
      <c r="J81" s="739">
        <v>2</v>
      </c>
      <c r="K81" s="739">
        <v>2</v>
      </c>
      <c r="L81" s="739">
        <v>2</v>
      </c>
      <c r="M81" s="739">
        <v>2</v>
      </c>
      <c r="N81" s="103"/>
      <c r="O81" s="353"/>
    </row>
    <row r="82" spans="1:15" outlineLevel="1">
      <c r="A82" s="509">
        <f>ROW()</f>
        <v>82</v>
      </c>
      <c r="B82" s="158" t="s">
        <v>1493</v>
      </c>
      <c r="C82" s="159">
        <v>2023</v>
      </c>
      <c r="D82" s="161">
        <v>120000</v>
      </c>
      <c r="E82" s="1660"/>
      <c r="F82" s="1660"/>
      <c r="G82" s="739">
        <v>0.35</v>
      </c>
      <c r="H82" s="739">
        <v>1</v>
      </c>
      <c r="I82" s="739">
        <v>1</v>
      </c>
      <c r="J82" s="739">
        <v>1</v>
      </c>
      <c r="K82" s="739">
        <v>1</v>
      </c>
      <c r="L82" s="739">
        <v>1</v>
      </c>
      <c r="M82" s="739">
        <v>1</v>
      </c>
      <c r="O82" s="353"/>
    </row>
    <row r="83" spans="1:15" outlineLevel="1">
      <c r="A83" s="509">
        <f>ROW()</f>
        <v>83</v>
      </c>
      <c r="B83" s="158" t="s">
        <v>458</v>
      </c>
      <c r="C83" s="159" t="s">
        <v>457</v>
      </c>
      <c r="D83" s="161">
        <v>0</v>
      </c>
      <c r="E83" s="1660"/>
      <c r="F83" s="1660"/>
      <c r="G83" s="739">
        <v>0</v>
      </c>
      <c r="H83" s="739">
        <v>0</v>
      </c>
      <c r="I83" s="739">
        <v>0</v>
      </c>
      <c r="J83" s="739">
        <v>0</v>
      </c>
      <c r="K83" s="739">
        <v>0</v>
      </c>
      <c r="L83" s="739">
        <v>0</v>
      </c>
      <c r="M83" s="739">
        <v>0</v>
      </c>
      <c r="O83" s="353"/>
    </row>
    <row r="84" spans="1:15" outlineLevel="1">
      <c r="A84" s="509">
        <f>ROW()</f>
        <v>84</v>
      </c>
      <c r="B84" s="158" t="s">
        <v>459</v>
      </c>
      <c r="C84" s="159" t="s">
        <v>457</v>
      </c>
      <c r="D84" s="161">
        <v>0</v>
      </c>
      <c r="E84" s="1660"/>
      <c r="F84" s="1660"/>
      <c r="G84" s="739">
        <v>0</v>
      </c>
      <c r="H84" s="739">
        <v>0</v>
      </c>
      <c r="I84" s="739">
        <v>0</v>
      </c>
      <c r="J84" s="739">
        <v>0</v>
      </c>
      <c r="K84" s="739">
        <v>0</v>
      </c>
      <c r="L84" s="739">
        <v>0</v>
      </c>
      <c r="M84" s="739">
        <v>0</v>
      </c>
      <c r="O84" s="353"/>
    </row>
    <row r="85" spans="1:15" outlineLevel="1">
      <c r="A85" s="509">
        <f>ROW()</f>
        <v>85</v>
      </c>
      <c r="B85" s="317"/>
      <c r="C85" s="1663"/>
      <c r="D85" s="1664"/>
      <c r="E85" s="1664"/>
      <c r="F85" s="1664"/>
      <c r="G85" s="148"/>
      <c r="H85" s="148"/>
      <c r="I85" s="148"/>
      <c r="J85" s="148"/>
      <c r="K85" s="148"/>
      <c r="L85" s="148"/>
      <c r="M85" s="148"/>
      <c r="O85" s="353"/>
    </row>
    <row r="86" spans="1:15" outlineLevel="1">
      <c r="A86" s="509">
        <f>ROW()</f>
        <v>86</v>
      </c>
      <c r="B86" s="1665" t="s">
        <v>460</v>
      </c>
      <c r="C86" s="1666"/>
      <c r="D86" s="1667"/>
      <c r="E86" s="1667"/>
      <c r="F86" s="1667"/>
      <c r="G86" s="1668">
        <f t="shared" ref="G86:M86" si="15">SUM(G80:G84)</f>
        <v>0.6</v>
      </c>
      <c r="H86" s="1668">
        <f t="shared" si="15"/>
        <v>3</v>
      </c>
      <c r="I86" s="1668">
        <f t="shared" si="15"/>
        <v>3</v>
      </c>
      <c r="J86" s="1668">
        <f t="shared" si="15"/>
        <v>4</v>
      </c>
      <c r="K86" s="1668">
        <f t="shared" si="15"/>
        <v>4</v>
      </c>
      <c r="L86" s="1668">
        <f t="shared" si="15"/>
        <v>4</v>
      </c>
      <c r="M86" s="1668">
        <f t="shared" si="15"/>
        <v>4</v>
      </c>
      <c r="O86" s="353"/>
    </row>
    <row r="87" spans="1:15" outlineLevel="1">
      <c r="A87" s="509">
        <f>ROW()</f>
        <v>87</v>
      </c>
      <c r="B87" s="1669"/>
      <c r="C87" s="1669"/>
      <c r="D87" s="1670"/>
      <c r="E87" s="1670"/>
      <c r="F87" s="1670"/>
      <c r="G87" s="1671"/>
      <c r="H87" s="1671"/>
      <c r="I87" s="1672"/>
      <c r="J87" s="1672"/>
      <c r="K87" s="1672"/>
      <c r="L87" s="1672"/>
      <c r="M87" s="1672"/>
      <c r="N87" s="56"/>
      <c r="O87" s="353"/>
    </row>
    <row r="88" spans="1:15" outlineLevel="1">
      <c r="A88" s="509">
        <f>ROW()</f>
        <v>88</v>
      </c>
      <c r="B88" s="1615" t="s">
        <v>461</v>
      </c>
      <c r="C88" s="1673"/>
      <c r="D88" s="1674"/>
      <c r="E88" s="1674"/>
      <c r="F88" s="1674"/>
      <c r="G88" s="1675"/>
      <c r="H88" s="1675"/>
      <c r="I88" s="1676"/>
      <c r="J88" s="1676"/>
      <c r="K88" s="1676"/>
      <c r="L88" s="1676"/>
      <c r="M88" s="1676"/>
      <c r="N88" s="56"/>
      <c r="O88" s="353"/>
    </row>
    <row r="89" spans="1:15" outlineLevel="1">
      <c r="A89" s="509">
        <f>ROW()</f>
        <v>89</v>
      </c>
      <c r="B89" s="193" t="s">
        <v>462</v>
      </c>
      <c r="C89" s="194">
        <v>2024</v>
      </c>
      <c r="D89" s="196">
        <v>40000</v>
      </c>
      <c r="E89" s="1661"/>
      <c r="F89" s="1661"/>
      <c r="G89" s="740">
        <v>0</v>
      </c>
      <c r="H89" s="740">
        <v>1</v>
      </c>
      <c r="I89" s="740">
        <v>1</v>
      </c>
      <c r="J89" s="740">
        <v>1</v>
      </c>
      <c r="K89" s="740">
        <v>1</v>
      </c>
      <c r="L89" s="740">
        <v>1</v>
      </c>
      <c r="M89" s="740">
        <v>1</v>
      </c>
      <c r="N89" s="56"/>
      <c r="O89" s="353"/>
    </row>
    <row r="90" spans="1:15" outlineLevel="1">
      <c r="A90" s="509">
        <f>ROW()</f>
        <v>90</v>
      </c>
      <c r="B90" s="158" t="s">
        <v>1494</v>
      </c>
      <c r="C90" s="159">
        <v>2024</v>
      </c>
      <c r="D90" s="161">
        <v>40000</v>
      </c>
      <c r="E90" s="1660"/>
      <c r="F90" s="1660"/>
      <c r="G90" s="739">
        <v>0</v>
      </c>
      <c r="H90" s="739">
        <v>1</v>
      </c>
      <c r="I90" s="739">
        <v>1</v>
      </c>
      <c r="J90" s="739">
        <v>1</v>
      </c>
      <c r="K90" s="739">
        <v>1</v>
      </c>
      <c r="L90" s="739">
        <v>1</v>
      </c>
      <c r="M90" s="739">
        <v>1</v>
      </c>
      <c r="N90" s="56"/>
      <c r="O90" s="353"/>
    </row>
    <row r="91" spans="1:15" outlineLevel="1">
      <c r="A91" s="509">
        <f>ROW()</f>
        <v>91</v>
      </c>
      <c r="B91" s="158" t="s">
        <v>1495</v>
      </c>
      <c r="C91" s="159">
        <v>2024</v>
      </c>
      <c r="D91" s="161">
        <v>65000</v>
      </c>
      <c r="E91" s="1660"/>
      <c r="F91" s="1660"/>
      <c r="G91" s="739">
        <f t="shared" ref="G91:M92" si="16">IF($C91&lt;=G$10,1,0)</f>
        <v>0</v>
      </c>
      <c r="H91" s="739">
        <f t="shared" si="16"/>
        <v>1</v>
      </c>
      <c r="I91" s="739">
        <f t="shared" si="16"/>
        <v>1</v>
      </c>
      <c r="J91" s="739">
        <f t="shared" si="16"/>
        <v>1</v>
      </c>
      <c r="K91" s="739">
        <f t="shared" si="16"/>
        <v>1</v>
      </c>
      <c r="L91" s="739">
        <f t="shared" si="16"/>
        <v>1</v>
      </c>
      <c r="M91" s="739">
        <f t="shared" si="16"/>
        <v>1</v>
      </c>
      <c r="N91" s="56"/>
      <c r="O91" s="353"/>
    </row>
    <row r="92" spans="1:15" outlineLevel="1">
      <c r="A92" s="509">
        <f>ROW()</f>
        <v>92</v>
      </c>
      <c r="B92" s="158" t="s">
        <v>463</v>
      </c>
      <c r="C92" s="159" t="s">
        <v>457</v>
      </c>
      <c r="D92" s="161">
        <v>0</v>
      </c>
      <c r="E92" s="1660"/>
      <c r="F92" s="1660"/>
      <c r="G92" s="739">
        <f t="shared" si="16"/>
        <v>0</v>
      </c>
      <c r="H92" s="739">
        <f t="shared" si="16"/>
        <v>0</v>
      </c>
      <c r="I92" s="739">
        <f t="shared" si="16"/>
        <v>0</v>
      </c>
      <c r="J92" s="739">
        <f t="shared" si="16"/>
        <v>0</v>
      </c>
      <c r="K92" s="739">
        <f t="shared" si="16"/>
        <v>0</v>
      </c>
      <c r="L92" s="739">
        <f t="shared" si="16"/>
        <v>0</v>
      </c>
      <c r="M92" s="739">
        <f t="shared" si="16"/>
        <v>0</v>
      </c>
      <c r="N92" s="56"/>
      <c r="O92" s="353"/>
    </row>
    <row r="93" spans="1:15" outlineLevel="1">
      <c r="A93" s="509">
        <f>ROW()</f>
        <v>93</v>
      </c>
      <c r="B93" s="317"/>
      <c r="C93" s="317"/>
      <c r="D93" s="1677"/>
      <c r="E93" s="1677"/>
      <c r="F93" s="1677"/>
      <c r="G93" s="148"/>
      <c r="H93" s="148"/>
      <c r="I93" s="148"/>
      <c r="J93" s="148"/>
      <c r="K93" s="148"/>
      <c r="L93" s="148"/>
      <c r="M93" s="148"/>
      <c r="N93" s="56"/>
      <c r="O93" s="353"/>
    </row>
    <row r="94" spans="1:15" outlineLevel="1">
      <c r="A94" s="509">
        <f>ROW()</f>
        <v>94</v>
      </c>
      <c r="B94" s="1665" t="s">
        <v>464</v>
      </c>
      <c r="C94" s="1666"/>
      <c r="D94" s="1678"/>
      <c r="E94" s="1678"/>
      <c r="F94" s="1678"/>
      <c r="G94" s="1668">
        <f t="shared" ref="G94:M94" si="17">SUM(G89:G92)+G86</f>
        <v>0.6</v>
      </c>
      <c r="H94" s="1668">
        <f t="shared" si="17"/>
        <v>6</v>
      </c>
      <c r="I94" s="1668">
        <f t="shared" si="17"/>
        <v>6</v>
      </c>
      <c r="J94" s="1668">
        <f t="shared" si="17"/>
        <v>7</v>
      </c>
      <c r="K94" s="1668">
        <f t="shared" si="17"/>
        <v>7</v>
      </c>
      <c r="L94" s="1668">
        <f t="shared" si="17"/>
        <v>7</v>
      </c>
      <c r="M94" s="1668">
        <f t="shared" si="17"/>
        <v>7</v>
      </c>
      <c r="N94" s="56"/>
      <c r="O94" s="353"/>
    </row>
    <row r="95" spans="1:15" outlineLevel="1">
      <c r="A95" s="509">
        <f>ROW()</f>
        <v>95</v>
      </c>
      <c r="B95" s="1669"/>
      <c r="C95" s="1669"/>
      <c r="D95" s="1679"/>
      <c r="E95" s="1679"/>
      <c r="F95" s="1679"/>
      <c r="G95" s="1669"/>
      <c r="H95" s="1669"/>
      <c r="I95" s="1669"/>
      <c r="J95" s="1672"/>
      <c r="K95" s="1672"/>
      <c r="L95" s="1672"/>
      <c r="M95" s="1672"/>
      <c r="N95" s="56"/>
      <c r="O95" s="353"/>
    </row>
    <row r="96" spans="1:15" outlineLevel="1">
      <c r="A96" s="509">
        <f>ROW()</f>
        <v>96</v>
      </c>
      <c r="B96" s="1615" t="s">
        <v>465</v>
      </c>
      <c r="C96" s="1673"/>
      <c r="D96" s="1674"/>
      <c r="E96" s="1674"/>
      <c r="F96" s="1674"/>
      <c r="G96" s="1673"/>
      <c r="H96" s="1673"/>
      <c r="I96" s="1673"/>
      <c r="J96" s="1676"/>
      <c r="K96" s="1676"/>
      <c r="L96" s="1676"/>
      <c r="M96" s="1676"/>
      <c r="N96" s="56"/>
      <c r="O96" s="353"/>
    </row>
    <row r="97" spans="1:15" outlineLevel="1">
      <c r="A97" s="509">
        <f>ROW()</f>
        <v>97</v>
      </c>
      <c r="B97" s="197" t="s">
        <v>466</v>
      </c>
      <c r="C97" s="198">
        <v>2024</v>
      </c>
      <c r="D97" s="199">
        <v>55000</v>
      </c>
      <c r="E97" s="1661"/>
      <c r="F97" s="1661"/>
      <c r="G97" s="740">
        <v>0</v>
      </c>
      <c r="H97" s="740">
        <v>1</v>
      </c>
      <c r="I97" s="740">
        <v>1</v>
      </c>
      <c r="J97" s="740">
        <v>1</v>
      </c>
      <c r="K97" s="740">
        <v>1</v>
      </c>
      <c r="L97" s="740">
        <v>1</v>
      </c>
      <c r="M97" s="740">
        <v>1</v>
      </c>
      <c r="N97" s="56"/>
      <c r="O97" s="353"/>
    </row>
    <row r="98" spans="1:15" outlineLevel="1">
      <c r="A98" s="509">
        <f>ROW()</f>
        <v>98</v>
      </c>
      <c r="B98" s="153" t="s">
        <v>467</v>
      </c>
      <c r="C98" s="154">
        <v>2024</v>
      </c>
      <c r="D98" s="162">
        <v>48000</v>
      </c>
      <c r="E98" s="1660"/>
      <c r="F98" s="1660"/>
      <c r="G98" s="739">
        <f t="shared" ref="G98:M105" si="18">IF($C98&lt;=G$10,1,0)</f>
        <v>0</v>
      </c>
      <c r="H98" s="739">
        <f>ROUNDUP(' Enrol &amp; Rev'!G35*0.15/30,0)-1</f>
        <v>2</v>
      </c>
      <c r="I98" s="739">
        <f>ROUNDUP(' Enrol &amp; Rev'!H35*0.15/30,0)-1</f>
        <v>3</v>
      </c>
      <c r="J98" s="739">
        <f>ROUNDUP(' Enrol &amp; Rev'!I35*0.15/30,0)-1</f>
        <v>3</v>
      </c>
      <c r="K98" s="739">
        <f>ROUNDUP(' Enrol &amp; Rev'!J35*0.15/30,0)-1</f>
        <v>4</v>
      </c>
      <c r="L98" s="739">
        <f>ROUNDUP(' Enrol &amp; Rev'!K35*0.15/30,0)-1</f>
        <v>4</v>
      </c>
      <c r="M98" s="739">
        <f>ROUNDUP(' Enrol &amp; Rev'!L35*0.15/30,0)-1</f>
        <v>4</v>
      </c>
      <c r="N98" s="56"/>
      <c r="O98" s="353"/>
    </row>
    <row r="99" spans="1:15" outlineLevel="1">
      <c r="A99" s="509">
        <f>ROW()</f>
        <v>99</v>
      </c>
      <c r="B99" s="153" t="s">
        <v>1496</v>
      </c>
      <c r="C99" s="154">
        <v>2025</v>
      </c>
      <c r="D99" s="162">
        <v>40000</v>
      </c>
      <c r="E99" s="1660"/>
      <c r="F99" s="1660"/>
      <c r="G99" s="739">
        <f t="shared" si="18"/>
        <v>0</v>
      </c>
      <c r="H99" s="739">
        <v>0</v>
      </c>
      <c r="I99" s="739">
        <v>1</v>
      </c>
      <c r="J99" s="739">
        <v>1</v>
      </c>
      <c r="K99" s="739">
        <v>1</v>
      </c>
      <c r="L99" s="739">
        <v>1</v>
      </c>
      <c r="M99" s="739">
        <v>1</v>
      </c>
      <c r="N99" s="56"/>
      <c r="O99" s="353"/>
    </row>
    <row r="100" spans="1:15" outlineLevel="1">
      <c r="A100" s="509">
        <f>ROW()</f>
        <v>100</v>
      </c>
      <c r="B100" s="153" t="s">
        <v>468</v>
      </c>
      <c r="C100" s="154" t="s">
        <v>457</v>
      </c>
      <c r="D100" s="162">
        <v>0</v>
      </c>
      <c r="E100" s="1660"/>
      <c r="F100" s="1660"/>
      <c r="G100" s="739">
        <f t="shared" si="18"/>
        <v>0</v>
      </c>
      <c r="H100" s="739">
        <f t="shared" si="18"/>
        <v>0</v>
      </c>
      <c r="I100" s="739">
        <f t="shared" si="18"/>
        <v>0</v>
      </c>
      <c r="J100" s="739">
        <f t="shared" si="18"/>
        <v>0</v>
      </c>
      <c r="K100" s="739">
        <f t="shared" si="18"/>
        <v>0</v>
      </c>
      <c r="L100" s="739">
        <f t="shared" si="18"/>
        <v>0</v>
      </c>
      <c r="M100" s="739">
        <f t="shared" si="18"/>
        <v>0</v>
      </c>
      <c r="N100" s="56"/>
      <c r="O100" s="353"/>
    </row>
    <row r="101" spans="1:15" outlineLevel="1">
      <c r="A101" s="509">
        <f>ROW()</f>
        <v>101</v>
      </c>
      <c r="B101" s="153" t="s">
        <v>469</v>
      </c>
      <c r="C101" s="154" t="s">
        <v>457</v>
      </c>
      <c r="D101" s="162">
        <v>0</v>
      </c>
      <c r="E101" s="1660"/>
      <c r="F101" s="1660"/>
      <c r="G101" s="739">
        <f t="shared" si="18"/>
        <v>0</v>
      </c>
      <c r="H101" s="739">
        <f t="shared" si="18"/>
        <v>0</v>
      </c>
      <c r="I101" s="739">
        <f t="shared" si="18"/>
        <v>0</v>
      </c>
      <c r="J101" s="739">
        <f t="shared" si="18"/>
        <v>0</v>
      </c>
      <c r="K101" s="739">
        <f t="shared" si="18"/>
        <v>0</v>
      </c>
      <c r="L101" s="739">
        <f t="shared" si="18"/>
        <v>0</v>
      </c>
      <c r="M101" s="739">
        <f t="shared" si="18"/>
        <v>0</v>
      </c>
      <c r="N101" s="56"/>
      <c r="O101" s="353"/>
    </row>
    <row r="102" spans="1:15" outlineLevel="1">
      <c r="A102" s="509">
        <f>ROW()</f>
        <v>102</v>
      </c>
      <c r="B102" s="153" t="s">
        <v>470</v>
      </c>
      <c r="C102" s="154" t="s">
        <v>457</v>
      </c>
      <c r="D102" s="162">
        <v>0</v>
      </c>
      <c r="E102" s="1660"/>
      <c r="F102" s="1660"/>
      <c r="G102" s="739">
        <f t="shared" si="18"/>
        <v>0</v>
      </c>
      <c r="H102" s="739">
        <f t="shared" si="18"/>
        <v>0</v>
      </c>
      <c r="I102" s="739">
        <f t="shared" si="18"/>
        <v>0</v>
      </c>
      <c r="J102" s="739">
        <f t="shared" si="18"/>
        <v>0</v>
      </c>
      <c r="K102" s="739">
        <f t="shared" si="18"/>
        <v>0</v>
      </c>
      <c r="L102" s="739">
        <f t="shared" si="18"/>
        <v>0</v>
      </c>
      <c r="M102" s="739">
        <f t="shared" si="18"/>
        <v>0</v>
      </c>
      <c r="N102" s="56"/>
      <c r="O102" s="353"/>
    </row>
    <row r="103" spans="1:15" outlineLevel="1">
      <c r="A103" s="509">
        <f>ROW()</f>
        <v>103</v>
      </c>
      <c r="B103" s="153" t="s">
        <v>471</v>
      </c>
      <c r="C103" s="154" t="s">
        <v>457</v>
      </c>
      <c r="D103" s="162">
        <v>0</v>
      </c>
      <c r="E103" s="1660"/>
      <c r="F103" s="1660"/>
      <c r="G103" s="739">
        <f t="shared" si="18"/>
        <v>0</v>
      </c>
      <c r="H103" s="739">
        <f t="shared" si="18"/>
        <v>0</v>
      </c>
      <c r="I103" s="739">
        <f t="shared" si="18"/>
        <v>0</v>
      </c>
      <c r="J103" s="739">
        <f t="shared" si="18"/>
        <v>0</v>
      </c>
      <c r="K103" s="739">
        <f t="shared" si="18"/>
        <v>0</v>
      </c>
      <c r="L103" s="739">
        <f t="shared" si="18"/>
        <v>0</v>
      </c>
      <c r="M103" s="739">
        <f t="shared" si="18"/>
        <v>0</v>
      </c>
      <c r="N103" s="56"/>
      <c r="O103" s="353"/>
    </row>
    <row r="104" spans="1:15" outlineLevel="1">
      <c r="A104" s="509">
        <f>ROW()</f>
        <v>104</v>
      </c>
      <c r="B104" s="153" t="s">
        <v>471</v>
      </c>
      <c r="C104" s="154" t="s">
        <v>457</v>
      </c>
      <c r="D104" s="162">
        <v>0</v>
      </c>
      <c r="E104" s="1660"/>
      <c r="F104" s="1660"/>
      <c r="G104" s="739">
        <f t="shared" si="18"/>
        <v>0</v>
      </c>
      <c r="H104" s="739">
        <f t="shared" si="18"/>
        <v>0</v>
      </c>
      <c r="I104" s="739">
        <f t="shared" si="18"/>
        <v>0</v>
      </c>
      <c r="J104" s="739">
        <f t="shared" si="18"/>
        <v>0</v>
      </c>
      <c r="K104" s="739">
        <f t="shared" si="18"/>
        <v>0</v>
      </c>
      <c r="L104" s="739">
        <f t="shared" si="18"/>
        <v>0</v>
      </c>
      <c r="M104" s="739">
        <f t="shared" si="18"/>
        <v>0</v>
      </c>
      <c r="N104" s="56"/>
      <c r="O104" s="353"/>
    </row>
    <row r="105" spans="1:15" outlineLevel="1">
      <c r="A105" s="509">
        <f>ROW()</f>
        <v>105</v>
      </c>
      <c r="B105" s="153" t="s">
        <v>471</v>
      </c>
      <c r="C105" s="154" t="s">
        <v>457</v>
      </c>
      <c r="D105" s="162">
        <v>0</v>
      </c>
      <c r="E105" s="1660"/>
      <c r="F105" s="1660"/>
      <c r="G105" s="741">
        <f t="shared" si="18"/>
        <v>0</v>
      </c>
      <c r="H105" s="741">
        <f t="shared" si="18"/>
        <v>0</v>
      </c>
      <c r="I105" s="741">
        <f t="shared" si="18"/>
        <v>0</v>
      </c>
      <c r="J105" s="741">
        <f t="shared" si="18"/>
        <v>0</v>
      </c>
      <c r="K105" s="741">
        <f t="shared" si="18"/>
        <v>0</v>
      </c>
      <c r="L105" s="741">
        <f t="shared" si="18"/>
        <v>0</v>
      </c>
      <c r="M105" s="741">
        <f t="shared" si="18"/>
        <v>0</v>
      </c>
      <c r="N105" s="56"/>
      <c r="O105" s="353"/>
    </row>
    <row r="106" spans="1:15" outlineLevel="1">
      <c r="A106" s="509">
        <f>ROW()</f>
        <v>106</v>
      </c>
      <c r="B106" s="1665" t="s">
        <v>472</v>
      </c>
      <c r="C106" s="1665"/>
      <c r="D106" s="1665"/>
      <c r="E106" s="1665"/>
      <c r="F106" s="1665"/>
      <c r="G106" s="1680">
        <f t="shared" ref="G106:M106" si="19">SUM(G97:G105)</f>
        <v>0</v>
      </c>
      <c r="H106" s="1681">
        <f t="shared" si="19"/>
        <v>3</v>
      </c>
      <c r="I106" s="1682">
        <f t="shared" si="19"/>
        <v>5</v>
      </c>
      <c r="J106" s="1682">
        <f t="shared" si="19"/>
        <v>5</v>
      </c>
      <c r="K106" s="1682">
        <f t="shared" si="19"/>
        <v>6</v>
      </c>
      <c r="L106" s="1682">
        <f t="shared" si="19"/>
        <v>6</v>
      </c>
      <c r="M106" s="1682">
        <f t="shared" si="19"/>
        <v>6</v>
      </c>
      <c r="N106" s="56"/>
      <c r="O106" s="353"/>
    </row>
    <row r="107" spans="1:15" outlineLevel="1">
      <c r="A107" s="509"/>
      <c r="B107" s="317" t="s">
        <v>1357</v>
      </c>
      <c r="C107" s="1479"/>
      <c r="D107" s="1479"/>
      <c r="E107" s="1479"/>
      <c r="F107" s="1479"/>
      <c r="G107" s="1479"/>
      <c r="H107" s="1303">
        <f>+' Enrol &amp; Rev'!G44</f>
        <v>81</v>
      </c>
      <c r="I107" s="1303">
        <f>+' Enrol &amp; Rev'!H44</f>
        <v>97.2</v>
      </c>
      <c r="J107" s="1303">
        <f>+' Enrol &amp; Rev'!I44</f>
        <v>113.39999999999999</v>
      </c>
      <c r="K107" s="1303">
        <f>+' Enrol &amp; Rev'!J44</f>
        <v>129.6</v>
      </c>
      <c r="L107" s="1303">
        <f>+' Enrol &amp; Rev'!K44</f>
        <v>133.65</v>
      </c>
      <c r="M107" s="1303">
        <f>+' Enrol &amp; Rev'!L44</f>
        <v>137.69999999999999</v>
      </c>
      <c r="N107" s="56"/>
      <c r="O107" s="353"/>
    </row>
    <row r="108" spans="1:15" outlineLevel="1">
      <c r="A108" s="509"/>
      <c r="B108" s="317" t="s">
        <v>1358</v>
      </c>
      <c r="C108" s="1479"/>
      <c r="D108" s="1479"/>
      <c r="E108" s="1479"/>
      <c r="F108" s="1479"/>
      <c r="G108" s="1479"/>
      <c r="H108" s="1303">
        <f>+H107/H106</f>
        <v>27</v>
      </c>
      <c r="I108" s="1303">
        <f t="shared" ref="I108:M108" si="20">+I107/I106</f>
        <v>19.440000000000001</v>
      </c>
      <c r="J108" s="1303">
        <f t="shared" si="20"/>
        <v>22.68</v>
      </c>
      <c r="K108" s="1303">
        <f t="shared" si="20"/>
        <v>21.599999999999998</v>
      </c>
      <c r="L108" s="1303">
        <f t="shared" si="20"/>
        <v>22.275000000000002</v>
      </c>
      <c r="M108" s="1303">
        <f t="shared" si="20"/>
        <v>22.95</v>
      </c>
      <c r="N108" s="56"/>
      <c r="O108" s="353"/>
    </row>
    <row r="109" spans="1:15" outlineLevel="1">
      <c r="A109" s="509">
        <f>ROW()</f>
        <v>109</v>
      </c>
      <c r="B109" s="1683"/>
      <c r="C109" s="1683"/>
      <c r="D109" s="1683"/>
      <c r="E109" s="1683"/>
      <c r="F109" s="1683"/>
      <c r="G109" s="1671"/>
      <c r="H109" s="1671"/>
      <c r="I109" s="1684"/>
      <c r="J109" s="1684"/>
      <c r="K109" s="1684"/>
      <c r="L109" s="1684"/>
      <c r="M109" s="1684"/>
      <c r="N109" s="56"/>
      <c r="O109" s="353"/>
    </row>
    <row r="110" spans="1:15" ht="15.6" outlineLevel="1">
      <c r="A110" s="509">
        <f>ROW()</f>
        <v>110</v>
      </c>
      <c r="B110" s="1685" t="s">
        <v>473</v>
      </c>
      <c r="C110" s="1673"/>
      <c r="D110" s="1674"/>
      <c r="E110" s="1674"/>
      <c r="F110" s="1674"/>
      <c r="G110" s="1673"/>
      <c r="H110" s="1673"/>
      <c r="I110" s="1673"/>
      <c r="J110" s="1676"/>
      <c r="K110" s="1676"/>
      <c r="L110" s="1676"/>
      <c r="M110" s="1676"/>
      <c r="N110" s="56"/>
      <c r="O110" s="353"/>
    </row>
    <row r="111" spans="1:15" outlineLevel="1">
      <c r="A111" s="509">
        <f>ROW()</f>
        <v>111</v>
      </c>
      <c r="B111" s="197" t="s">
        <v>474</v>
      </c>
      <c r="C111" s="198">
        <v>2024</v>
      </c>
      <c r="D111" s="199">
        <v>50000</v>
      </c>
      <c r="E111" s="1661"/>
      <c r="F111" s="1661"/>
      <c r="G111" s="740">
        <f t="shared" ref="G111:M119" si="21">IF($C111&lt;=G$10,1,0)</f>
        <v>0</v>
      </c>
      <c r="H111" s="740">
        <f>ROUNDUP(' Enrol &amp; Rev'!G35*0.3/75,0)</f>
        <v>3</v>
      </c>
      <c r="I111" s="740">
        <f>ROUNDUP(' Enrol &amp; Rev'!H35*0.3/75,0)</f>
        <v>3</v>
      </c>
      <c r="J111" s="740">
        <f>ROUNDUP(' Enrol &amp; Rev'!I35*0.3/75,0)</f>
        <v>4</v>
      </c>
      <c r="K111" s="740">
        <f>ROUNDUP(' Enrol &amp; Rev'!J35*0.3/75,0)</f>
        <v>4</v>
      </c>
      <c r="L111" s="740">
        <f>ROUNDUP(' Enrol &amp; Rev'!K35*0.3/75,0)</f>
        <v>4</v>
      </c>
      <c r="M111" s="740">
        <f>ROUNDUP(' Enrol &amp; Rev'!L35*0.3/75,0)</f>
        <v>4</v>
      </c>
      <c r="N111" s="56"/>
      <c r="O111" s="353"/>
    </row>
    <row r="112" spans="1:15" outlineLevel="1">
      <c r="A112" s="509">
        <f>ROW()</f>
        <v>112</v>
      </c>
      <c r="B112" s="197" t="s">
        <v>474</v>
      </c>
      <c r="C112" s="154" t="s">
        <v>457</v>
      </c>
      <c r="D112" s="162">
        <v>0</v>
      </c>
      <c r="E112" s="1660"/>
      <c r="F112" s="1660"/>
      <c r="G112" s="739">
        <f t="shared" si="21"/>
        <v>0</v>
      </c>
      <c r="H112" s="739">
        <f t="shared" si="21"/>
        <v>0</v>
      </c>
      <c r="I112" s="739">
        <f t="shared" si="21"/>
        <v>0</v>
      </c>
      <c r="J112" s="739">
        <f t="shared" si="21"/>
        <v>0</v>
      </c>
      <c r="K112" s="739">
        <f t="shared" si="21"/>
        <v>0</v>
      </c>
      <c r="L112" s="739">
        <f t="shared" si="21"/>
        <v>0</v>
      </c>
      <c r="M112" s="739">
        <f t="shared" si="21"/>
        <v>0</v>
      </c>
      <c r="N112" s="56"/>
      <c r="O112" s="353"/>
    </row>
    <row r="113" spans="1:15" outlineLevel="1">
      <c r="A113" s="509">
        <f>ROW()</f>
        <v>113</v>
      </c>
      <c r="B113" s="197" t="s">
        <v>474</v>
      </c>
      <c r="C113" s="154" t="s">
        <v>457</v>
      </c>
      <c r="D113" s="162">
        <v>0</v>
      </c>
      <c r="E113" s="1660"/>
      <c r="F113" s="1660"/>
      <c r="G113" s="739">
        <f t="shared" si="21"/>
        <v>0</v>
      </c>
      <c r="H113" s="739">
        <f t="shared" si="21"/>
        <v>0</v>
      </c>
      <c r="I113" s="739">
        <f t="shared" si="21"/>
        <v>0</v>
      </c>
      <c r="J113" s="739">
        <f t="shared" si="21"/>
        <v>0</v>
      </c>
      <c r="K113" s="739">
        <f t="shared" si="21"/>
        <v>0</v>
      </c>
      <c r="L113" s="739">
        <f t="shared" si="21"/>
        <v>0</v>
      </c>
      <c r="M113" s="739">
        <f t="shared" si="21"/>
        <v>0</v>
      </c>
      <c r="N113" s="56"/>
      <c r="O113" s="353"/>
    </row>
    <row r="114" spans="1:15" outlineLevel="1">
      <c r="A114" s="509">
        <f>ROW()</f>
        <v>114</v>
      </c>
      <c r="B114" s="153"/>
      <c r="C114" s="154" t="s">
        <v>457</v>
      </c>
      <c r="D114" s="162">
        <v>0</v>
      </c>
      <c r="E114" s="1660"/>
      <c r="F114" s="1660"/>
      <c r="G114" s="739">
        <f t="shared" si="21"/>
        <v>0</v>
      </c>
      <c r="H114" s="739">
        <f t="shared" si="21"/>
        <v>0</v>
      </c>
      <c r="I114" s="739">
        <f t="shared" si="21"/>
        <v>0</v>
      </c>
      <c r="J114" s="739">
        <f t="shared" si="21"/>
        <v>0</v>
      </c>
      <c r="K114" s="739">
        <f t="shared" si="21"/>
        <v>0</v>
      </c>
      <c r="L114" s="739">
        <f t="shared" si="21"/>
        <v>0</v>
      </c>
      <c r="M114" s="739">
        <f t="shared" si="21"/>
        <v>0</v>
      </c>
      <c r="N114" s="56"/>
      <c r="O114" s="353"/>
    </row>
    <row r="115" spans="1:15" outlineLevel="1">
      <c r="A115" s="509">
        <f>ROW()</f>
        <v>115</v>
      </c>
      <c r="B115" s="153"/>
      <c r="C115" s="154" t="s">
        <v>457</v>
      </c>
      <c r="D115" s="162">
        <v>0</v>
      </c>
      <c r="E115" s="1660"/>
      <c r="F115" s="1660"/>
      <c r="G115" s="739">
        <f t="shared" si="21"/>
        <v>0</v>
      </c>
      <c r="H115" s="739">
        <f t="shared" si="21"/>
        <v>0</v>
      </c>
      <c r="I115" s="739">
        <f t="shared" si="21"/>
        <v>0</v>
      </c>
      <c r="J115" s="739">
        <f t="shared" si="21"/>
        <v>0</v>
      </c>
      <c r="K115" s="739">
        <f t="shared" si="21"/>
        <v>0</v>
      </c>
      <c r="L115" s="739">
        <f t="shared" si="21"/>
        <v>0</v>
      </c>
      <c r="M115" s="739">
        <f t="shared" si="21"/>
        <v>0</v>
      </c>
      <c r="N115" s="56"/>
      <c r="O115" s="353"/>
    </row>
    <row r="116" spans="1:15" outlineLevel="1">
      <c r="A116" s="509">
        <f>ROW()</f>
        <v>116</v>
      </c>
      <c r="B116" s="153"/>
      <c r="C116" s="154" t="s">
        <v>457</v>
      </c>
      <c r="D116" s="162">
        <v>0</v>
      </c>
      <c r="E116" s="1660"/>
      <c r="F116" s="1660"/>
      <c r="G116" s="739">
        <f t="shared" si="21"/>
        <v>0</v>
      </c>
      <c r="H116" s="739">
        <f t="shared" si="21"/>
        <v>0</v>
      </c>
      <c r="I116" s="739">
        <f t="shared" si="21"/>
        <v>0</v>
      </c>
      <c r="J116" s="739">
        <f t="shared" si="21"/>
        <v>0</v>
      </c>
      <c r="K116" s="739">
        <f t="shared" si="21"/>
        <v>0</v>
      </c>
      <c r="L116" s="739">
        <f t="shared" si="21"/>
        <v>0</v>
      </c>
      <c r="M116" s="739">
        <f t="shared" si="21"/>
        <v>0</v>
      </c>
      <c r="N116" s="56"/>
      <c r="O116" s="353"/>
    </row>
    <row r="117" spans="1:15" outlineLevel="1">
      <c r="A117" s="509">
        <f>ROW()</f>
        <v>117</v>
      </c>
      <c r="B117" s="153"/>
      <c r="C117" s="154" t="s">
        <v>457</v>
      </c>
      <c r="D117" s="162">
        <v>0</v>
      </c>
      <c r="E117" s="1660"/>
      <c r="F117" s="1660"/>
      <c r="G117" s="739">
        <f t="shared" si="21"/>
        <v>0</v>
      </c>
      <c r="H117" s="739">
        <f t="shared" si="21"/>
        <v>0</v>
      </c>
      <c r="I117" s="739">
        <f t="shared" si="21"/>
        <v>0</v>
      </c>
      <c r="J117" s="739">
        <f t="shared" si="21"/>
        <v>0</v>
      </c>
      <c r="K117" s="739">
        <f t="shared" si="21"/>
        <v>0</v>
      </c>
      <c r="L117" s="739">
        <f t="shared" si="21"/>
        <v>0</v>
      </c>
      <c r="M117" s="739">
        <f t="shared" si="21"/>
        <v>0</v>
      </c>
      <c r="N117" s="56"/>
      <c r="O117" s="353"/>
    </row>
    <row r="118" spans="1:15" outlineLevel="1">
      <c r="A118" s="509">
        <f>ROW()</f>
        <v>118</v>
      </c>
      <c r="B118" s="153"/>
      <c r="C118" s="154" t="s">
        <v>457</v>
      </c>
      <c r="D118" s="162">
        <v>0</v>
      </c>
      <c r="E118" s="1660"/>
      <c r="F118" s="1660"/>
      <c r="G118" s="739">
        <f t="shared" si="21"/>
        <v>0</v>
      </c>
      <c r="H118" s="739">
        <f t="shared" si="21"/>
        <v>0</v>
      </c>
      <c r="I118" s="739">
        <f t="shared" si="21"/>
        <v>0</v>
      </c>
      <c r="J118" s="739">
        <f t="shared" si="21"/>
        <v>0</v>
      </c>
      <c r="K118" s="739">
        <f t="shared" si="21"/>
        <v>0</v>
      </c>
      <c r="L118" s="739">
        <f t="shared" si="21"/>
        <v>0</v>
      </c>
      <c r="M118" s="739">
        <f t="shared" si="21"/>
        <v>0</v>
      </c>
      <c r="N118" s="56"/>
      <c r="O118" s="353"/>
    </row>
    <row r="119" spans="1:15" outlineLevel="1">
      <c r="A119" s="509">
        <f>ROW()</f>
        <v>119</v>
      </c>
      <c r="B119" s="153"/>
      <c r="C119" s="154" t="s">
        <v>457</v>
      </c>
      <c r="D119" s="162"/>
      <c r="E119" s="1660"/>
      <c r="F119" s="1660"/>
      <c r="G119" s="741">
        <f t="shared" si="21"/>
        <v>0</v>
      </c>
      <c r="H119" s="741">
        <f t="shared" si="21"/>
        <v>0</v>
      </c>
      <c r="I119" s="741">
        <f t="shared" si="21"/>
        <v>0</v>
      </c>
      <c r="J119" s="741">
        <f t="shared" si="21"/>
        <v>0</v>
      </c>
      <c r="K119" s="741">
        <f t="shared" si="21"/>
        <v>0</v>
      </c>
      <c r="L119" s="741">
        <f t="shared" si="21"/>
        <v>0</v>
      </c>
      <c r="M119" s="741">
        <f t="shared" si="21"/>
        <v>0</v>
      </c>
      <c r="N119" s="56"/>
      <c r="O119" s="353"/>
    </row>
    <row r="120" spans="1:15" outlineLevel="1">
      <c r="A120" s="509">
        <f>ROW()</f>
        <v>120</v>
      </c>
      <c r="B120" s="1665" t="s">
        <v>475</v>
      </c>
      <c r="C120" s="1665"/>
      <c r="D120" s="1665"/>
      <c r="E120" s="1665"/>
      <c r="F120" s="1665"/>
      <c r="G120" s="1680">
        <f t="shared" ref="G120:M120" si="22">SUM(G111:G119)</f>
        <v>0</v>
      </c>
      <c r="H120" s="1680">
        <f t="shared" si="22"/>
        <v>3</v>
      </c>
      <c r="I120" s="1668">
        <f t="shared" si="22"/>
        <v>3</v>
      </c>
      <c r="J120" s="1668">
        <f t="shared" si="22"/>
        <v>4</v>
      </c>
      <c r="K120" s="1668">
        <f t="shared" si="22"/>
        <v>4</v>
      </c>
      <c r="L120" s="1668">
        <f t="shared" si="22"/>
        <v>4</v>
      </c>
      <c r="M120" s="1668">
        <f t="shared" si="22"/>
        <v>4</v>
      </c>
      <c r="N120" s="56"/>
      <c r="O120" s="353"/>
    </row>
    <row r="121" spans="1:15" outlineLevel="1">
      <c r="A121" s="509">
        <f>ROW()</f>
        <v>121</v>
      </c>
      <c r="B121" s="1683"/>
      <c r="C121" s="1683"/>
      <c r="D121" s="1683"/>
      <c r="E121" s="1683"/>
      <c r="F121" s="1683"/>
      <c r="G121" s="1671"/>
      <c r="H121" s="1671"/>
      <c r="I121" s="1671"/>
      <c r="J121" s="1671"/>
      <c r="K121" s="1671"/>
      <c r="L121" s="1671"/>
      <c r="M121" s="1671"/>
      <c r="N121" s="56"/>
      <c r="O121" s="353"/>
    </row>
    <row r="122" spans="1:15" ht="15.6" outlineLevel="1">
      <c r="A122" s="509">
        <f>ROW()</f>
        <v>122</v>
      </c>
      <c r="B122" s="1685" t="s">
        <v>1327</v>
      </c>
      <c r="C122" s="1673"/>
      <c r="D122" s="1674"/>
      <c r="E122" s="1674"/>
      <c r="F122" s="1674"/>
      <c r="G122" s="1675"/>
      <c r="H122" s="1675"/>
      <c r="I122" s="1675"/>
      <c r="J122" s="1675"/>
      <c r="K122" s="1675"/>
      <c r="L122" s="1675"/>
      <c r="M122" s="1675"/>
      <c r="N122" s="56"/>
      <c r="O122" s="353"/>
    </row>
    <row r="123" spans="1:15" outlineLevel="1">
      <c r="A123" s="509">
        <f>ROW()</f>
        <v>123</v>
      </c>
      <c r="B123" s="197" t="s">
        <v>476</v>
      </c>
      <c r="C123" s="198">
        <v>2024</v>
      </c>
      <c r="D123" s="199">
        <v>42000</v>
      </c>
      <c r="E123" s="1660"/>
      <c r="F123" s="1660"/>
      <c r="G123" s="740">
        <f t="shared" ref="G123:M131" si="23">IF($C123&lt;=G$10,1,0)</f>
        <v>0</v>
      </c>
      <c r="H123" s="740">
        <f t="shared" si="23"/>
        <v>1</v>
      </c>
      <c r="I123" s="740">
        <f t="shared" si="23"/>
        <v>1</v>
      </c>
      <c r="J123" s="740">
        <f t="shared" si="23"/>
        <v>1</v>
      </c>
      <c r="K123" s="740">
        <f t="shared" si="23"/>
        <v>1</v>
      </c>
      <c r="L123" s="740">
        <f t="shared" si="23"/>
        <v>1</v>
      </c>
      <c r="M123" s="740">
        <f t="shared" si="23"/>
        <v>1</v>
      </c>
      <c r="N123" s="56"/>
      <c r="O123" s="353"/>
    </row>
    <row r="124" spans="1:15" outlineLevel="1">
      <c r="A124" s="509">
        <f>ROW()</f>
        <v>124</v>
      </c>
      <c r="B124" s="153" t="s">
        <v>477</v>
      </c>
      <c r="C124" s="154">
        <v>2026</v>
      </c>
      <c r="D124" s="162">
        <v>45000</v>
      </c>
      <c r="E124" s="1660"/>
      <c r="F124" s="1660"/>
      <c r="G124" s="739">
        <f t="shared" si="23"/>
        <v>0</v>
      </c>
      <c r="H124" s="739">
        <f t="shared" si="23"/>
        <v>0</v>
      </c>
      <c r="I124" s="739">
        <f t="shared" si="23"/>
        <v>0</v>
      </c>
      <c r="J124" s="739">
        <f t="shared" si="23"/>
        <v>1</v>
      </c>
      <c r="K124" s="739">
        <f t="shared" si="23"/>
        <v>1</v>
      </c>
      <c r="L124" s="739">
        <f t="shared" si="23"/>
        <v>1</v>
      </c>
      <c r="M124" s="739">
        <f t="shared" si="23"/>
        <v>1</v>
      </c>
      <c r="N124" s="56"/>
      <c r="O124" s="353"/>
    </row>
    <row r="125" spans="1:15" outlineLevel="1">
      <c r="A125" s="509">
        <f>ROW()</f>
        <v>125</v>
      </c>
      <c r="B125" s="153" t="s">
        <v>1497</v>
      </c>
      <c r="C125" s="154">
        <v>2025</v>
      </c>
      <c r="D125" s="162">
        <v>55000</v>
      </c>
      <c r="E125" s="1660"/>
      <c r="F125" s="1660"/>
      <c r="G125" s="739">
        <f t="shared" si="23"/>
        <v>0</v>
      </c>
      <c r="H125" s="739">
        <f t="shared" si="23"/>
        <v>0</v>
      </c>
      <c r="I125" s="739">
        <f t="shared" si="23"/>
        <v>1</v>
      </c>
      <c r="J125" s="739">
        <f t="shared" si="23"/>
        <v>1</v>
      </c>
      <c r="K125" s="739">
        <f t="shared" si="23"/>
        <v>1</v>
      </c>
      <c r="L125" s="739">
        <f t="shared" si="23"/>
        <v>1</v>
      </c>
      <c r="M125" s="739">
        <f t="shared" si="23"/>
        <v>1</v>
      </c>
      <c r="N125" s="56"/>
      <c r="O125" s="353"/>
    </row>
    <row r="126" spans="1:15" outlineLevel="1">
      <c r="A126" s="509">
        <f>ROW()</f>
        <v>126</v>
      </c>
      <c r="B126" s="153"/>
      <c r="C126" s="154" t="s">
        <v>457</v>
      </c>
      <c r="D126" s="162">
        <v>0</v>
      </c>
      <c r="E126" s="1660"/>
      <c r="F126" s="1660"/>
      <c r="G126" s="739">
        <f t="shared" si="23"/>
        <v>0</v>
      </c>
      <c r="H126" s="739">
        <f t="shared" si="23"/>
        <v>0</v>
      </c>
      <c r="I126" s="739">
        <f t="shared" si="23"/>
        <v>0</v>
      </c>
      <c r="J126" s="739">
        <f t="shared" si="23"/>
        <v>0</v>
      </c>
      <c r="K126" s="739">
        <f t="shared" si="23"/>
        <v>0</v>
      </c>
      <c r="L126" s="739">
        <f t="shared" si="23"/>
        <v>0</v>
      </c>
      <c r="M126" s="739">
        <f t="shared" si="23"/>
        <v>0</v>
      </c>
      <c r="N126" s="56"/>
      <c r="O126" s="353"/>
    </row>
    <row r="127" spans="1:15" outlineLevel="1">
      <c r="A127" s="509">
        <f>ROW()</f>
        <v>127</v>
      </c>
      <c r="B127" s="153"/>
      <c r="C127" s="154" t="s">
        <v>457</v>
      </c>
      <c r="D127" s="162">
        <v>0</v>
      </c>
      <c r="E127" s="1660"/>
      <c r="F127" s="1660"/>
      <c r="G127" s="739">
        <f t="shared" si="23"/>
        <v>0</v>
      </c>
      <c r="H127" s="739">
        <f t="shared" si="23"/>
        <v>0</v>
      </c>
      <c r="I127" s="739">
        <f t="shared" si="23"/>
        <v>0</v>
      </c>
      <c r="J127" s="739">
        <f t="shared" si="23"/>
        <v>0</v>
      </c>
      <c r="K127" s="739">
        <f t="shared" si="23"/>
        <v>0</v>
      </c>
      <c r="L127" s="739">
        <f t="shared" si="23"/>
        <v>0</v>
      </c>
      <c r="M127" s="739">
        <f t="shared" si="23"/>
        <v>0</v>
      </c>
      <c r="N127" s="56"/>
      <c r="O127" s="353"/>
    </row>
    <row r="128" spans="1:15" outlineLevel="1">
      <c r="A128" s="509">
        <f>ROW()</f>
        <v>128</v>
      </c>
      <c r="B128" s="153"/>
      <c r="C128" s="154" t="s">
        <v>457</v>
      </c>
      <c r="D128" s="162">
        <v>0</v>
      </c>
      <c r="E128" s="1660"/>
      <c r="F128" s="1660"/>
      <c r="G128" s="739">
        <f t="shared" si="23"/>
        <v>0</v>
      </c>
      <c r="H128" s="739">
        <f t="shared" si="23"/>
        <v>0</v>
      </c>
      <c r="I128" s="739">
        <f t="shared" si="23"/>
        <v>0</v>
      </c>
      <c r="J128" s="739">
        <f t="shared" si="23"/>
        <v>0</v>
      </c>
      <c r="K128" s="739">
        <f t="shared" si="23"/>
        <v>0</v>
      </c>
      <c r="L128" s="739">
        <f t="shared" si="23"/>
        <v>0</v>
      </c>
      <c r="M128" s="739">
        <f t="shared" si="23"/>
        <v>0</v>
      </c>
      <c r="N128" s="56"/>
      <c r="O128" s="353"/>
    </row>
    <row r="129" spans="1:15" outlineLevel="1">
      <c r="A129" s="509">
        <f>ROW()</f>
        <v>129</v>
      </c>
      <c r="B129" s="153"/>
      <c r="C129" s="154" t="s">
        <v>457</v>
      </c>
      <c r="D129" s="162">
        <v>0</v>
      </c>
      <c r="E129" s="1660"/>
      <c r="F129" s="1660"/>
      <c r="G129" s="739">
        <f t="shared" si="23"/>
        <v>0</v>
      </c>
      <c r="H129" s="739">
        <f t="shared" si="23"/>
        <v>0</v>
      </c>
      <c r="I129" s="739">
        <f t="shared" si="23"/>
        <v>0</v>
      </c>
      <c r="J129" s="739">
        <f t="shared" si="23"/>
        <v>0</v>
      </c>
      <c r="K129" s="739">
        <f t="shared" si="23"/>
        <v>0</v>
      </c>
      <c r="L129" s="739">
        <f t="shared" si="23"/>
        <v>0</v>
      </c>
      <c r="M129" s="739">
        <f t="shared" si="23"/>
        <v>0</v>
      </c>
      <c r="N129" s="56"/>
      <c r="O129" s="353"/>
    </row>
    <row r="130" spans="1:15" outlineLevel="1">
      <c r="A130" s="509">
        <f>ROW()</f>
        <v>130</v>
      </c>
      <c r="B130" s="153"/>
      <c r="C130" s="154" t="s">
        <v>457</v>
      </c>
      <c r="D130" s="162">
        <v>0</v>
      </c>
      <c r="E130" s="1660"/>
      <c r="F130" s="1660"/>
      <c r="G130" s="739">
        <f t="shared" si="23"/>
        <v>0</v>
      </c>
      <c r="H130" s="739">
        <f t="shared" si="23"/>
        <v>0</v>
      </c>
      <c r="I130" s="739">
        <f t="shared" si="23"/>
        <v>0</v>
      </c>
      <c r="J130" s="739">
        <f t="shared" si="23"/>
        <v>0</v>
      </c>
      <c r="K130" s="739">
        <f t="shared" si="23"/>
        <v>0</v>
      </c>
      <c r="L130" s="739">
        <f t="shared" si="23"/>
        <v>0</v>
      </c>
      <c r="M130" s="739">
        <f t="shared" si="23"/>
        <v>0</v>
      </c>
      <c r="N130" s="56"/>
      <c r="O130" s="353"/>
    </row>
    <row r="131" spans="1:15" outlineLevel="1">
      <c r="A131" s="509">
        <f>ROW()</f>
        <v>131</v>
      </c>
      <c r="B131" s="153"/>
      <c r="C131" s="154" t="s">
        <v>457</v>
      </c>
      <c r="D131" s="162"/>
      <c r="E131" s="1660"/>
      <c r="F131" s="1660"/>
      <c r="G131" s="741">
        <f t="shared" si="23"/>
        <v>0</v>
      </c>
      <c r="H131" s="741">
        <f t="shared" si="23"/>
        <v>0</v>
      </c>
      <c r="I131" s="741">
        <f t="shared" si="23"/>
        <v>0</v>
      </c>
      <c r="J131" s="741">
        <f t="shared" si="23"/>
        <v>0</v>
      </c>
      <c r="K131" s="741">
        <f t="shared" si="23"/>
        <v>0</v>
      </c>
      <c r="L131" s="741">
        <f t="shared" si="23"/>
        <v>0</v>
      </c>
      <c r="M131" s="741">
        <f t="shared" si="23"/>
        <v>0</v>
      </c>
      <c r="N131" s="56"/>
      <c r="O131" s="353"/>
    </row>
    <row r="132" spans="1:15" outlineLevel="1">
      <c r="A132" s="509">
        <f>ROW()</f>
        <v>132</v>
      </c>
      <c r="B132" s="135" t="s">
        <v>478</v>
      </c>
      <c r="C132" s="135"/>
      <c r="D132" s="135"/>
      <c r="E132" s="135"/>
      <c r="F132" s="135"/>
      <c r="G132" s="1347">
        <f t="shared" ref="G132:M132" si="24">SUM(G123:G131)</f>
        <v>0</v>
      </c>
      <c r="H132" s="1347">
        <f t="shared" si="24"/>
        <v>1</v>
      </c>
      <c r="I132" s="354">
        <f t="shared" si="24"/>
        <v>2</v>
      </c>
      <c r="J132" s="354">
        <f t="shared" si="24"/>
        <v>3</v>
      </c>
      <c r="K132" s="354">
        <f t="shared" si="24"/>
        <v>3</v>
      </c>
      <c r="L132" s="354">
        <f t="shared" si="24"/>
        <v>3</v>
      </c>
      <c r="M132" s="354">
        <f t="shared" si="24"/>
        <v>3</v>
      </c>
      <c r="N132" s="56"/>
      <c r="O132" s="353"/>
    </row>
    <row r="133" spans="1:15" outlineLevel="1">
      <c r="A133" s="509">
        <f>ROW()</f>
        <v>133</v>
      </c>
      <c r="G133" s="56"/>
      <c r="H133" s="56"/>
      <c r="I133" s="56"/>
      <c r="J133" s="56"/>
      <c r="K133" s="56"/>
      <c r="L133" s="56"/>
      <c r="M133" s="56"/>
      <c r="N133" s="56"/>
      <c r="O133" s="353"/>
    </row>
    <row r="134" spans="1:15" outlineLevel="1">
      <c r="A134" s="509">
        <f>ROW()</f>
        <v>134</v>
      </c>
      <c r="B134" s="135" t="s">
        <v>479</v>
      </c>
      <c r="C134" s="135"/>
      <c r="D134" s="135"/>
      <c r="E134" s="135"/>
      <c r="F134" s="135"/>
      <c r="G134" s="1347">
        <f t="shared" ref="G134:M134" si="25">+G106+G120+G132</f>
        <v>0</v>
      </c>
      <c r="H134" s="1347">
        <f t="shared" si="25"/>
        <v>7</v>
      </c>
      <c r="I134" s="354">
        <f t="shared" si="25"/>
        <v>10</v>
      </c>
      <c r="J134" s="354">
        <f t="shared" si="25"/>
        <v>12</v>
      </c>
      <c r="K134" s="354">
        <f t="shared" si="25"/>
        <v>13</v>
      </c>
      <c r="L134" s="354">
        <f t="shared" si="25"/>
        <v>13</v>
      </c>
      <c r="M134" s="354">
        <f t="shared" si="25"/>
        <v>13</v>
      </c>
      <c r="N134" s="56"/>
      <c r="O134" s="353"/>
    </row>
    <row r="135" spans="1:15" outlineLevel="1">
      <c r="A135" s="509">
        <f>ROW()</f>
        <v>135</v>
      </c>
      <c r="B135" s="135" t="s">
        <v>480</v>
      </c>
      <c r="C135" s="135"/>
      <c r="D135" s="135"/>
      <c r="E135" s="135"/>
      <c r="F135" s="135"/>
      <c r="G135" s="354">
        <f t="shared" ref="G135:M135" si="26">+G134+G94</f>
        <v>0.6</v>
      </c>
      <c r="H135" s="354">
        <f t="shared" si="26"/>
        <v>13</v>
      </c>
      <c r="I135" s="354">
        <f t="shared" si="26"/>
        <v>16</v>
      </c>
      <c r="J135" s="354">
        <f t="shared" si="26"/>
        <v>19</v>
      </c>
      <c r="K135" s="354">
        <f t="shared" si="26"/>
        <v>20</v>
      </c>
      <c r="L135" s="354">
        <f t="shared" si="26"/>
        <v>20</v>
      </c>
      <c r="M135" s="354">
        <f t="shared" si="26"/>
        <v>20</v>
      </c>
      <c r="N135" s="56"/>
      <c r="O135" s="353"/>
    </row>
    <row r="136" spans="1:15" outlineLevel="1">
      <c r="A136" s="509">
        <f>ROW()</f>
        <v>136</v>
      </c>
      <c r="B136" s="173"/>
      <c r="C136" s="173"/>
      <c r="D136" s="173"/>
      <c r="E136" s="173"/>
      <c r="F136" s="173"/>
      <c r="G136" s="175"/>
      <c r="H136" s="173"/>
      <c r="I136" s="173"/>
      <c r="J136" s="173"/>
      <c r="K136" s="173"/>
      <c r="L136" s="173"/>
      <c r="M136" s="174"/>
      <c r="N136" s="56"/>
      <c r="O136" s="353"/>
    </row>
    <row r="137" spans="1:15" ht="15.6" outlineLevel="1">
      <c r="A137" s="509">
        <f>ROW()</f>
        <v>137</v>
      </c>
      <c r="B137" s="181" t="s">
        <v>481</v>
      </c>
      <c r="C137" s="65"/>
      <c r="D137" s="65"/>
      <c r="E137" s="65"/>
      <c r="F137" s="65"/>
      <c r="G137" s="179"/>
      <c r="H137" s="65"/>
      <c r="I137" s="65"/>
      <c r="J137" s="65"/>
      <c r="K137" s="65"/>
      <c r="L137" s="65"/>
      <c r="M137" s="182"/>
      <c r="N137" s="56"/>
      <c r="O137" s="353"/>
    </row>
    <row r="138" spans="1:15" ht="27.6" outlineLevel="1">
      <c r="A138" s="509">
        <f>ROW()</f>
        <v>138</v>
      </c>
      <c r="B138" s="101" t="s">
        <v>482</v>
      </c>
      <c r="C138" s="34" t="s">
        <v>483</v>
      </c>
      <c r="D138" s="34" t="s">
        <v>484</v>
      </c>
      <c r="E138" s="34" t="s">
        <v>448</v>
      </c>
      <c r="F138" s="101" t="s">
        <v>485</v>
      </c>
      <c r="G138" s="101" t="s">
        <v>451</v>
      </c>
      <c r="H138" s="125" t="s">
        <v>450</v>
      </c>
      <c r="I138" s="101"/>
      <c r="J138" s="101"/>
      <c r="L138" s="56"/>
      <c r="N138" s="56"/>
      <c r="O138" s="353"/>
    </row>
    <row r="139" spans="1:15" outlineLevel="1">
      <c r="A139" s="509">
        <f>ROW()</f>
        <v>139</v>
      </c>
      <c r="B139" s="77" t="s">
        <v>449</v>
      </c>
      <c r="C139" s="59"/>
      <c r="D139" s="59">
        <f>' Enrol &amp; Rev'!$G$10</f>
        <v>2023</v>
      </c>
      <c r="E139" s="179"/>
      <c r="F139" s="179"/>
      <c r="G139" s="65"/>
      <c r="H139" s="65"/>
      <c r="I139" s="160"/>
      <c r="J139" s="160"/>
      <c r="K139" s="160"/>
      <c r="L139" s="182"/>
      <c r="M139" s="65"/>
      <c r="N139" s="56"/>
      <c r="O139" s="353"/>
    </row>
    <row r="140" spans="1:15" outlineLevel="1">
      <c r="A140" s="509">
        <f>ROW()</f>
        <v>140</v>
      </c>
      <c r="C140" s="44"/>
      <c r="D140" s="44"/>
      <c r="E140" s="33"/>
      <c r="F140" s="33"/>
      <c r="G140" s="35" t="s">
        <v>486</v>
      </c>
      <c r="L140" s="56"/>
      <c r="N140" s="56"/>
      <c r="O140" s="353"/>
    </row>
    <row r="141" spans="1:15" outlineLevel="1">
      <c r="A141" s="509">
        <f>ROW()</f>
        <v>141</v>
      </c>
      <c r="B141" s="200" t="s">
        <v>487</v>
      </c>
      <c r="C141" s="159" t="s">
        <v>457</v>
      </c>
      <c r="D141" s="159" t="s">
        <v>488</v>
      </c>
      <c r="E141" s="333">
        <v>0</v>
      </c>
      <c r="F141" s="201" t="s">
        <v>489</v>
      </c>
      <c r="G141" s="739">
        <f>IF($D141&lt;=G$10,1,0)</f>
        <v>0</v>
      </c>
      <c r="H141" s="739">
        <f t="shared" ref="H141:M143" si="27">IF($D141&lt;=H$10,1,0)</f>
        <v>0</v>
      </c>
      <c r="I141" s="739">
        <f t="shared" si="27"/>
        <v>0</v>
      </c>
      <c r="J141" s="739">
        <f t="shared" si="27"/>
        <v>0</v>
      </c>
      <c r="K141" s="739">
        <f t="shared" si="27"/>
        <v>0</v>
      </c>
      <c r="L141" s="739">
        <f t="shared" si="27"/>
        <v>0</v>
      </c>
      <c r="M141" s="739">
        <f t="shared" si="27"/>
        <v>0</v>
      </c>
      <c r="O141" s="353"/>
    </row>
    <row r="142" spans="1:15" outlineLevel="1">
      <c r="A142" s="509">
        <f>ROW()</f>
        <v>142</v>
      </c>
      <c r="B142" s="200" t="s">
        <v>487</v>
      </c>
      <c r="C142" s="159" t="s">
        <v>457</v>
      </c>
      <c r="D142" s="159" t="s">
        <v>488</v>
      </c>
      <c r="E142" s="161">
        <v>0</v>
      </c>
      <c r="F142" s="201" t="s">
        <v>489</v>
      </c>
      <c r="G142" s="739">
        <f>IF($D142&lt;=G$10,1,0)</f>
        <v>0</v>
      </c>
      <c r="H142" s="739">
        <f t="shared" si="27"/>
        <v>0</v>
      </c>
      <c r="I142" s="739">
        <f t="shared" si="27"/>
        <v>0</v>
      </c>
      <c r="J142" s="739">
        <f t="shared" si="27"/>
        <v>0</v>
      </c>
      <c r="K142" s="739">
        <f t="shared" si="27"/>
        <v>0</v>
      </c>
      <c r="L142" s="739">
        <f t="shared" si="27"/>
        <v>0</v>
      </c>
      <c r="M142" s="739">
        <f t="shared" si="27"/>
        <v>0</v>
      </c>
      <c r="O142" s="353"/>
    </row>
    <row r="143" spans="1:15" outlineLevel="1">
      <c r="A143" s="509">
        <f>ROW()</f>
        <v>143</v>
      </c>
      <c r="B143" s="200" t="s">
        <v>487</v>
      </c>
      <c r="C143" s="159" t="s">
        <v>457</v>
      </c>
      <c r="D143" s="159" t="s">
        <v>488</v>
      </c>
      <c r="E143" s="161">
        <v>0</v>
      </c>
      <c r="F143" s="201" t="s">
        <v>489</v>
      </c>
      <c r="G143" s="739">
        <f>IF($D143&lt;=G$10,1,0)</f>
        <v>0</v>
      </c>
      <c r="H143" s="739">
        <f t="shared" si="27"/>
        <v>0</v>
      </c>
      <c r="I143" s="739">
        <f t="shared" si="27"/>
        <v>0</v>
      </c>
      <c r="J143" s="739">
        <f t="shared" si="27"/>
        <v>0</v>
      </c>
      <c r="K143" s="739">
        <f t="shared" si="27"/>
        <v>0</v>
      </c>
      <c r="L143" s="739">
        <f t="shared" si="27"/>
        <v>0</v>
      </c>
      <c r="M143" s="739">
        <f t="shared" si="27"/>
        <v>0</v>
      </c>
      <c r="O143" s="353"/>
    </row>
    <row r="144" spans="1:15" outlineLevel="1">
      <c r="A144" s="509">
        <f>ROW()</f>
        <v>144</v>
      </c>
      <c r="B144" s="1651"/>
      <c r="C144" s="1652"/>
      <c r="D144" s="1652"/>
      <c r="E144" s="1653"/>
      <c r="F144" s="1654"/>
      <c r="G144" s="148"/>
      <c r="H144" s="148"/>
      <c r="I144" s="148"/>
      <c r="J144" s="148"/>
      <c r="K144" s="148"/>
      <c r="L144" s="148"/>
      <c r="M144" s="148"/>
      <c r="O144" s="353"/>
    </row>
    <row r="145" spans="1:15" outlineLevel="1">
      <c r="A145" s="509">
        <f>ROW()</f>
        <v>145</v>
      </c>
      <c r="B145" s="200" t="s">
        <v>490</v>
      </c>
      <c r="C145" s="159" t="s">
        <v>211</v>
      </c>
      <c r="D145" s="159" t="s">
        <v>488</v>
      </c>
      <c r="E145" s="333">
        <v>45000</v>
      </c>
      <c r="F145" s="201" t="s">
        <v>489</v>
      </c>
      <c r="G145" s="739">
        <f t="shared" ref="G145:M149" si="28">IF($D145&lt;=G$10,1,0)</f>
        <v>0</v>
      </c>
      <c r="H145" s="739">
        <v>4</v>
      </c>
      <c r="I145" s="739">
        <v>4</v>
      </c>
      <c r="J145" s="739">
        <v>4</v>
      </c>
      <c r="K145" s="739">
        <v>4</v>
      </c>
      <c r="L145" s="739">
        <v>4</v>
      </c>
      <c r="M145" s="739">
        <v>4</v>
      </c>
      <c r="O145" s="353"/>
    </row>
    <row r="146" spans="1:15" outlineLevel="1">
      <c r="A146" s="509">
        <f>ROW()</f>
        <v>146</v>
      </c>
      <c r="B146" s="200" t="s">
        <v>490</v>
      </c>
      <c r="C146" s="159" t="s">
        <v>457</v>
      </c>
      <c r="D146" s="159" t="s">
        <v>488</v>
      </c>
      <c r="E146" s="161">
        <v>0</v>
      </c>
      <c r="F146" s="201" t="s">
        <v>489</v>
      </c>
      <c r="G146" s="739">
        <f t="shared" si="28"/>
        <v>0</v>
      </c>
      <c r="H146" s="739">
        <f t="shared" si="28"/>
        <v>0</v>
      </c>
      <c r="I146" s="739">
        <f t="shared" si="28"/>
        <v>0</v>
      </c>
      <c r="J146" s="739">
        <f t="shared" si="28"/>
        <v>0</v>
      </c>
      <c r="K146" s="739">
        <f t="shared" si="28"/>
        <v>0</v>
      </c>
      <c r="L146" s="739">
        <f t="shared" si="28"/>
        <v>0</v>
      </c>
      <c r="M146" s="739">
        <f t="shared" si="28"/>
        <v>0</v>
      </c>
      <c r="O146" s="353"/>
    </row>
    <row r="147" spans="1:15" outlineLevel="1">
      <c r="A147" s="509">
        <f>ROW()</f>
        <v>147</v>
      </c>
      <c r="B147" s="200" t="s">
        <v>490</v>
      </c>
      <c r="C147" s="159" t="s">
        <v>457</v>
      </c>
      <c r="D147" s="159" t="s">
        <v>488</v>
      </c>
      <c r="E147" s="161">
        <v>0</v>
      </c>
      <c r="F147" s="201" t="s">
        <v>489</v>
      </c>
      <c r="G147" s="739">
        <f t="shared" si="28"/>
        <v>0</v>
      </c>
      <c r="H147" s="739">
        <f t="shared" si="28"/>
        <v>0</v>
      </c>
      <c r="I147" s="739">
        <f t="shared" si="28"/>
        <v>0</v>
      </c>
      <c r="J147" s="739">
        <f t="shared" si="28"/>
        <v>0</v>
      </c>
      <c r="K147" s="739">
        <f t="shared" si="28"/>
        <v>0</v>
      </c>
      <c r="L147" s="739">
        <f t="shared" si="28"/>
        <v>0</v>
      </c>
      <c r="M147" s="739">
        <f t="shared" si="28"/>
        <v>0</v>
      </c>
      <c r="O147" s="353"/>
    </row>
    <row r="148" spans="1:15" outlineLevel="1">
      <c r="A148" s="509">
        <f>ROW()</f>
        <v>148</v>
      </c>
      <c r="B148" s="200" t="s">
        <v>490</v>
      </c>
      <c r="C148" s="159" t="s">
        <v>457</v>
      </c>
      <c r="D148" s="159" t="s">
        <v>488</v>
      </c>
      <c r="E148" s="161">
        <v>0</v>
      </c>
      <c r="F148" s="201" t="s">
        <v>489</v>
      </c>
      <c r="G148" s="739">
        <f t="shared" si="28"/>
        <v>0</v>
      </c>
      <c r="H148" s="739">
        <f t="shared" si="28"/>
        <v>0</v>
      </c>
      <c r="I148" s="739">
        <f t="shared" si="28"/>
        <v>0</v>
      </c>
      <c r="J148" s="739">
        <f t="shared" si="28"/>
        <v>0</v>
      </c>
      <c r="K148" s="739">
        <f t="shared" si="28"/>
        <v>0</v>
      </c>
      <c r="L148" s="739">
        <f t="shared" si="28"/>
        <v>0</v>
      </c>
      <c r="M148" s="739">
        <f t="shared" si="28"/>
        <v>0</v>
      </c>
      <c r="O148" s="353"/>
    </row>
    <row r="149" spans="1:15" outlineLevel="1">
      <c r="A149" s="509">
        <f>ROW()</f>
        <v>149</v>
      </c>
      <c r="B149" s="200"/>
      <c r="C149" s="159" t="s">
        <v>457</v>
      </c>
      <c r="D149" s="159" t="s">
        <v>488</v>
      </c>
      <c r="E149" s="161">
        <v>0</v>
      </c>
      <c r="F149" s="201"/>
      <c r="G149" s="739">
        <f t="shared" si="28"/>
        <v>0</v>
      </c>
      <c r="H149" s="739">
        <f t="shared" si="28"/>
        <v>0</v>
      </c>
      <c r="I149" s="739">
        <f t="shared" si="28"/>
        <v>0</v>
      </c>
      <c r="J149" s="739">
        <f t="shared" si="28"/>
        <v>0</v>
      </c>
      <c r="K149" s="739">
        <f t="shared" si="28"/>
        <v>0</v>
      </c>
      <c r="L149" s="739">
        <f t="shared" si="28"/>
        <v>0</v>
      </c>
      <c r="M149" s="739">
        <f t="shared" si="28"/>
        <v>0</v>
      </c>
      <c r="O149" s="353"/>
    </row>
    <row r="150" spans="1:15" outlineLevel="1">
      <c r="A150" s="509">
        <f>ROW()</f>
        <v>150</v>
      </c>
      <c r="B150" s="1651"/>
      <c r="C150" s="1652"/>
      <c r="D150" s="1652"/>
      <c r="E150" s="1655"/>
      <c r="F150" s="1655"/>
      <c r="G150" s="148"/>
      <c r="H150" s="148"/>
      <c r="I150" s="148"/>
      <c r="J150" s="148"/>
      <c r="K150" s="148"/>
      <c r="L150" s="148"/>
      <c r="M150" s="148"/>
      <c r="O150" s="353"/>
    </row>
    <row r="151" spans="1:15" outlineLevel="1">
      <c r="A151" s="509">
        <f>ROW()</f>
        <v>151</v>
      </c>
      <c r="B151" s="200" t="s">
        <v>491</v>
      </c>
      <c r="C151" s="159">
        <v>1</v>
      </c>
      <c r="D151" s="159" t="s">
        <v>488</v>
      </c>
      <c r="E151" s="333">
        <v>45000</v>
      </c>
      <c r="F151" s="201" t="s">
        <v>489</v>
      </c>
      <c r="G151" s="739">
        <f t="shared" ref="G151:M155" si="29">IF($D151&lt;=G$10,1,0)</f>
        <v>0</v>
      </c>
      <c r="H151" s="739">
        <v>4</v>
      </c>
      <c r="I151" s="739">
        <v>4</v>
      </c>
      <c r="J151" s="739">
        <v>4</v>
      </c>
      <c r="K151" s="739">
        <v>4</v>
      </c>
      <c r="L151" s="739">
        <v>4</v>
      </c>
      <c r="M151" s="739">
        <v>4</v>
      </c>
      <c r="O151" s="353"/>
    </row>
    <row r="152" spans="1:15" outlineLevel="1">
      <c r="A152" s="509">
        <f>ROW()</f>
        <v>152</v>
      </c>
      <c r="B152" s="200" t="s">
        <v>491</v>
      </c>
      <c r="C152" s="159" t="s">
        <v>457</v>
      </c>
      <c r="D152" s="159" t="s">
        <v>488</v>
      </c>
      <c r="E152" s="161">
        <v>0</v>
      </c>
      <c r="F152" s="201" t="s">
        <v>489</v>
      </c>
      <c r="G152" s="739">
        <f t="shared" si="29"/>
        <v>0</v>
      </c>
      <c r="H152" s="739">
        <f t="shared" si="29"/>
        <v>0</v>
      </c>
      <c r="I152" s="739">
        <f t="shared" si="29"/>
        <v>0</v>
      </c>
      <c r="J152" s="739">
        <f t="shared" si="29"/>
        <v>0</v>
      </c>
      <c r="K152" s="739">
        <f t="shared" si="29"/>
        <v>0</v>
      </c>
      <c r="L152" s="739">
        <f t="shared" si="29"/>
        <v>0</v>
      </c>
      <c r="M152" s="739">
        <f t="shared" si="29"/>
        <v>0</v>
      </c>
      <c r="O152" s="353"/>
    </row>
    <row r="153" spans="1:15" outlineLevel="1">
      <c r="A153" s="509">
        <f>ROW()</f>
        <v>153</v>
      </c>
      <c r="B153" s="200" t="s">
        <v>491</v>
      </c>
      <c r="C153" s="159" t="s">
        <v>457</v>
      </c>
      <c r="D153" s="159" t="s">
        <v>488</v>
      </c>
      <c r="E153" s="161">
        <v>0</v>
      </c>
      <c r="F153" s="201" t="s">
        <v>489</v>
      </c>
      <c r="G153" s="739">
        <f t="shared" si="29"/>
        <v>0</v>
      </c>
      <c r="H153" s="739">
        <f t="shared" si="29"/>
        <v>0</v>
      </c>
      <c r="I153" s="739">
        <f t="shared" si="29"/>
        <v>0</v>
      </c>
      <c r="J153" s="739">
        <f t="shared" si="29"/>
        <v>0</v>
      </c>
      <c r="K153" s="739">
        <f t="shared" si="29"/>
        <v>0</v>
      </c>
      <c r="L153" s="739">
        <f t="shared" si="29"/>
        <v>0</v>
      </c>
      <c r="M153" s="739">
        <f t="shared" si="29"/>
        <v>0</v>
      </c>
      <c r="O153" s="353"/>
    </row>
    <row r="154" spans="1:15" outlineLevel="1">
      <c r="A154" s="509">
        <f>ROW()</f>
        <v>154</v>
      </c>
      <c r="B154" s="200" t="s">
        <v>491</v>
      </c>
      <c r="C154" s="159" t="s">
        <v>457</v>
      </c>
      <c r="D154" s="159" t="s">
        <v>488</v>
      </c>
      <c r="E154" s="161">
        <v>0</v>
      </c>
      <c r="F154" s="201" t="s">
        <v>489</v>
      </c>
      <c r="G154" s="739">
        <f t="shared" si="29"/>
        <v>0</v>
      </c>
      <c r="H154" s="739">
        <f t="shared" si="29"/>
        <v>0</v>
      </c>
      <c r="I154" s="739">
        <f t="shared" si="29"/>
        <v>0</v>
      </c>
      <c r="J154" s="739">
        <f t="shared" si="29"/>
        <v>0</v>
      </c>
      <c r="K154" s="739">
        <f t="shared" si="29"/>
        <v>0</v>
      </c>
      <c r="L154" s="739">
        <f t="shared" si="29"/>
        <v>0</v>
      </c>
      <c r="M154" s="739">
        <f t="shared" si="29"/>
        <v>0</v>
      </c>
      <c r="O154" s="353"/>
    </row>
    <row r="155" spans="1:15" outlineLevel="1">
      <c r="A155" s="509">
        <f>ROW()</f>
        <v>155</v>
      </c>
      <c r="B155" s="200"/>
      <c r="C155" s="159" t="s">
        <v>457</v>
      </c>
      <c r="D155" s="159" t="s">
        <v>488</v>
      </c>
      <c r="E155" s="161">
        <v>0</v>
      </c>
      <c r="F155" s="201"/>
      <c r="G155" s="739">
        <f t="shared" si="29"/>
        <v>0</v>
      </c>
      <c r="H155" s="739">
        <f t="shared" si="29"/>
        <v>0</v>
      </c>
      <c r="I155" s="739">
        <f t="shared" si="29"/>
        <v>0</v>
      </c>
      <c r="J155" s="739">
        <f t="shared" si="29"/>
        <v>0</v>
      </c>
      <c r="K155" s="739">
        <f t="shared" si="29"/>
        <v>0</v>
      </c>
      <c r="L155" s="739">
        <f t="shared" si="29"/>
        <v>0</v>
      </c>
      <c r="M155" s="739">
        <f t="shared" si="29"/>
        <v>0</v>
      </c>
      <c r="O155" s="353"/>
    </row>
    <row r="156" spans="1:15" outlineLevel="1">
      <c r="A156" s="509">
        <f>ROW()</f>
        <v>156</v>
      </c>
      <c r="B156" s="1651"/>
      <c r="C156" s="1652"/>
      <c r="D156" s="1654"/>
      <c r="E156" s="1655"/>
      <c r="F156" s="1655"/>
      <c r="G156" s="148"/>
      <c r="H156" s="148"/>
      <c r="I156" s="148"/>
      <c r="J156" s="148"/>
      <c r="K156" s="148"/>
      <c r="L156" s="148"/>
      <c r="M156" s="148"/>
      <c r="O156" s="353"/>
    </row>
    <row r="157" spans="1:15" outlineLevel="1">
      <c r="A157" s="509">
        <f>ROW()</f>
        <v>157</v>
      </c>
      <c r="B157" s="200" t="s">
        <v>492</v>
      </c>
      <c r="C157" s="159">
        <v>2</v>
      </c>
      <c r="D157" s="159" t="s">
        <v>488</v>
      </c>
      <c r="E157" s="333">
        <v>45000</v>
      </c>
      <c r="F157" s="201" t="s">
        <v>489</v>
      </c>
      <c r="G157" s="739">
        <f t="shared" ref="G157:M161" si="30">IF($D157&lt;=G$10,1,0)</f>
        <v>0</v>
      </c>
      <c r="H157" s="739">
        <v>3</v>
      </c>
      <c r="I157" s="739">
        <v>4</v>
      </c>
      <c r="J157" s="739">
        <v>4</v>
      </c>
      <c r="K157" s="739">
        <v>4</v>
      </c>
      <c r="L157" s="739">
        <v>4</v>
      </c>
      <c r="M157" s="739">
        <v>4</v>
      </c>
      <c r="O157" s="353"/>
    </row>
    <row r="158" spans="1:15" outlineLevel="1">
      <c r="A158" s="509">
        <f>ROW()</f>
        <v>158</v>
      </c>
      <c r="B158" s="200" t="s">
        <v>492</v>
      </c>
      <c r="C158" s="159" t="s">
        <v>457</v>
      </c>
      <c r="D158" s="159" t="s">
        <v>488</v>
      </c>
      <c r="E158" s="161">
        <v>0</v>
      </c>
      <c r="F158" s="201" t="s">
        <v>489</v>
      </c>
      <c r="G158" s="739">
        <f t="shared" si="30"/>
        <v>0</v>
      </c>
      <c r="H158" s="739">
        <f t="shared" si="30"/>
        <v>0</v>
      </c>
      <c r="I158" s="739">
        <f t="shared" si="30"/>
        <v>0</v>
      </c>
      <c r="J158" s="739">
        <f t="shared" si="30"/>
        <v>0</v>
      </c>
      <c r="K158" s="739">
        <f t="shared" si="30"/>
        <v>0</v>
      </c>
      <c r="L158" s="739">
        <f t="shared" si="30"/>
        <v>0</v>
      </c>
      <c r="M158" s="739">
        <f t="shared" si="30"/>
        <v>0</v>
      </c>
      <c r="O158" s="353"/>
    </row>
    <row r="159" spans="1:15" outlineLevel="1">
      <c r="A159" s="509">
        <f>ROW()</f>
        <v>159</v>
      </c>
      <c r="B159" s="200" t="s">
        <v>492</v>
      </c>
      <c r="C159" s="159" t="s">
        <v>457</v>
      </c>
      <c r="D159" s="159" t="s">
        <v>488</v>
      </c>
      <c r="E159" s="161">
        <v>0</v>
      </c>
      <c r="F159" s="201" t="s">
        <v>489</v>
      </c>
      <c r="G159" s="739">
        <f t="shared" si="30"/>
        <v>0</v>
      </c>
      <c r="H159" s="739">
        <f t="shared" si="30"/>
        <v>0</v>
      </c>
      <c r="I159" s="739">
        <f t="shared" si="30"/>
        <v>0</v>
      </c>
      <c r="J159" s="739">
        <f t="shared" si="30"/>
        <v>0</v>
      </c>
      <c r="K159" s="739">
        <f t="shared" si="30"/>
        <v>0</v>
      </c>
      <c r="L159" s="739">
        <f t="shared" si="30"/>
        <v>0</v>
      </c>
      <c r="M159" s="739">
        <f t="shared" si="30"/>
        <v>0</v>
      </c>
      <c r="O159" s="353"/>
    </row>
    <row r="160" spans="1:15" outlineLevel="1">
      <c r="A160" s="509">
        <f>ROW()</f>
        <v>160</v>
      </c>
      <c r="B160" s="200" t="s">
        <v>492</v>
      </c>
      <c r="C160" s="159" t="s">
        <v>457</v>
      </c>
      <c r="D160" s="159" t="s">
        <v>488</v>
      </c>
      <c r="E160" s="161">
        <v>0</v>
      </c>
      <c r="F160" s="201" t="s">
        <v>489</v>
      </c>
      <c r="G160" s="739">
        <f t="shared" si="30"/>
        <v>0</v>
      </c>
      <c r="H160" s="739">
        <f t="shared" si="30"/>
        <v>0</v>
      </c>
      <c r="I160" s="739">
        <f t="shared" si="30"/>
        <v>0</v>
      </c>
      <c r="J160" s="739">
        <f t="shared" si="30"/>
        <v>0</v>
      </c>
      <c r="K160" s="739">
        <f t="shared" si="30"/>
        <v>0</v>
      </c>
      <c r="L160" s="739">
        <f t="shared" si="30"/>
        <v>0</v>
      </c>
      <c r="M160" s="739">
        <f t="shared" si="30"/>
        <v>0</v>
      </c>
      <c r="O160" s="353"/>
    </row>
    <row r="161" spans="1:15" outlineLevel="1">
      <c r="A161" s="509">
        <f>ROW()</f>
        <v>161</v>
      </c>
      <c r="B161" s="200"/>
      <c r="C161" s="159" t="s">
        <v>457</v>
      </c>
      <c r="D161" s="159" t="s">
        <v>488</v>
      </c>
      <c r="E161" s="161">
        <v>0</v>
      </c>
      <c r="F161" s="201"/>
      <c r="G161" s="739">
        <f t="shared" si="30"/>
        <v>0</v>
      </c>
      <c r="H161" s="739">
        <f t="shared" si="30"/>
        <v>0</v>
      </c>
      <c r="I161" s="739">
        <f t="shared" si="30"/>
        <v>0</v>
      </c>
      <c r="J161" s="739">
        <f t="shared" si="30"/>
        <v>0</v>
      </c>
      <c r="K161" s="739">
        <f t="shared" si="30"/>
        <v>0</v>
      </c>
      <c r="L161" s="739">
        <f t="shared" si="30"/>
        <v>0</v>
      </c>
      <c r="M161" s="739">
        <f t="shared" si="30"/>
        <v>0</v>
      </c>
      <c r="O161" s="353"/>
    </row>
    <row r="162" spans="1:15" outlineLevel="1">
      <c r="A162" s="509">
        <f>ROW()</f>
        <v>162</v>
      </c>
      <c r="B162" s="1651"/>
      <c r="C162" s="1652"/>
      <c r="D162" s="1652"/>
      <c r="E162" s="1656"/>
      <c r="F162" s="1656"/>
      <c r="G162" s="148"/>
      <c r="H162" s="148"/>
      <c r="I162" s="148"/>
      <c r="J162" s="148"/>
      <c r="K162" s="148"/>
      <c r="L162" s="148"/>
      <c r="M162" s="148"/>
      <c r="O162" s="353"/>
    </row>
    <row r="163" spans="1:15" outlineLevel="1">
      <c r="A163" s="509">
        <f>ROW()</f>
        <v>163</v>
      </c>
      <c r="B163" s="200" t="s">
        <v>493</v>
      </c>
      <c r="C163" s="159" t="s">
        <v>457</v>
      </c>
      <c r="D163" s="159" t="s">
        <v>488</v>
      </c>
      <c r="E163" s="333">
        <v>45000</v>
      </c>
      <c r="F163" s="201" t="s">
        <v>489</v>
      </c>
      <c r="G163" s="739">
        <f t="shared" ref="G163:M167" si="31">IF($D163&lt;=G$10,1,0)</f>
        <v>0</v>
      </c>
      <c r="H163" s="739">
        <v>3</v>
      </c>
      <c r="I163" s="739">
        <v>3</v>
      </c>
      <c r="J163" s="739">
        <v>4</v>
      </c>
      <c r="K163" s="739">
        <v>4</v>
      </c>
      <c r="L163" s="739">
        <v>4</v>
      </c>
      <c r="M163" s="739">
        <v>4</v>
      </c>
      <c r="O163" s="353"/>
    </row>
    <row r="164" spans="1:15" outlineLevel="1">
      <c r="A164" s="509">
        <f>ROW()</f>
        <v>164</v>
      </c>
      <c r="B164" s="200" t="s">
        <v>493</v>
      </c>
      <c r="C164" s="159" t="s">
        <v>457</v>
      </c>
      <c r="D164" s="159" t="s">
        <v>488</v>
      </c>
      <c r="E164" s="161">
        <v>0</v>
      </c>
      <c r="F164" s="201" t="s">
        <v>489</v>
      </c>
      <c r="G164" s="739">
        <f t="shared" si="31"/>
        <v>0</v>
      </c>
      <c r="H164" s="739">
        <f t="shared" si="31"/>
        <v>0</v>
      </c>
      <c r="I164" s="739">
        <f t="shared" si="31"/>
        <v>0</v>
      </c>
      <c r="J164" s="739">
        <f t="shared" si="31"/>
        <v>0</v>
      </c>
      <c r="K164" s="739">
        <f t="shared" si="31"/>
        <v>0</v>
      </c>
      <c r="L164" s="739">
        <f t="shared" si="31"/>
        <v>0</v>
      </c>
      <c r="M164" s="739">
        <f t="shared" si="31"/>
        <v>0</v>
      </c>
      <c r="O164" s="353"/>
    </row>
    <row r="165" spans="1:15" outlineLevel="1">
      <c r="A165" s="509">
        <f>ROW()</f>
        <v>165</v>
      </c>
      <c r="B165" s="200" t="s">
        <v>493</v>
      </c>
      <c r="C165" s="159" t="s">
        <v>457</v>
      </c>
      <c r="D165" s="159" t="s">
        <v>488</v>
      </c>
      <c r="E165" s="161">
        <v>0</v>
      </c>
      <c r="F165" s="201" t="s">
        <v>489</v>
      </c>
      <c r="G165" s="739">
        <f t="shared" si="31"/>
        <v>0</v>
      </c>
      <c r="H165" s="739">
        <f t="shared" si="31"/>
        <v>0</v>
      </c>
      <c r="I165" s="739">
        <f t="shared" si="31"/>
        <v>0</v>
      </c>
      <c r="J165" s="739">
        <f t="shared" si="31"/>
        <v>0</v>
      </c>
      <c r="K165" s="739">
        <f t="shared" si="31"/>
        <v>0</v>
      </c>
      <c r="L165" s="739">
        <f t="shared" si="31"/>
        <v>0</v>
      </c>
      <c r="M165" s="739">
        <f t="shared" si="31"/>
        <v>0</v>
      </c>
      <c r="O165" s="353"/>
    </row>
    <row r="166" spans="1:15" outlineLevel="1">
      <c r="A166" s="509">
        <f>ROW()</f>
        <v>166</v>
      </c>
      <c r="B166" s="200" t="s">
        <v>493</v>
      </c>
      <c r="C166" s="159" t="s">
        <v>457</v>
      </c>
      <c r="D166" s="159" t="s">
        <v>488</v>
      </c>
      <c r="E166" s="161">
        <v>0</v>
      </c>
      <c r="F166" s="201" t="s">
        <v>489</v>
      </c>
      <c r="G166" s="739">
        <f t="shared" si="31"/>
        <v>0</v>
      </c>
      <c r="H166" s="739">
        <f t="shared" si="31"/>
        <v>0</v>
      </c>
      <c r="I166" s="739">
        <f t="shared" si="31"/>
        <v>0</v>
      </c>
      <c r="J166" s="739">
        <f t="shared" si="31"/>
        <v>0</v>
      </c>
      <c r="K166" s="739">
        <f t="shared" si="31"/>
        <v>0</v>
      </c>
      <c r="L166" s="739">
        <f t="shared" si="31"/>
        <v>0</v>
      </c>
      <c r="M166" s="739">
        <f t="shared" si="31"/>
        <v>0</v>
      </c>
      <c r="O166" s="353"/>
    </row>
    <row r="167" spans="1:15" outlineLevel="1">
      <c r="A167" s="509">
        <f>ROW()</f>
        <v>167</v>
      </c>
      <c r="B167" s="200"/>
      <c r="C167" s="159" t="s">
        <v>457</v>
      </c>
      <c r="D167" s="159" t="s">
        <v>488</v>
      </c>
      <c r="E167" s="161">
        <v>0</v>
      </c>
      <c r="F167" s="201"/>
      <c r="G167" s="739">
        <f t="shared" si="31"/>
        <v>0</v>
      </c>
      <c r="H167" s="739">
        <f t="shared" si="31"/>
        <v>0</v>
      </c>
      <c r="I167" s="739">
        <f t="shared" si="31"/>
        <v>0</v>
      </c>
      <c r="J167" s="739">
        <f t="shared" si="31"/>
        <v>0</v>
      </c>
      <c r="K167" s="739">
        <f t="shared" si="31"/>
        <v>0</v>
      </c>
      <c r="L167" s="739">
        <f t="shared" si="31"/>
        <v>0</v>
      </c>
      <c r="M167" s="739">
        <f t="shared" si="31"/>
        <v>0</v>
      </c>
      <c r="O167" s="353"/>
    </row>
    <row r="168" spans="1:15" outlineLevel="1">
      <c r="A168" s="509">
        <f>ROW()</f>
        <v>168</v>
      </c>
      <c r="B168" s="1651"/>
      <c r="C168" s="1652"/>
      <c r="D168" s="1654"/>
      <c r="E168" s="1655"/>
      <c r="F168" s="1656"/>
      <c r="G168" s="148"/>
      <c r="H168" s="148"/>
      <c r="I168" s="148"/>
      <c r="J168" s="148"/>
      <c r="K168" s="148"/>
      <c r="L168" s="148"/>
      <c r="M168" s="148"/>
      <c r="O168" s="353"/>
    </row>
    <row r="169" spans="1:15" outlineLevel="1">
      <c r="A169" s="509">
        <f>ROW()</f>
        <v>169</v>
      </c>
      <c r="B169" s="200" t="s">
        <v>494</v>
      </c>
      <c r="C169" s="159" t="s">
        <v>457</v>
      </c>
      <c r="D169" s="159" t="s">
        <v>488</v>
      </c>
      <c r="E169" s="333">
        <v>45000</v>
      </c>
      <c r="F169" s="201" t="s">
        <v>489</v>
      </c>
      <c r="G169" s="739">
        <f t="shared" ref="G169:M173" si="32">IF($D169&lt;=G$10,1,0)</f>
        <v>0</v>
      </c>
      <c r="H169" s="739">
        <v>3</v>
      </c>
      <c r="I169" s="739">
        <v>3</v>
      </c>
      <c r="J169" s="739">
        <v>3</v>
      </c>
      <c r="K169" s="739">
        <v>4</v>
      </c>
      <c r="L169" s="739">
        <v>4</v>
      </c>
      <c r="M169" s="739">
        <v>4</v>
      </c>
      <c r="O169" s="353"/>
    </row>
    <row r="170" spans="1:15" outlineLevel="1">
      <c r="A170" s="509">
        <f>ROW()</f>
        <v>170</v>
      </c>
      <c r="B170" s="200" t="s">
        <v>494</v>
      </c>
      <c r="C170" s="159" t="s">
        <v>457</v>
      </c>
      <c r="D170" s="159" t="s">
        <v>488</v>
      </c>
      <c r="E170" s="161">
        <v>0</v>
      </c>
      <c r="F170" s="201" t="s">
        <v>489</v>
      </c>
      <c r="G170" s="739">
        <f t="shared" si="32"/>
        <v>0</v>
      </c>
      <c r="H170" s="739">
        <f t="shared" si="32"/>
        <v>0</v>
      </c>
      <c r="I170" s="739">
        <f t="shared" si="32"/>
        <v>0</v>
      </c>
      <c r="J170" s="739">
        <f t="shared" si="32"/>
        <v>0</v>
      </c>
      <c r="K170" s="739">
        <f t="shared" si="32"/>
        <v>0</v>
      </c>
      <c r="L170" s="739">
        <f t="shared" si="32"/>
        <v>0</v>
      </c>
      <c r="M170" s="739">
        <f t="shared" si="32"/>
        <v>0</v>
      </c>
      <c r="O170" s="353"/>
    </row>
    <row r="171" spans="1:15" outlineLevel="1">
      <c r="A171" s="509">
        <f>ROW()</f>
        <v>171</v>
      </c>
      <c r="B171" s="200" t="s">
        <v>494</v>
      </c>
      <c r="C171" s="159" t="s">
        <v>457</v>
      </c>
      <c r="D171" s="159" t="s">
        <v>488</v>
      </c>
      <c r="E171" s="161">
        <v>0</v>
      </c>
      <c r="F171" s="201" t="s">
        <v>489</v>
      </c>
      <c r="G171" s="739">
        <f t="shared" si="32"/>
        <v>0</v>
      </c>
      <c r="H171" s="739">
        <f t="shared" si="32"/>
        <v>0</v>
      </c>
      <c r="I171" s="739">
        <f t="shared" si="32"/>
        <v>0</v>
      </c>
      <c r="J171" s="739">
        <f t="shared" si="32"/>
        <v>0</v>
      </c>
      <c r="K171" s="739">
        <f t="shared" si="32"/>
        <v>0</v>
      </c>
      <c r="L171" s="739">
        <f t="shared" si="32"/>
        <v>0</v>
      </c>
      <c r="M171" s="739">
        <f t="shared" si="32"/>
        <v>0</v>
      </c>
      <c r="O171" s="353"/>
    </row>
    <row r="172" spans="1:15" outlineLevel="1">
      <c r="A172" s="509">
        <f>ROW()</f>
        <v>172</v>
      </c>
      <c r="B172" s="200" t="s">
        <v>494</v>
      </c>
      <c r="C172" s="159" t="s">
        <v>457</v>
      </c>
      <c r="D172" s="159" t="s">
        <v>488</v>
      </c>
      <c r="E172" s="161">
        <v>0</v>
      </c>
      <c r="F172" s="201" t="s">
        <v>489</v>
      </c>
      <c r="G172" s="739">
        <f t="shared" si="32"/>
        <v>0</v>
      </c>
      <c r="H172" s="739">
        <f t="shared" si="32"/>
        <v>0</v>
      </c>
      <c r="I172" s="739">
        <f t="shared" si="32"/>
        <v>0</v>
      </c>
      <c r="J172" s="739">
        <f t="shared" si="32"/>
        <v>0</v>
      </c>
      <c r="K172" s="739">
        <f t="shared" si="32"/>
        <v>0</v>
      </c>
      <c r="L172" s="739">
        <f t="shared" si="32"/>
        <v>0</v>
      </c>
      <c r="M172" s="739">
        <f t="shared" si="32"/>
        <v>0</v>
      </c>
      <c r="O172" s="353"/>
    </row>
    <row r="173" spans="1:15" outlineLevel="1">
      <c r="A173" s="509">
        <f>ROW()</f>
        <v>173</v>
      </c>
      <c r="B173" s="200"/>
      <c r="C173" s="159" t="s">
        <v>457</v>
      </c>
      <c r="D173" s="159" t="s">
        <v>488</v>
      </c>
      <c r="E173" s="161">
        <v>0</v>
      </c>
      <c r="F173" s="201"/>
      <c r="G173" s="739">
        <f t="shared" si="32"/>
        <v>0</v>
      </c>
      <c r="H173" s="739">
        <f t="shared" si="32"/>
        <v>0</v>
      </c>
      <c r="I173" s="739">
        <f t="shared" si="32"/>
        <v>0</v>
      </c>
      <c r="J173" s="739">
        <f t="shared" si="32"/>
        <v>0</v>
      </c>
      <c r="K173" s="739">
        <f t="shared" si="32"/>
        <v>0</v>
      </c>
      <c r="L173" s="739">
        <f t="shared" si="32"/>
        <v>0</v>
      </c>
      <c r="M173" s="739">
        <f t="shared" si="32"/>
        <v>0</v>
      </c>
      <c r="O173" s="353"/>
    </row>
    <row r="174" spans="1:15" outlineLevel="1">
      <c r="A174" s="509">
        <f>ROW()</f>
        <v>174</v>
      </c>
      <c r="B174" s="1651"/>
      <c r="C174" s="1652"/>
      <c r="D174" s="1652"/>
      <c r="E174" s="1655"/>
      <c r="F174" s="1656"/>
      <c r="G174" s="148"/>
      <c r="H174" s="148"/>
      <c r="I174" s="148"/>
      <c r="J174" s="148"/>
      <c r="K174" s="148"/>
      <c r="L174" s="148"/>
      <c r="M174" s="148"/>
      <c r="O174" s="353"/>
    </row>
    <row r="175" spans="1:15" outlineLevel="1">
      <c r="A175" s="509">
        <f>ROW()</f>
        <v>175</v>
      </c>
      <c r="B175" s="200" t="s">
        <v>495</v>
      </c>
      <c r="C175" s="159" t="s">
        <v>457</v>
      </c>
      <c r="D175" s="159" t="s">
        <v>488</v>
      </c>
      <c r="E175" s="333">
        <v>45000</v>
      </c>
      <c r="F175" s="201" t="s">
        <v>489</v>
      </c>
      <c r="G175" s="739">
        <f t="shared" ref="G175:M179" si="33">IF($D175&lt;=G$10,1,0)</f>
        <v>0</v>
      </c>
      <c r="H175" s="739">
        <v>3</v>
      </c>
      <c r="I175" s="739">
        <v>3</v>
      </c>
      <c r="J175" s="739">
        <v>3</v>
      </c>
      <c r="K175" s="739">
        <v>3</v>
      </c>
      <c r="L175" s="739">
        <v>4</v>
      </c>
      <c r="M175" s="739">
        <v>4</v>
      </c>
      <c r="O175" s="353"/>
    </row>
    <row r="176" spans="1:15" outlineLevel="1">
      <c r="A176" s="509">
        <f>ROW()</f>
        <v>176</v>
      </c>
      <c r="B176" s="200" t="s">
        <v>495</v>
      </c>
      <c r="C176" s="159" t="s">
        <v>457</v>
      </c>
      <c r="D176" s="159" t="s">
        <v>488</v>
      </c>
      <c r="E176" s="161">
        <v>0</v>
      </c>
      <c r="F176" s="201" t="s">
        <v>489</v>
      </c>
      <c r="G176" s="739">
        <f t="shared" si="33"/>
        <v>0</v>
      </c>
      <c r="H176" s="739">
        <f t="shared" si="33"/>
        <v>0</v>
      </c>
      <c r="I176" s="739">
        <f t="shared" si="33"/>
        <v>0</v>
      </c>
      <c r="J176" s="739">
        <f t="shared" si="33"/>
        <v>0</v>
      </c>
      <c r="K176" s="739">
        <f t="shared" si="33"/>
        <v>0</v>
      </c>
      <c r="L176" s="739">
        <f t="shared" si="33"/>
        <v>0</v>
      </c>
      <c r="M176" s="739">
        <f t="shared" si="33"/>
        <v>0</v>
      </c>
      <c r="O176" s="353"/>
    </row>
    <row r="177" spans="1:15" outlineLevel="1">
      <c r="A177" s="509">
        <f>ROW()</f>
        <v>177</v>
      </c>
      <c r="B177" s="200" t="s">
        <v>495</v>
      </c>
      <c r="C177" s="159" t="s">
        <v>457</v>
      </c>
      <c r="D177" s="159" t="s">
        <v>488</v>
      </c>
      <c r="E177" s="161">
        <v>0</v>
      </c>
      <c r="F177" s="201" t="s">
        <v>489</v>
      </c>
      <c r="G177" s="739">
        <f t="shared" si="33"/>
        <v>0</v>
      </c>
      <c r="H177" s="739">
        <f t="shared" si="33"/>
        <v>0</v>
      </c>
      <c r="I177" s="739">
        <f t="shared" si="33"/>
        <v>0</v>
      </c>
      <c r="J177" s="739">
        <f t="shared" si="33"/>
        <v>0</v>
      </c>
      <c r="K177" s="739">
        <f t="shared" si="33"/>
        <v>0</v>
      </c>
      <c r="L177" s="739">
        <f t="shared" si="33"/>
        <v>0</v>
      </c>
      <c r="M177" s="739">
        <f t="shared" si="33"/>
        <v>0</v>
      </c>
      <c r="O177" s="353"/>
    </row>
    <row r="178" spans="1:15" outlineLevel="1">
      <c r="A178" s="509">
        <f>ROW()</f>
        <v>178</v>
      </c>
      <c r="B178" s="200" t="s">
        <v>495</v>
      </c>
      <c r="C178" s="159" t="s">
        <v>457</v>
      </c>
      <c r="D178" s="159" t="s">
        <v>488</v>
      </c>
      <c r="E178" s="161">
        <v>0</v>
      </c>
      <c r="F178" s="201" t="s">
        <v>489</v>
      </c>
      <c r="G178" s="739">
        <f t="shared" si="33"/>
        <v>0</v>
      </c>
      <c r="H178" s="739">
        <f t="shared" si="33"/>
        <v>0</v>
      </c>
      <c r="I178" s="739">
        <f t="shared" si="33"/>
        <v>0</v>
      </c>
      <c r="J178" s="739">
        <f t="shared" si="33"/>
        <v>0</v>
      </c>
      <c r="K178" s="739">
        <f t="shared" si="33"/>
        <v>0</v>
      </c>
      <c r="L178" s="739">
        <f t="shared" si="33"/>
        <v>0</v>
      </c>
      <c r="M178" s="739">
        <f t="shared" si="33"/>
        <v>0</v>
      </c>
      <c r="O178" s="353"/>
    </row>
    <row r="179" spans="1:15" outlineLevel="1">
      <c r="A179" s="509">
        <f>ROW()</f>
        <v>179</v>
      </c>
      <c r="B179" s="200"/>
      <c r="C179" s="159" t="s">
        <v>457</v>
      </c>
      <c r="D179" s="159" t="s">
        <v>488</v>
      </c>
      <c r="E179" s="161">
        <v>0</v>
      </c>
      <c r="F179" s="201"/>
      <c r="G179" s="739">
        <f t="shared" si="33"/>
        <v>0</v>
      </c>
      <c r="H179" s="739">
        <f t="shared" si="33"/>
        <v>0</v>
      </c>
      <c r="I179" s="739">
        <f t="shared" si="33"/>
        <v>0</v>
      </c>
      <c r="J179" s="739">
        <f t="shared" si="33"/>
        <v>0</v>
      </c>
      <c r="K179" s="739">
        <f t="shared" si="33"/>
        <v>0</v>
      </c>
      <c r="L179" s="739">
        <f t="shared" si="33"/>
        <v>0</v>
      </c>
      <c r="M179" s="739">
        <f t="shared" si="33"/>
        <v>0</v>
      </c>
      <c r="O179" s="353"/>
    </row>
    <row r="180" spans="1:15" outlineLevel="1">
      <c r="A180" s="509">
        <f>ROW()</f>
        <v>180</v>
      </c>
      <c r="B180" s="1651"/>
      <c r="C180" s="1656"/>
      <c r="D180" s="1654"/>
      <c r="E180" s="1655"/>
      <c r="F180" s="1656"/>
      <c r="G180" s="148"/>
      <c r="H180" s="148"/>
      <c r="I180" s="148"/>
      <c r="J180" s="148"/>
      <c r="K180" s="148"/>
      <c r="L180" s="148"/>
      <c r="M180" s="148"/>
      <c r="O180" s="353"/>
    </row>
    <row r="181" spans="1:15" outlineLevel="1">
      <c r="A181" s="509">
        <f>ROW()</f>
        <v>181</v>
      </c>
      <c r="B181" s="200" t="s">
        <v>496</v>
      </c>
      <c r="C181" s="159" t="s">
        <v>457</v>
      </c>
      <c r="D181" s="159" t="s">
        <v>488</v>
      </c>
      <c r="E181" s="333">
        <v>45000</v>
      </c>
      <c r="F181" s="201" t="s">
        <v>489</v>
      </c>
      <c r="G181" s="739">
        <f t="shared" ref="G181:M185" si="34">IF($D181&lt;=G$10,1,0)</f>
        <v>0</v>
      </c>
      <c r="H181" s="739"/>
      <c r="I181" s="739">
        <v>3</v>
      </c>
      <c r="J181" s="739">
        <v>3</v>
      </c>
      <c r="K181" s="739">
        <v>3</v>
      </c>
      <c r="L181" s="739">
        <v>3</v>
      </c>
      <c r="M181" s="739">
        <v>4</v>
      </c>
      <c r="O181" s="353"/>
    </row>
    <row r="182" spans="1:15" outlineLevel="1">
      <c r="A182" s="509">
        <f>ROW()</f>
        <v>182</v>
      </c>
      <c r="B182" s="200" t="s">
        <v>496</v>
      </c>
      <c r="C182" s="159" t="s">
        <v>457</v>
      </c>
      <c r="D182" s="159" t="s">
        <v>488</v>
      </c>
      <c r="E182" s="161">
        <v>0</v>
      </c>
      <c r="F182" s="201" t="s">
        <v>489</v>
      </c>
      <c r="G182" s="739">
        <f t="shared" si="34"/>
        <v>0</v>
      </c>
      <c r="H182" s="739">
        <f t="shared" si="34"/>
        <v>0</v>
      </c>
      <c r="I182" s="739">
        <f t="shared" si="34"/>
        <v>0</v>
      </c>
      <c r="J182" s="739">
        <f t="shared" si="34"/>
        <v>0</v>
      </c>
      <c r="K182" s="739">
        <f t="shared" si="34"/>
        <v>0</v>
      </c>
      <c r="L182" s="739">
        <f t="shared" si="34"/>
        <v>0</v>
      </c>
      <c r="M182" s="739">
        <f t="shared" si="34"/>
        <v>0</v>
      </c>
      <c r="O182" s="353"/>
    </row>
    <row r="183" spans="1:15" outlineLevel="1">
      <c r="A183" s="509">
        <f>ROW()</f>
        <v>183</v>
      </c>
      <c r="B183" s="200" t="s">
        <v>496</v>
      </c>
      <c r="C183" s="159" t="s">
        <v>457</v>
      </c>
      <c r="D183" s="159" t="s">
        <v>488</v>
      </c>
      <c r="E183" s="161">
        <v>0</v>
      </c>
      <c r="F183" s="201" t="s">
        <v>489</v>
      </c>
      <c r="G183" s="739">
        <f t="shared" si="34"/>
        <v>0</v>
      </c>
      <c r="H183" s="739">
        <f t="shared" si="34"/>
        <v>0</v>
      </c>
      <c r="I183" s="739">
        <f t="shared" si="34"/>
        <v>0</v>
      </c>
      <c r="J183" s="739">
        <f t="shared" si="34"/>
        <v>0</v>
      </c>
      <c r="K183" s="739">
        <f t="shared" si="34"/>
        <v>0</v>
      </c>
      <c r="L183" s="739">
        <f t="shared" si="34"/>
        <v>0</v>
      </c>
      <c r="M183" s="739">
        <f t="shared" si="34"/>
        <v>0</v>
      </c>
      <c r="O183" s="353"/>
    </row>
    <row r="184" spans="1:15" outlineLevel="1">
      <c r="A184" s="509">
        <f>ROW()</f>
        <v>184</v>
      </c>
      <c r="B184" s="200" t="s">
        <v>496</v>
      </c>
      <c r="C184" s="159" t="s">
        <v>457</v>
      </c>
      <c r="D184" s="159" t="s">
        <v>488</v>
      </c>
      <c r="E184" s="161">
        <v>0</v>
      </c>
      <c r="F184" s="201" t="s">
        <v>489</v>
      </c>
      <c r="G184" s="739">
        <f t="shared" si="34"/>
        <v>0</v>
      </c>
      <c r="H184" s="739">
        <f t="shared" si="34"/>
        <v>0</v>
      </c>
      <c r="I184" s="739">
        <f t="shared" si="34"/>
        <v>0</v>
      </c>
      <c r="J184" s="739">
        <f t="shared" si="34"/>
        <v>0</v>
      </c>
      <c r="K184" s="739">
        <f t="shared" si="34"/>
        <v>0</v>
      </c>
      <c r="L184" s="739">
        <f t="shared" si="34"/>
        <v>0</v>
      </c>
      <c r="M184" s="739">
        <f t="shared" si="34"/>
        <v>0</v>
      </c>
      <c r="O184" s="353"/>
    </row>
    <row r="185" spans="1:15" outlineLevel="1">
      <c r="A185" s="509">
        <f>ROW()</f>
        <v>185</v>
      </c>
      <c r="B185" s="200"/>
      <c r="C185" s="159" t="s">
        <v>457</v>
      </c>
      <c r="D185" s="159" t="s">
        <v>488</v>
      </c>
      <c r="E185" s="161">
        <v>0</v>
      </c>
      <c r="F185" s="201" t="s">
        <v>489</v>
      </c>
      <c r="G185" s="739">
        <f t="shared" si="34"/>
        <v>0</v>
      </c>
      <c r="H185" s="739">
        <f t="shared" si="34"/>
        <v>0</v>
      </c>
      <c r="I185" s="739">
        <f t="shared" si="34"/>
        <v>0</v>
      </c>
      <c r="J185" s="739">
        <f t="shared" si="34"/>
        <v>0</v>
      </c>
      <c r="K185" s="739">
        <f t="shared" si="34"/>
        <v>0</v>
      </c>
      <c r="L185" s="739">
        <f t="shared" si="34"/>
        <v>0</v>
      </c>
      <c r="M185" s="739">
        <f t="shared" si="34"/>
        <v>0</v>
      </c>
      <c r="O185" s="353"/>
    </row>
    <row r="186" spans="1:15" outlineLevel="1">
      <c r="A186" s="509">
        <f>ROW()</f>
        <v>186</v>
      </c>
      <c r="B186" s="1651"/>
      <c r="C186" s="1652"/>
      <c r="D186" s="1652"/>
      <c r="E186" s="1655"/>
      <c r="F186" s="1656"/>
      <c r="G186" s="148"/>
      <c r="H186" s="148"/>
      <c r="I186" s="148"/>
      <c r="J186" s="148"/>
      <c r="K186" s="148"/>
      <c r="L186" s="148"/>
      <c r="M186" s="148"/>
      <c r="O186" s="353"/>
    </row>
    <row r="187" spans="1:15" outlineLevel="1">
      <c r="A187" s="509">
        <f>ROW()</f>
        <v>187</v>
      </c>
      <c r="B187" s="200" t="s">
        <v>497</v>
      </c>
      <c r="C187" s="159" t="s">
        <v>457</v>
      </c>
      <c r="D187" s="159" t="s">
        <v>488</v>
      </c>
      <c r="E187" s="333">
        <v>45000</v>
      </c>
      <c r="F187" s="201" t="s">
        <v>489</v>
      </c>
      <c r="G187" s="739">
        <f t="shared" ref="G187:M192" si="35">IF($D187&lt;=G$10,1,0)</f>
        <v>0</v>
      </c>
      <c r="H187" s="739">
        <f t="shared" si="35"/>
        <v>0</v>
      </c>
      <c r="I187" s="739">
        <f t="shared" si="35"/>
        <v>0</v>
      </c>
      <c r="J187" s="739">
        <v>3</v>
      </c>
      <c r="K187" s="739">
        <v>3</v>
      </c>
      <c r="L187" s="739">
        <v>3</v>
      </c>
      <c r="M187" s="739">
        <v>3</v>
      </c>
      <c r="O187" s="353"/>
    </row>
    <row r="188" spans="1:15" outlineLevel="1">
      <c r="A188" s="509">
        <f>ROW()</f>
        <v>188</v>
      </c>
      <c r="B188" s="200" t="s">
        <v>497</v>
      </c>
      <c r="C188" s="159" t="s">
        <v>457</v>
      </c>
      <c r="D188" s="159" t="s">
        <v>488</v>
      </c>
      <c r="E188" s="161">
        <v>0</v>
      </c>
      <c r="F188" s="201" t="s">
        <v>489</v>
      </c>
      <c r="G188" s="739">
        <f t="shared" si="35"/>
        <v>0</v>
      </c>
      <c r="H188" s="739">
        <f t="shared" si="35"/>
        <v>0</v>
      </c>
      <c r="I188" s="739">
        <f t="shared" si="35"/>
        <v>0</v>
      </c>
      <c r="J188" s="739">
        <f t="shared" si="35"/>
        <v>0</v>
      </c>
      <c r="K188" s="739">
        <f t="shared" si="35"/>
        <v>0</v>
      </c>
      <c r="L188" s="739">
        <f t="shared" si="35"/>
        <v>0</v>
      </c>
      <c r="M188" s="739">
        <f t="shared" si="35"/>
        <v>0</v>
      </c>
      <c r="O188" s="353"/>
    </row>
    <row r="189" spans="1:15" outlineLevel="1">
      <c r="A189" s="509">
        <f>ROW()</f>
        <v>189</v>
      </c>
      <c r="B189" s="200" t="s">
        <v>497</v>
      </c>
      <c r="C189" s="159" t="s">
        <v>457</v>
      </c>
      <c r="D189" s="159" t="s">
        <v>488</v>
      </c>
      <c r="E189" s="161">
        <v>0</v>
      </c>
      <c r="F189" s="201" t="s">
        <v>489</v>
      </c>
      <c r="G189" s="739">
        <f t="shared" si="35"/>
        <v>0</v>
      </c>
      <c r="H189" s="739">
        <f t="shared" si="35"/>
        <v>0</v>
      </c>
      <c r="I189" s="739">
        <f t="shared" si="35"/>
        <v>0</v>
      </c>
      <c r="J189" s="739">
        <f t="shared" si="35"/>
        <v>0</v>
      </c>
      <c r="K189" s="739">
        <f t="shared" si="35"/>
        <v>0</v>
      </c>
      <c r="L189" s="739">
        <f t="shared" si="35"/>
        <v>0</v>
      </c>
      <c r="M189" s="739">
        <f t="shared" si="35"/>
        <v>0</v>
      </c>
      <c r="O189" s="353"/>
    </row>
    <row r="190" spans="1:15" outlineLevel="1">
      <c r="A190" s="509">
        <f>ROW()</f>
        <v>190</v>
      </c>
      <c r="B190" s="200" t="s">
        <v>497</v>
      </c>
      <c r="C190" s="159" t="s">
        <v>457</v>
      </c>
      <c r="D190" s="159" t="s">
        <v>488</v>
      </c>
      <c r="E190" s="161">
        <v>0</v>
      </c>
      <c r="F190" s="201" t="s">
        <v>489</v>
      </c>
      <c r="G190" s="739">
        <f t="shared" si="35"/>
        <v>0</v>
      </c>
      <c r="H190" s="739">
        <f t="shared" si="35"/>
        <v>0</v>
      </c>
      <c r="I190" s="739">
        <f t="shared" si="35"/>
        <v>0</v>
      </c>
      <c r="J190" s="739">
        <f t="shared" si="35"/>
        <v>0</v>
      </c>
      <c r="K190" s="739">
        <f t="shared" si="35"/>
        <v>0</v>
      </c>
      <c r="L190" s="739">
        <f t="shared" si="35"/>
        <v>0</v>
      </c>
      <c r="M190" s="739">
        <f t="shared" si="35"/>
        <v>0</v>
      </c>
      <c r="O190" s="353"/>
    </row>
    <row r="191" spans="1:15" outlineLevel="1">
      <c r="A191" s="509">
        <f>ROW()</f>
        <v>191</v>
      </c>
      <c r="B191" s="200"/>
      <c r="C191" s="159" t="s">
        <v>457</v>
      </c>
      <c r="D191" s="159" t="s">
        <v>488</v>
      </c>
      <c r="E191" s="161">
        <v>0</v>
      </c>
      <c r="F191" s="201" t="s">
        <v>489</v>
      </c>
      <c r="G191" s="739">
        <f t="shared" si="35"/>
        <v>0</v>
      </c>
      <c r="H191" s="739">
        <f t="shared" si="35"/>
        <v>0</v>
      </c>
      <c r="I191" s="739">
        <f t="shared" si="35"/>
        <v>0</v>
      </c>
      <c r="J191" s="739">
        <f t="shared" si="35"/>
        <v>0</v>
      </c>
      <c r="K191" s="739">
        <f t="shared" si="35"/>
        <v>0</v>
      </c>
      <c r="L191" s="739">
        <f t="shared" si="35"/>
        <v>0</v>
      </c>
      <c r="M191" s="739">
        <f t="shared" si="35"/>
        <v>0</v>
      </c>
      <c r="O191" s="353"/>
    </row>
    <row r="192" spans="1:15" outlineLevel="1">
      <c r="A192" s="509">
        <f>ROW()</f>
        <v>192</v>
      </c>
      <c r="B192" s="200"/>
      <c r="C192" s="159" t="s">
        <v>457</v>
      </c>
      <c r="D192" s="159" t="s">
        <v>488</v>
      </c>
      <c r="E192" s="201"/>
      <c r="F192" s="201" t="s">
        <v>489</v>
      </c>
      <c r="G192" s="739">
        <f t="shared" si="35"/>
        <v>0</v>
      </c>
      <c r="H192" s="739">
        <f t="shared" si="35"/>
        <v>0</v>
      </c>
      <c r="I192" s="739">
        <f t="shared" si="35"/>
        <v>0</v>
      </c>
      <c r="J192" s="739">
        <f t="shared" si="35"/>
        <v>0</v>
      </c>
      <c r="K192" s="739">
        <f t="shared" si="35"/>
        <v>0</v>
      </c>
      <c r="L192" s="739">
        <f t="shared" si="35"/>
        <v>0</v>
      </c>
      <c r="M192" s="739">
        <f t="shared" si="35"/>
        <v>0</v>
      </c>
      <c r="O192" s="353"/>
    </row>
    <row r="193" spans="1:15" outlineLevel="1">
      <c r="A193" s="509">
        <f>ROW()</f>
        <v>193</v>
      </c>
      <c r="B193" s="1627"/>
      <c r="C193" s="1657"/>
      <c r="D193" s="1657"/>
      <c r="E193" s="1658"/>
      <c r="F193" s="1656"/>
      <c r="G193" s="148"/>
      <c r="H193" s="148"/>
      <c r="I193" s="148"/>
      <c r="J193" s="148"/>
      <c r="K193" s="148"/>
      <c r="L193" s="148"/>
      <c r="M193" s="148"/>
      <c r="O193" s="353"/>
    </row>
    <row r="194" spans="1:15" outlineLevel="1">
      <c r="A194" s="509">
        <f>ROW()</f>
        <v>194</v>
      </c>
      <c r="B194" s="200" t="s">
        <v>498</v>
      </c>
      <c r="C194" s="159" t="s">
        <v>457</v>
      </c>
      <c r="D194" s="159" t="s">
        <v>488</v>
      </c>
      <c r="E194" s="333">
        <v>45000</v>
      </c>
      <c r="F194" s="201" t="s">
        <v>489</v>
      </c>
      <c r="G194" s="739">
        <f t="shared" ref="G194:M198" si="36">IF($D194&lt;=G$10,1,0)</f>
        <v>0</v>
      </c>
      <c r="H194" s="739">
        <f t="shared" si="36"/>
        <v>0</v>
      </c>
      <c r="I194" s="739">
        <f t="shared" si="36"/>
        <v>0</v>
      </c>
      <c r="J194" s="739">
        <f t="shared" si="36"/>
        <v>0</v>
      </c>
      <c r="K194" s="739">
        <v>3</v>
      </c>
      <c r="L194" s="739">
        <v>3</v>
      </c>
      <c r="M194" s="739">
        <v>3</v>
      </c>
      <c r="O194" s="353"/>
    </row>
    <row r="195" spans="1:15" outlineLevel="1">
      <c r="A195" s="509">
        <f>ROW()</f>
        <v>195</v>
      </c>
      <c r="B195" s="200" t="s">
        <v>498</v>
      </c>
      <c r="C195" s="159" t="s">
        <v>457</v>
      </c>
      <c r="D195" s="159" t="s">
        <v>488</v>
      </c>
      <c r="E195" s="161">
        <v>0</v>
      </c>
      <c r="F195" s="201" t="s">
        <v>489</v>
      </c>
      <c r="G195" s="739">
        <f t="shared" si="36"/>
        <v>0</v>
      </c>
      <c r="H195" s="739">
        <f t="shared" si="36"/>
        <v>0</v>
      </c>
      <c r="I195" s="739">
        <f t="shared" si="36"/>
        <v>0</v>
      </c>
      <c r="J195" s="739">
        <f t="shared" si="36"/>
        <v>0</v>
      </c>
      <c r="K195" s="739">
        <f t="shared" si="36"/>
        <v>0</v>
      </c>
      <c r="L195" s="739">
        <f t="shared" si="36"/>
        <v>0</v>
      </c>
      <c r="M195" s="739">
        <f t="shared" si="36"/>
        <v>0</v>
      </c>
      <c r="O195" s="353"/>
    </row>
    <row r="196" spans="1:15" outlineLevel="1">
      <c r="A196" s="509">
        <f>ROW()</f>
        <v>196</v>
      </c>
      <c r="B196" s="200" t="s">
        <v>498</v>
      </c>
      <c r="C196" s="159" t="s">
        <v>457</v>
      </c>
      <c r="D196" s="159" t="s">
        <v>488</v>
      </c>
      <c r="E196" s="161">
        <v>0</v>
      </c>
      <c r="F196" s="201" t="s">
        <v>489</v>
      </c>
      <c r="G196" s="739">
        <f t="shared" si="36"/>
        <v>0</v>
      </c>
      <c r="H196" s="739">
        <f t="shared" si="36"/>
        <v>0</v>
      </c>
      <c r="I196" s="739">
        <f t="shared" si="36"/>
        <v>0</v>
      </c>
      <c r="J196" s="739">
        <f t="shared" si="36"/>
        <v>0</v>
      </c>
      <c r="K196" s="739">
        <f t="shared" si="36"/>
        <v>0</v>
      </c>
      <c r="L196" s="739">
        <f t="shared" si="36"/>
        <v>0</v>
      </c>
      <c r="M196" s="739">
        <f t="shared" si="36"/>
        <v>0</v>
      </c>
      <c r="O196" s="353"/>
    </row>
    <row r="197" spans="1:15" outlineLevel="1">
      <c r="A197" s="509">
        <f>ROW()</f>
        <v>197</v>
      </c>
      <c r="B197" s="200" t="s">
        <v>498</v>
      </c>
      <c r="C197" s="159" t="s">
        <v>457</v>
      </c>
      <c r="D197" s="159" t="s">
        <v>488</v>
      </c>
      <c r="E197" s="161">
        <v>0</v>
      </c>
      <c r="F197" s="201" t="s">
        <v>489</v>
      </c>
      <c r="G197" s="739">
        <f t="shared" si="36"/>
        <v>0</v>
      </c>
      <c r="H197" s="739">
        <f t="shared" si="36"/>
        <v>0</v>
      </c>
      <c r="I197" s="739">
        <f t="shared" si="36"/>
        <v>0</v>
      </c>
      <c r="J197" s="739">
        <f t="shared" si="36"/>
        <v>0</v>
      </c>
      <c r="K197" s="739">
        <f t="shared" si="36"/>
        <v>0</v>
      </c>
      <c r="L197" s="739">
        <f t="shared" si="36"/>
        <v>0</v>
      </c>
      <c r="M197" s="739">
        <f t="shared" si="36"/>
        <v>0</v>
      </c>
      <c r="O197" s="353"/>
    </row>
    <row r="198" spans="1:15" outlineLevel="1">
      <c r="A198" s="509">
        <f>ROW()</f>
        <v>198</v>
      </c>
      <c r="B198" s="200"/>
      <c r="C198" s="159" t="s">
        <v>457</v>
      </c>
      <c r="D198" s="159" t="s">
        <v>488</v>
      </c>
      <c r="E198" s="161">
        <v>0</v>
      </c>
      <c r="F198" s="201" t="s">
        <v>489</v>
      </c>
      <c r="G198" s="739">
        <f t="shared" si="36"/>
        <v>0</v>
      </c>
      <c r="H198" s="739">
        <f t="shared" si="36"/>
        <v>0</v>
      </c>
      <c r="I198" s="739">
        <f t="shared" si="36"/>
        <v>0</v>
      </c>
      <c r="J198" s="739">
        <f t="shared" si="36"/>
        <v>0</v>
      </c>
      <c r="K198" s="739">
        <f t="shared" si="36"/>
        <v>0</v>
      </c>
      <c r="L198" s="739">
        <f t="shared" si="36"/>
        <v>0</v>
      </c>
      <c r="M198" s="739">
        <f t="shared" si="36"/>
        <v>0</v>
      </c>
      <c r="O198" s="353"/>
    </row>
    <row r="199" spans="1:15" outlineLevel="1">
      <c r="A199" s="509">
        <f>ROW()</f>
        <v>199</v>
      </c>
      <c r="B199" s="317"/>
      <c r="C199" s="1654"/>
      <c r="D199" s="1654"/>
      <c r="E199" s="1655"/>
      <c r="F199" s="1656"/>
      <c r="G199" s="148"/>
      <c r="H199" s="148"/>
      <c r="I199" s="148"/>
      <c r="J199" s="148"/>
      <c r="K199" s="148"/>
      <c r="L199" s="148"/>
      <c r="M199" s="148"/>
      <c r="O199" s="353"/>
    </row>
    <row r="200" spans="1:15" outlineLevel="1">
      <c r="A200" s="509">
        <f>ROW()</f>
        <v>200</v>
      </c>
      <c r="B200" s="200" t="s">
        <v>499</v>
      </c>
      <c r="C200" s="159" t="s">
        <v>457</v>
      </c>
      <c r="D200" s="159" t="s">
        <v>488</v>
      </c>
      <c r="E200" s="333">
        <v>45000</v>
      </c>
      <c r="F200" s="201" t="s">
        <v>489</v>
      </c>
      <c r="G200" s="739">
        <f t="shared" ref="G200:M204" si="37">IF($D200&lt;=G$10,1,0)</f>
        <v>0</v>
      </c>
      <c r="H200" s="739">
        <f>ROUND(' Enrol &amp; Rev'!G35/250,0)</f>
        <v>2</v>
      </c>
      <c r="I200" s="739">
        <f>ROUND(' Enrol &amp; Rev'!H35/250,0)</f>
        <v>3</v>
      </c>
      <c r="J200" s="739">
        <f>ROUND(' Enrol &amp; Rev'!I35/250,0)</f>
        <v>3</v>
      </c>
      <c r="K200" s="739">
        <f>ROUND(' Enrol &amp; Rev'!J35/250,0)</f>
        <v>3</v>
      </c>
      <c r="L200" s="739">
        <f>ROUND(' Enrol &amp; Rev'!K35/250,0)</f>
        <v>4</v>
      </c>
      <c r="M200" s="739">
        <f>ROUND(' Enrol &amp; Rev'!L35/250,0)</f>
        <v>4</v>
      </c>
      <c r="O200" s="353"/>
    </row>
    <row r="201" spans="1:15" outlineLevel="1">
      <c r="A201" s="509">
        <f>ROW()</f>
        <v>201</v>
      </c>
      <c r="B201" s="200" t="s">
        <v>499</v>
      </c>
      <c r="C201" s="159" t="s">
        <v>457</v>
      </c>
      <c r="D201" s="159" t="s">
        <v>488</v>
      </c>
      <c r="E201" s="161">
        <v>0</v>
      </c>
      <c r="F201" s="201" t="s">
        <v>489</v>
      </c>
      <c r="G201" s="739">
        <f t="shared" si="37"/>
        <v>0</v>
      </c>
      <c r="H201" s="739">
        <f t="shared" si="37"/>
        <v>0</v>
      </c>
      <c r="I201" s="739">
        <f t="shared" si="37"/>
        <v>0</v>
      </c>
      <c r="J201" s="739">
        <f t="shared" si="37"/>
        <v>0</v>
      </c>
      <c r="K201" s="739">
        <f t="shared" si="37"/>
        <v>0</v>
      </c>
      <c r="L201" s="739">
        <f t="shared" si="37"/>
        <v>0</v>
      </c>
      <c r="M201" s="739">
        <f t="shared" si="37"/>
        <v>0</v>
      </c>
      <c r="O201" s="353"/>
    </row>
    <row r="202" spans="1:15" outlineLevel="1">
      <c r="A202" s="509">
        <f>ROW()</f>
        <v>202</v>
      </c>
      <c r="B202" s="200" t="s">
        <v>487</v>
      </c>
      <c r="C202" s="159" t="s">
        <v>457</v>
      </c>
      <c r="D202" s="159" t="s">
        <v>488</v>
      </c>
      <c r="E202" s="161">
        <v>0</v>
      </c>
      <c r="F202" s="201" t="s">
        <v>489</v>
      </c>
      <c r="G202" s="739">
        <f t="shared" si="37"/>
        <v>0</v>
      </c>
      <c r="H202" s="739">
        <f t="shared" si="37"/>
        <v>0</v>
      </c>
      <c r="I202" s="739">
        <f t="shared" si="37"/>
        <v>0</v>
      </c>
      <c r="J202" s="739">
        <f t="shared" si="37"/>
        <v>0</v>
      </c>
      <c r="K202" s="739">
        <f t="shared" si="37"/>
        <v>0</v>
      </c>
      <c r="L202" s="739">
        <f t="shared" si="37"/>
        <v>0</v>
      </c>
      <c r="M202" s="739">
        <f t="shared" si="37"/>
        <v>0</v>
      </c>
      <c r="O202" s="353"/>
    </row>
    <row r="203" spans="1:15" outlineLevel="1">
      <c r="A203" s="509">
        <f>ROW()</f>
        <v>203</v>
      </c>
      <c r="B203" s="200" t="s">
        <v>487</v>
      </c>
      <c r="C203" s="159" t="s">
        <v>457</v>
      </c>
      <c r="D203" s="159" t="s">
        <v>488</v>
      </c>
      <c r="E203" s="161">
        <v>0</v>
      </c>
      <c r="F203" s="201" t="s">
        <v>489</v>
      </c>
      <c r="G203" s="739">
        <f t="shared" si="37"/>
        <v>0</v>
      </c>
      <c r="H203" s="739">
        <f t="shared" si="37"/>
        <v>0</v>
      </c>
      <c r="I203" s="739">
        <f t="shared" si="37"/>
        <v>0</v>
      </c>
      <c r="J203" s="739">
        <f t="shared" si="37"/>
        <v>0</v>
      </c>
      <c r="K203" s="739">
        <f t="shared" si="37"/>
        <v>0</v>
      </c>
      <c r="L203" s="739">
        <f t="shared" si="37"/>
        <v>0</v>
      </c>
      <c r="M203" s="739">
        <f t="shared" si="37"/>
        <v>0</v>
      </c>
      <c r="O203" s="353"/>
    </row>
    <row r="204" spans="1:15" outlineLevel="1">
      <c r="A204" s="509">
        <f>ROW()</f>
        <v>204</v>
      </c>
      <c r="B204" s="200" t="s">
        <v>487</v>
      </c>
      <c r="C204" s="159" t="s">
        <v>457</v>
      </c>
      <c r="D204" s="159" t="s">
        <v>488</v>
      </c>
      <c r="E204" s="161">
        <v>0</v>
      </c>
      <c r="F204" s="201" t="s">
        <v>489</v>
      </c>
      <c r="G204" s="739">
        <f t="shared" si="37"/>
        <v>0</v>
      </c>
      <c r="H204" s="739">
        <f t="shared" si="37"/>
        <v>0</v>
      </c>
      <c r="I204" s="739">
        <f t="shared" si="37"/>
        <v>0</v>
      </c>
      <c r="J204" s="739">
        <f t="shared" si="37"/>
        <v>0</v>
      </c>
      <c r="K204" s="739">
        <f t="shared" si="37"/>
        <v>0</v>
      </c>
      <c r="L204" s="739">
        <f t="shared" si="37"/>
        <v>0</v>
      </c>
      <c r="M204" s="739">
        <f t="shared" si="37"/>
        <v>0</v>
      </c>
      <c r="O204" s="353"/>
    </row>
    <row r="205" spans="1:15" outlineLevel="1">
      <c r="A205" s="509">
        <f>ROW()</f>
        <v>205</v>
      </c>
      <c r="B205" s="317"/>
      <c r="C205" s="1654"/>
      <c r="D205" s="1654"/>
      <c r="E205" s="1655"/>
      <c r="F205" s="1656"/>
      <c r="G205" s="148"/>
      <c r="H205" s="148"/>
      <c r="I205" s="148"/>
      <c r="J205" s="148"/>
      <c r="K205" s="148"/>
      <c r="L205" s="148"/>
      <c r="M205" s="148"/>
      <c r="O205" s="353"/>
    </row>
    <row r="206" spans="1:15" outlineLevel="1">
      <c r="A206" s="509">
        <f>ROW()</f>
        <v>206</v>
      </c>
      <c r="B206" s="200" t="s">
        <v>500</v>
      </c>
      <c r="C206" s="159" t="s">
        <v>457</v>
      </c>
      <c r="D206" s="159" t="s">
        <v>488</v>
      </c>
      <c r="E206" s="333">
        <v>45000</v>
      </c>
      <c r="F206" s="201" t="s">
        <v>489</v>
      </c>
      <c r="G206" s="739">
        <f t="shared" ref="G206:M210" si="38">IF($D206&lt;=G$10,1,0)</f>
        <v>0</v>
      </c>
      <c r="H206" s="739">
        <v>0</v>
      </c>
      <c r="I206" s="739">
        <v>1</v>
      </c>
      <c r="J206" s="739">
        <v>2</v>
      </c>
      <c r="K206" s="739">
        <v>2</v>
      </c>
      <c r="L206" s="739">
        <v>2</v>
      </c>
      <c r="M206" s="739">
        <v>2</v>
      </c>
      <c r="O206" s="353"/>
    </row>
    <row r="207" spans="1:15" outlineLevel="1">
      <c r="A207" s="509">
        <f>ROW()</f>
        <v>207</v>
      </c>
      <c r="B207" s="200" t="s">
        <v>500</v>
      </c>
      <c r="C207" s="159" t="s">
        <v>457</v>
      </c>
      <c r="D207" s="159" t="s">
        <v>488</v>
      </c>
      <c r="E207" s="161">
        <v>0</v>
      </c>
      <c r="F207" s="201" t="s">
        <v>489</v>
      </c>
      <c r="G207" s="739">
        <f t="shared" si="38"/>
        <v>0</v>
      </c>
      <c r="H207" s="739">
        <f t="shared" si="38"/>
        <v>0</v>
      </c>
      <c r="I207" s="739">
        <f t="shared" si="38"/>
        <v>0</v>
      </c>
      <c r="J207" s="739">
        <f t="shared" si="38"/>
        <v>0</v>
      </c>
      <c r="K207" s="739">
        <f t="shared" si="38"/>
        <v>0</v>
      </c>
      <c r="L207" s="739">
        <f t="shared" si="38"/>
        <v>0</v>
      </c>
      <c r="M207" s="739">
        <f t="shared" si="38"/>
        <v>0</v>
      </c>
      <c r="O207" s="353"/>
    </row>
    <row r="208" spans="1:15" outlineLevel="1">
      <c r="A208" s="509">
        <f>ROW()</f>
        <v>208</v>
      </c>
      <c r="B208" s="200" t="s">
        <v>487</v>
      </c>
      <c r="C208" s="159" t="s">
        <v>457</v>
      </c>
      <c r="D208" s="159" t="s">
        <v>488</v>
      </c>
      <c r="E208" s="161">
        <v>0</v>
      </c>
      <c r="F208" s="201" t="s">
        <v>489</v>
      </c>
      <c r="G208" s="739">
        <f t="shared" si="38"/>
        <v>0</v>
      </c>
      <c r="H208" s="739">
        <f t="shared" si="38"/>
        <v>0</v>
      </c>
      <c r="I208" s="739">
        <f t="shared" si="38"/>
        <v>0</v>
      </c>
      <c r="J208" s="739">
        <f t="shared" si="38"/>
        <v>0</v>
      </c>
      <c r="K208" s="739">
        <f t="shared" si="38"/>
        <v>0</v>
      </c>
      <c r="L208" s="739">
        <f t="shared" si="38"/>
        <v>0</v>
      </c>
      <c r="M208" s="739">
        <f t="shared" si="38"/>
        <v>0</v>
      </c>
      <c r="O208" s="353"/>
    </row>
    <row r="209" spans="1:15" outlineLevel="1">
      <c r="A209" s="509">
        <f>ROW()</f>
        <v>209</v>
      </c>
      <c r="B209" s="200" t="s">
        <v>487</v>
      </c>
      <c r="C209" s="159" t="s">
        <v>457</v>
      </c>
      <c r="D209" s="159" t="s">
        <v>488</v>
      </c>
      <c r="E209" s="161">
        <v>0</v>
      </c>
      <c r="F209" s="201" t="s">
        <v>489</v>
      </c>
      <c r="G209" s="739">
        <f t="shared" si="38"/>
        <v>0</v>
      </c>
      <c r="H209" s="739">
        <f t="shared" si="38"/>
        <v>0</v>
      </c>
      <c r="I209" s="739">
        <f t="shared" si="38"/>
        <v>0</v>
      </c>
      <c r="J209" s="739">
        <f t="shared" si="38"/>
        <v>0</v>
      </c>
      <c r="K209" s="739">
        <f t="shared" si="38"/>
        <v>0</v>
      </c>
      <c r="L209" s="739">
        <f t="shared" si="38"/>
        <v>0</v>
      </c>
      <c r="M209" s="739">
        <f t="shared" si="38"/>
        <v>0</v>
      </c>
      <c r="O209" s="353"/>
    </row>
    <row r="210" spans="1:15" outlineLevel="1">
      <c r="A210" s="509">
        <f>ROW()</f>
        <v>210</v>
      </c>
      <c r="B210" s="200" t="s">
        <v>487</v>
      </c>
      <c r="C210" s="159" t="s">
        <v>457</v>
      </c>
      <c r="D210" s="159" t="s">
        <v>488</v>
      </c>
      <c r="E210" s="161">
        <v>0</v>
      </c>
      <c r="F210" s="201" t="s">
        <v>489</v>
      </c>
      <c r="G210" s="739">
        <f t="shared" si="38"/>
        <v>0</v>
      </c>
      <c r="H210" s="739">
        <f t="shared" si="38"/>
        <v>0</v>
      </c>
      <c r="I210" s="739">
        <f t="shared" si="38"/>
        <v>0</v>
      </c>
      <c r="J210" s="739">
        <f t="shared" si="38"/>
        <v>0</v>
      </c>
      <c r="K210" s="739">
        <f t="shared" si="38"/>
        <v>0</v>
      </c>
      <c r="L210" s="739">
        <f t="shared" si="38"/>
        <v>0</v>
      </c>
      <c r="M210" s="739">
        <f t="shared" si="38"/>
        <v>0</v>
      </c>
      <c r="O210" s="353"/>
    </row>
    <row r="211" spans="1:15" outlineLevel="1">
      <c r="A211" s="509">
        <f>ROW()</f>
        <v>211</v>
      </c>
      <c r="B211" s="317"/>
      <c r="C211" s="1656"/>
      <c r="D211" s="1656"/>
      <c r="E211" s="1659"/>
      <c r="F211" s="1656"/>
      <c r="G211" s="148"/>
      <c r="H211" s="148"/>
      <c r="I211" s="148"/>
      <c r="J211" s="148"/>
      <c r="K211" s="148"/>
      <c r="L211" s="148"/>
      <c r="M211" s="148"/>
      <c r="O211" s="353"/>
    </row>
    <row r="212" spans="1:15" outlineLevel="1">
      <c r="A212" s="509">
        <f>ROW()</f>
        <v>212</v>
      </c>
      <c r="B212" s="200" t="s">
        <v>501</v>
      </c>
      <c r="C212" s="159" t="s">
        <v>457</v>
      </c>
      <c r="D212" s="159">
        <v>2024</v>
      </c>
      <c r="E212" s="333">
        <v>45000</v>
      </c>
      <c r="F212" s="201" t="s">
        <v>489</v>
      </c>
      <c r="G212" s="739">
        <f t="shared" ref="G212:M216" si="39">IF($D212&lt;=G$10,1,0)</f>
        <v>0</v>
      </c>
      <c r="H212" s="739">
        <f t="shared" si="39"/>
        <v>1</v>
      </c>
      <c r="I212" s="739">
        <f t="shared" si="39"/>
        <v>1</v>
      </c>
      <c r="J212" s="739">
        <f t="shared" si="39"/>
        <v>1</v>
      </c>
      <c r="K212" s="739">
        <f t="shared" si="39"/>
        <v>1</v>
      </c>
      <c r="L212" s="739">
        <f t="shared" si="39"/>
        <v>1</v>
      </c>
      <c r="M212" s="739">
        <f t="shared" si="39"/>
        <v>1</v>
      </c>
      <c r="O212" s="353"/>
    </row>
    <row r="213" spans="1:15" outlineLevel="1">
      <c r="A213" s="509">
        <f>ROW()</f>
        <v>213</v>
      </c>
      <c r="B213" s="200" t="s">
        <v>502</v>
      </c>
      <c r="C213" s="159" t="s">
        <v>457</v>
      </c>
      <c r="D213" s="159">
        <v>2025</v>
      </c>
      <c r="E213" s="161">
        <v>45000</v>
      </c>
      <c r="F213" s="201" t="s">
        <v>489</v>
      </c>
      <c r="G213" s="739">
        <f t="shared" si="39"/>
        <v>0</v>
      </c>
      <c r="H213" s="739">
        <f t="shared" si="39"/>
        <v>0</v>
      </c>
      <c r="I213" s="739">
        <f t="shared" si="39"/>
        <v>1</v>
      </c>
      <c r="J213" s="739">
        <f t="shared" si="39"/>
        <v>1</v>
      </c>
      <c r="K213" s="739">
        <f t="shared" si="39"/>
        <v>1</v>
      </c>
      <c r="L213" s="739">
        <f t="shared" si="39"/>
        <v>1</v>
      </c>
      <c r="M213" s="739">
        <f t="shared" si="39"/>
        <v>1</v>
      </c>
      <c r="O213" s="353"/>
    </row>
    <row r="214" spans="1:15" outlineLevel="1">
      <c r="A214" s="509">
        <f>ROW()</f>
        <v>214</v>
      </c>
      <c r="B214" s="200" t="s">
        <v>1498</v>
      </c>
      <c r="C214" s="159" t="s">
        <v>457</v>
      </c>
      <c r="D214" s="159">
        <v>2026</v>
      </c>
      <c r="E214" s="161">
        <v>45000</v>
      </c>
      <c r="F214" s="201" t="s">
        <v>489</v>
      </c>
      <c r="G214" s="739">
        <f t="shared" si="39"/>
        <v>0</v>
      </c>
      <c r="H214" s="739">
        <f t="shared" si="39"/>
        <v>0</v>
      </c>
      <c r="I214" s="739">
        <v>1</v>
      </c>
      <c r="J214" s="739">
        <f t="shared" si="39"/>
        <v>1</v>
      </c>
      <c r="K214" s="739">
        <f t="shared" si="39"/>
        <v>1</v>
      </c>
      <c r="L214" s="739">
        <f t="shared" si="39"/>
        <v>1</v>
      </c>
      <c r="M214" s="739">
        <f t="shared" si="39"/>
        <v>1</v>
      </c>
      <c r="O214" s="353"/>
    </row>
    <row r="215" spans="1:15" outlineLevel="1">
      <c r="A215" s="509">
        <f>ROW()</f>
        <v>215</v>
      </c>
      <c r="B215" s="200" t="s">
        <v>487</v>
      </c>
      <c r="C215" s="159" t="s">
        <v>457</v>
      </c>
      <c r="D215" s="159" t="s">
        <v>488</v>
      </c>
      <c r="E215" s="161">
        <v>0</v>
      </c>
      <c r="F215" s="201" t="s">
        <v>489</v>
      </c>
      <c r="G215" s="739">
        <f t="shared" si="39"/>
        <v>0</v>
      </c>
      <c r="H215" s="739">
        <f t="shared" si="39"/>
        <v>0</v>
      </c>
      <c r="I215" s="739">
        <f t="shared" si="39"/>
        <v>0</v>
      </c>
      <c r="J215" s="739">
        <f t="shared" si="39"/>
        <v>0</v>
      </c>
      <c r="K215" s="739">
        <f t="shared" si="39"/>
        <v>0</v>
      </c>
      <c r="L215" s="739">
        <f t="shared" si="39"/>
        <v>0</v>
      </c>
      <c r="M215" s="739">
        <f t="shared" si="39"/>
        <v>0</v>
      </c>
      <c r="O215" s="353"/>
    </row>
    <row r="216" spans="1:15" outlineLevel="1">
      <c r="A216" s="509">
        <f>ROW()</f>
        <v>216</v>
      </c>
      <c r="B216" s="200" t="s">
        <v>487</v>
      </c>
      <c r="C216" s="159" t="s">
        <v>457</v>
      </c>
      <c r="D216" s="159" t="s">
        <v>488</v>
      </c>
      <c r="E216" s="161">
        <v>0</v>
      </c>
      <c r="F216" s="201" t="s">
        <v>489</v>
      </c>
      <c r="G216" s="739">
        <f t="shared" si="39"/>
        <v>0</v>
      </c>
      <c r="H216" s="739">
        <f t="shared" si="39"/>
        <v>0</v>
      </c>
      <c r="I216" s="739">
        <f t="shared" si="39"/>
        <v>0</v>
      </c>
      <c r="J216" s="739">
        <f t="shared" si="39"/>
        <v>0</v>
      </c>
      <c r="K216" s="739">
        <f t="shared" si="39"/>
        <v>0</v>
      </c>
      <c r="L216" s="739">
        <f t="shared" si="39"/>
        <v>0</v>
      </c>
      <c r="M216" s="739">
        <f t="shared" si="39"/>
        <v>0</v>
      </c>
      <c r="O216" s="353"/>
    </row>
    <row r="217" spans="1:15" outlineLevel="1">
      <c r="A217" s="509">
        <f>ROW()</f>
        <v>217</v>
      </c>
      <c r="B217" s="317"/>
      <c r="C217" s="1656"/>
      <c r="D217" s="1656"/>
      <c r="E217" s="1655"/>
      <c r="F217" s="1656"/>
      <c r="G217" s="148"/>
      <c r="H217" s="148"/>
      <c r="I217" s="148"/>
      <c r="J217" s="148"/>
      <c r="K217" s="148"/>
      <c r="L217" s="148"/>
      <c r="M217" s="148"/>
      <c r="O217" s="353"/>
    </row>
    <row r="218" spans="1:15" outlineLevel="1">
      <c r="A218" s="509">
        <f>ROW()</f>
        <v>218</v>
      </c>
      <c r="B218" s="200" t="s">
        <v>487</v>
      </c>
      <c r="C218" s="159" t="s">
        <v>457</v>
      </c>
      <c r="D218" s="159" t="s">
        <v>488</v>
      </c>
      <c r="E218" s="333">
        <v>0</v>
      </c>
      <c r="F218" s="201" t="s">
        <v>489</v>
      </c>
      <c r="G218" s="739">
        <f t="shared" ref="G218:M222" si="40">IF($D218&lt;=G$10,1,0)</f>
        <v>0</v>
      </c>
      <c r="H218" s="739">
        <f t="shared" si="40"/>
        <v>0</v>
      </c>
      <c r="I218" s="739">
        <f t="shared" si="40"/>
        <v>0</v>
      </c>
      <c r="J218" s="739">
        <f t="shared" si="40"/>
        <v>0</v>
      </c>
      <c r="K218" s="739">
        <f t="shared" si="40"/>
        <v>0</v>
      </c>
      <c r="L218" s="739">
        <f t="shared" si="40"/>
        <v>0</v>
      </c>
      <c r="M218" s="739">
        <f t="shared" si="40"/>
        <v>0</v>
      </c>
      <c r="O218" s="353"/>
    </row>
    <row r="219" spans="1:15" outlineLevel="1">
      <c r="A219" s="509">
        <f>ROW()</f>
        <v>219</v>
      </c>
      <c r="B219" s="200" t="s">
        <v>487</v>
      </c>
      <c r="C219" s="159" t="s">
        <v>457</v>
      </c>
      <c r="D219" s="159" t="s">
        <v>488</v>
      </c>
      <c r="E219" s="161">
        <v>0</v>
      </c>
      <c r="F219" s="201" t="s">
        <v>489</v>
      </c>
      <c r="G219" s="739">
        <f t="shared" si="40"/>
        <v>0</v>
      </c>
      <c r="H219" s="739">
        <f t="shared" si="40"/>
        <v>0</v>
      </c>
      <c r="I219" s="739">
        <f t="shared" si="40"/>
        <v>0</v>
      </c>
      <c r="J219" s="739">
        <f t="shared" si="40"/>
        <v>0</v>
      </c>
      <c r="K219" s="739">
        <f t="shared" si="40"/>
        <v>0</v>
      </c>
      <c r="L219" s="739">
        <f t="shared" si="40"/>
        <v>0</v>
      </c>
      <c r="M219" s="739">
        <f t="shared" si="40"/>
        <v>0</v>
      </c>
      <c r="O219" s="353"/>
    </row>
    <row r="220" spans="1:15" outlineLevel="1">
      <c r="A220" s="509">
        <f>ROW()</f>
        <v>220</v>
      </c>
      <c r="B220" s="200" t="s">
        <v>487</v>
      </c>
      <c r="C220" s="159" t="s">
        <v>457</v>
      </c>
      <c r="D220" s="159" t="s">
        <v>488</v>
      </c>
      <c r="E220" s="161">
        <v>0</v>
      </c>
      <c r="F220" s="201" t="s">
        <v>489</v>
      </c>
      <c r="G220" s="739">
        <f t="shared" si="40"/>
        <v>0</v>
      </c>
      <c r="H220" s="739">
        <f t="shared" si="40"/>
        <v>0</v>
      </c>
      <c r="I220" s="739">
        <f t="shared" si="40"/>
        <v>0</v>
      </c>
      <c r="J220" s="739">
        <f t="shared" si="40"/>
        <v>0</v>
      </c>
      <c r="K220" s="739">
        <f t="shared" si="40"/>
        <v>0</v>
      </c>
      <c r="L220" s="739">
        <f t="shared" si="40"/>
        <v>0</v>
      </c>
      <c r="M220" s="739">
        <f t="shared" si="40"/>
        <v>0</v>
      </c>
      <c r="O220" s="353"/>
    </row>
    <row r="221" spans="1:15" outlineLevel="1">
      <c r="A221" s="509">
        <f>ROW()</f>
        <v>221</v>
      </c>
      <c r="B221" s="200" t="s">
        <v>487</v>
      </c>
      <c r="C221" s="159" t="s">
        <v>457</v>
      </c>
      <c r="D221" s="159" t="s">
        <v>488</v>
      </c>
      <c r="E221" s="161">
        <v>0</v>
      </c>
      <c r="F221" s="201" t="s">
        <v>489</v>
      </c>
      <c r="G221" s="739">
        <f t="shared" si="40"/>
        <v>0</v>
      </c>
      <c r="H221" s="739">
        <f t="shared" si="40"/>
        <v>0</v>
      </c>
      <c r="I221" s="739">
        <f t="shared" si="40"/>
        <v>0</v>
      </c>
      <c r="J221" s="739">
        <f t="shared" si="40"/>
        <v>0</v>
      </c>
      <c r="K221" s="739">
        <f t="shared" si="40"/>
        <v>0</v>
      </c>
      <c r="L221" s="739">
        <f t="shared" si="40"/>
        <v>0</v>
      </c>
      <c r="M221" s="739">
        <f t="shared" si="40"/>
        <v>0</v>
      </c>
      <c r="O221" s="353"/>
    </row>
    <row r="222" spans="1:15" outlineLevel="1">
      <c r="A222" s="509">
        <f>ROW()</f>
        <v>222</v>
      </c>
      <c r="B222" s="200" t="s">
        <v>487</v>
      </c>
      <c r="C222" s="159" t="s">
        <v>457</v>
      </c>
      <c r="D222" s="159" t="s">
        <v>488</v>
      </c>
      <c r="E222" s="161">
        <v>0</v>
      </c>
      <c r="F222" s="201" t="s">
        <v>489</v>
      </c>
      <c r="G222" s="739">
        <f t="shared" si="40"/>
        <v>0</v>
      </c>
      <c r="H222" s="739">
        <f t="shared" si="40"/>
        <v>0</v>
      </c>
      <c r="I222" s="739">
        <f t="shared" si="40"/>
        <v>0</v>
      </c>
      <c r="J222" s="739">
        <f t="shared" si="40"/>
        <v>0</v>
      </c>
      <c r="K222" s="739">
        <f t="shared" si="40"/>
        <v>0</v>
      </c>
      <c r="L222" s="739">
        <f t="shared" si="40"/>
        <v>0</v>
      </c>
      <c r="M222" s="739">
        <f t="shared" si="40"/>
        <v>0</v>
      </c>
      <c r="O222" s="353"/>
    </row>
    <row r="223" spans="1:15" outlineLevel="1">
      <c r="A223" s="509">
        <f>ROW()</f>
        <v>223</v>
      </c>
      <c r="B223" s="317"/>
      <c r="C223" s="1654"/>
      <c r="D223" s="1654"/>
      <c r="E223" s="1655"/>
      <c r="F223" s="1656"/>
      <c r="G223" s="148"/>
      <c r="H223" s="148"/>
      <c r="I223" s="148"/>
      <c r="J223" s="148"/>
      <c r="K223" s="148"/>
      <c r="L223" s="148"/>
      <c r="M223" s="148"/>
      <c r="O223" s="353"/>
    </row>
    <row r="224" spans="1:15" outlineLevel="1">
      <c r="A224" s="509">
        <f>ROW()</f>
        <v>224</v>
      </c>
      <c r="B224" s="200" t="s">
        <v>487</v>
      </c>
      <c r="C224" s="159" t="s">
        <v>457</v>
      </c>
      <c r="D224" s="159" t="s">
        <v>488</v>
      </c>
      <c r="E224" s="333">
        <v>0</v>
      </c>
      <c r="F224" s="201" t="s">
        <v>489</v>
      </c>
      <c r="G224" s="739">
        <f t="shared" ref="G224:M228" si="41">IF($D224&lt;=G$10,1,0)</f>
        <v>0</v>
      </c>
      <c r="H224" s="739">
        <f t="shared" si="41"/>
        <v>0</v>
      </c>
      <c r="I224" s="739">
        <f t="shared" si="41"/>
        <v>0</v>
      </c>
      <c r="J224" s="739">
        <f t="shared" si="41"/>
        <v>0</v>
      </c>
      <c r="K224" s="739">
        <f t="shared" si="41"/>
        <v>0</v>
      </c>
      <c r="L224" s="739">
        <f t="shared" si="41"/>
        <v>0</v>
      </c>
      <c r="M224" s="739">
        <f t="shared" si="41"/>
        <v>0</v>
      </c>
      <c r="O224" s="353"/>
    </row>
    <row r="225" spans="1:15" outlineLevel="1">
      <c r="A225" s="509">
        <f>ROW()</f>
        <v>225</v>
      </c>
      <c r="B225" s="200" t="s">
        <v>487</v>
      </c>
      <c r="C225" s="159" t="s">
        <v>457</v>
      </c>
      <c r="D225" s="159" t="s">
        <v>488</v>
      </c>
      <c r="E225" s="161">
        <v>0</v>
      </c>
      <c r="F225" s="201" t="s">
        <v>489</v>
      </c>
      <c r="G225" s="739">
        <f t="shared" si="41"/>
        <v>0</v>
      </c>
      <c r="H225" s="739">
        <f t="shared" si="41"/>
        <v>0</v>
      </c>
      <c r="I225" s="739">
        <f t="shared" si="41"/>
        <v>0</v>
      </c>
      <c r="J225" s="739">
        <f t="shared" si="41"/>
        <v>0</v>
      </c>
      <c r="K225" s="739">
        <f t="shared" si="41"/>
        <v>0</v>
      </c>
      <c r="L225" s="739">
        <f t="shared" si="41"/>
        <v>0</v>
      </c>
      <c r="M225" s="739">
        <f t="shared" si="41"/>
        <v>0</v>
      </c>
      <c r="O225" s="353"/>
    </row>
    <row r="226" spans="1:15" outlineLevel="1">
      <c r="A226" s="509">
        <f>ROW()</f>
        <v>226</v>
      </c>
      <c r="B226" s="200" t="s">
        <v>487</v>
      </c>
      <c r="C226" s="159" t="s">
        <v>457</v>
      </c>
      <c r="D226" s="159" t="s">
        <v>488</v>
      </c>
      <c r="E226" s="161">
        <v>0</v>
      </c>
      <c r="F226" s="201" t="s">
        <v>489</v>
      </c>
      <c r="G226" s="739">
        <f t="shared" si="41"/>
        <v>0</v>
      </c>
      <c r="H226" s="739">
        <f t="shared" si="41"/>
        <v>0</v>
      </c>
      <c r="I226" s="739">
        <f t="shared" si="41"/>
        <v>0</v>
      </c>
      <c r="J226" s="739">
        <f t="shared" si="41"/>
        <v>0</v>
      </c>
      <c r="K226" s="739">
        <f t="shared" si="41"/>
        <v>0</v>
      </c>
      <c r="L226" s="739">
        <f t="shared" si="41"/>
        <v>0</v>
      </c>
      <c r="M226" s="739">
        <f t="shared" si="41"/>
        <v>0</v>
      </c>
      <c r="O226" s="353"/>
    </row>
    <row r="227" spans="1:15" outlineLevel="1">
      <c r="A227" s="509">
        <f>ROW()</f>
        <v>227</v>
      </c>
      <c r="B227" s="200" t="s">
        <v>487</v>
      </c>
      <c r="C227" s="159" t="s">
        <v>457</v>
      </c>
      <c r="D227" s="159" t="s">
        <v>488</v>
      </c>
      <c r="E227" s="161">
        <v>0</v>
      </c>
      <c r="F227" s="201" t="s">
        <v>489</v>
      </c>
      <c r="G227" s="739">
        <f t="shared" si="41"/>
        <v>0</v>
      </c>
      <c r="H227" s="739">
        <f t="shared" si="41"/>
        <v>0</v>
      </c>
      <c r="I227" s="739">
        <f t="shared" si="41"/>
        <v>0</v>
      </c>
      <c r="J227" s="739">
        <f t="shared" si="41"/>
        <v>0</v>
      </c>
      <c r="K227" s="739">
        <f t="shared" si="41"/>
        <v>0</v>
      </c>
      <c r="L227" s="739">
        <f t="shared" si="41"/>
        <v>0</v>
      </c>
      <c r="M227" s="739">
        <f t="shared" si="41"/>
        <v>0</v>
      </c>
      <c r="O227" s="353"/>
    </row>
    <row r="228" spans="1:15" outlineLevel="1">
      <c r="A228" s="509">
        <f>ROW()</f>
        <v>228</v>
      </c>
      <c r="B228" s="200" t="s">
        <v>487</v>
      </c>
      <c r="C228" s="159" t="s">
        <v>457</v>
      </c>
      <c r="D228" s="159" t="s">
        <v>488</v>
      </c>
      <c r="E228" s="161">
        <v>0</v>
      </c>
      <c r="F228" s="201" t="s">
        <v>489</v>
      </c>
      <c r="G228" s="739">
        <f t="shared" si="41"/>
        <v>0</v>
      </c>
      <c r="H228" s="739">
        <f t="shared" si="41"/>
        <v>0</v>
      </c>
      <c r="I228" s="739">
        <f t="shared" si="41"/>
        <v>0</v>
      </c>
      <c r="J228" s="739">
        <f t="shared" si="41"/>
        <v>0</v>
      </c>
      <c r="K228" s="739">
        <f t="shared" si="41"/>
        <v>0</v>
      </c>
      <c r="L228" s="739">
        <f t="shared" si="41"/>
        <v>0</v>
      </c>
      <c r="M228" s="739">
        <f t="shared" si="41"/>
        <v>0</v>
      </c>
      <c r="O228" s="353"/>
    </row>
    <row r="229" spans="1:15" outlineLevel="1">
      <c r="A229" s="509">
        <f>ROW()</f>
        <v>229</v>
      </c>
      <c r="B229" s="317"/>
      <c r="C229" s="1654"/>
      <c r="D229" s="1654"/>
      <c r="E229" s="1655"/>
      <c r="F229" s="1656"/>
      <c r="G229" s="148"/>
      <c r="H229" s="148"/>
      <c r="I229" s="148"/>
      <c r="J229" s="148"/>
      <c r="K229" s="148"/>
      <c r="L229" s="148"/>
      <c r="M229" s="148"/>
      <c r="O229" s="353"/>
    </row>
    <row r="230" spans="1:15" outlineLevel="1">
      <c r="A230" s="509">
        <f>ROW()</f>
        <v>230</v>
      </c>
      <c r="B230" s="200" t="s">
        <v>487</v>
      </c>
      <c r="C230" s="159" t="s">
        <v>457</v>
      </c>
      <c r="D230" s="159" t="s">
        <v>488</v>
      </c>
      <c r="E230" s="333">
        <v>0</v>
      </c>
      <c r="F230" s="201" t="s">
        <v>489</v>
      </c>
      <c r="G230" s="739">
        <f t="shared" ref="G230:M234" si="42">IF($D230&lt;=G$10,1,0)</f>
        <v>0</v>
      </c>
      <c r="H230" s="739">
        <f t="shared" si="42"/>
        <v>0</v>
      </c>
      <c r="I230" s="739">
        <f t="shared" si="42"/>
        <v>0</v>
      </c>
      <c r="J230" s="739">
        <f t="shared" si="42"/>
        <v>0</v>
      </c>
      <c r="K230" s="739">
        <f t="shared" si="42"/>
        <v>0</v>
      </c>
      <c r="L230" s="739">
        <f t="shared" si="42"/>
        <v>0</v>
      </c>
      <c r="M230" s="739">
        <f t="shared" si="42"/>
        <v>0</v>
      </c>
      <c r="O230" s="353"/>
    </row>
    <row r="231" spans="1:15" outlineLevel="1">
      <c r="A231" s="509">
        <f>ROW()</f>
        <v>231</v>
      </c>
      <c r="B231" s="200" t="s">
        <v>487</v>
      </c>
      <c r="C231" s="159" t="s">
        <v>457</v>
      </c>
      <c r="D231" s="159" t="s">
        <v>488</v>
      </c>
      <c r="E231" s="161">
        <v>0</v>
      </c>
      <c r="F231" s="201" t="s">
        <v>489</v>
      </c>
      <c r="G231" s="739">
        <f t="shared" si="42"/>
        <v>0</v>
      </c>
      <c r="H231" s="739">
        <f t="shared" si="42"/>
        <v>0</v>
      </c>
      <c r="I231" s="739">
        <f t="shared" si="42"/>
        <v>0</v>
      </c>
      <c r="J231" s="739">
        <f t="shared" si="42"/>
        <v>0</v>
      </c>
      <c r="K231" s="739">
        <f t="shared" si="42"/>
        <v>0</v>
      </c>
      <c r="L231" s="739">
        <f t="shared" si="42"/>
        <v>0</v>
      </c>
      <c r="M231" s="739">
        <f t="shared" si="42"/>
        <v>0</v>
      </c>
      <c r="O231" s="353"/>
    </row>
    <row r="232" spans="1:15" outlineLevel="1">
      <c r="A232" s="509">
        <f>ROW()</f>
        <v>232</v>
      </c>
      <c r="B232" s="200" t="s">
        <v>487</v>
      </c>
      <c r="C232" s="159" t="s">
        <v>457</v>
      </c>
      <c r="D232" s="159" t="s">
        <v>488</v>
      </c>
      <c r="E232" s="161">
        <v>0</v>
      </c>
      <c r="F232" s="201" t="s">
        <v>489</v>
      </c>
      <c r="G232" s="739">
        <f t="shared" si="42"/>
        <v>0</v>
      </c>
      <c r="H232" s="739">
        <f t="shared" si="42"/>
        <v>0</v>
      </c>
      <c r="I232" s="739">
        <f t="shared" si="42"/>
        <v>0</v>
      </c>
      <c r="J232" s="739">
        <f t="shared" si="42"/>
        <v>0</v>
      </c>
      <c r="K232" s="739">
        <f t="shared" si="42"/>
        <v>0</v>
      </c>
      <c r="L232" s="739">
        <f t="shared" si="42"/>
        <v>0</v>
      </c>
      <c r="M232" s="739">
        <f t="shared" si="42"/>
        <v>0</v>
      </c>
      <c r="O232" s="353"/>
    </row>
    <row r="233" spans="1:15" outlineLevel="1">
      <c r="A233" s="509">
        <f>ROW()</f>
        <v>233</v>
      </c>
      <c r="B233" s="200" t="s">
        <v>487</v>
      </c>
      <c r="C233" s="159" t="s">
        <v>457</v>
      </c>
      <c r="D233" s="159" t="s">
        <v>488</v>
      </c>
      <c r="E233" s="161">
        <v>0</v>
      </c>
      <c r="F233" s="201" t="s">
        <v>489</v>
      </c>
      <c r="G233" s="739">
        <f t="shared" si="42"/>
        <v>0</v>
      </c>
      <c r="H233" s="739">
        <f t="shared" si="42"/>
        <v>0</v>
      </c>
      <c r="I233" s="739">
        <f t="shared" si="42"/>
        <v>0</v>
      </c>
      <c r="J233" s="739">
        <f t="shared" si="42"/>
        <v>0</v>
      </c>
      <c r="K233" s="739">
        <f t="shared" si="42"/>
        <v>0</v>
      </c>
      <c r="L233" s="739">
        <f t="shared" si="42"/>
        <v>0</v>
      </c>
      <c r="M233" s="739">
        <f t="shared" si="42"/>
        <v>0</v>
      </c>
      <c r="O233" s="353"/>
    </row>
    <row r="234" spans="1:15" outlineLevel="1">
      <c r="A234" s="509">
        <f>ROW()</f>
        <v>234</v>
      </c>
      <c r="B234" s="200" t="s">
        <v>487</v>
      </c>
      <c r="C234" s="159" t="s">
        <v>457</v>
      </c>
      <c r="D234" s="159" t="s">
        <v>488</v>
      </c>
      <c r="E234" s="161">
        <v>0</v>
      </c>
      <c r="F234" s="201" t="s">
        <v>489</v>
      </c>
      <c r="G234" s="739">
        <f t="shared" si="42"/>
        <v>0</v>
      </c>
      <c r="H234" s="739">
        <f t="shared" si="42"/>
        <v>0</v>
      </c>
      <c r="I234" s="739">
        <f t="shared" si="42"/>
        <v>0</v>
      </c>
      <c r="J234" s="739">
        <f t="shared" si="42"/>
        <v>0</v>
      </c>
      <c r="K234" s="739">
        <f t="shared" si="42"/>
        <v>0</v>
      </c>
      <c r="L234" s="739">
        <f t="shared" si="42"/>
        <v>0</v>
      </c>
      <c r="M234" s="739">
        <f t="shared" si="42"/>
        <v>0</v>
      </c>
      <c r="O234" s="353"/>
    </row>
    <row r="235" spans="1:15">
      <c r="A235" s="509">
        <f>ROW()</f>
        <v>235</v>
      </c>
      <c r="C235" s="111"/>
      <c r="D235" s="111"/>
      <c r="E235" s="102"/>
      <c r="F235" s="102"/>
      <c r="G235" s="110"/>
      <c r="H235" s="110"/>
      <c r="I235" s="110"/>
      <c r="J235" s="110"/>
      <c r="K235" s="56"/>
      <c r="L235" s="56"/>
      <c r="M235" s="56"/>
      <c r="O235" s="353"/>
    </row>
    <row r="236" spans="1:15">
      <c r="A236" s="509">
        <f>ROW()</f>
        <v>236</v>
      </c>
      <c r="B236" s="135" t="s">
        <v>503</v>
      </c>
      <c r="C236" s="136"/>
      <c r="D236" s="136"/>
      <c r="E236" s="135"/>
      <c r="F236" s="135"/>
      <c r="G236" s="1347">
        <f t="shared" ref="G236:M236" si="43">SUM(G141:G234)</f>
        <v>0</v>
      </c>
      <c r="H236" s="354">
        <f t="shared" si="43"/>
        <v>23</v>
      </c>
      <c r="I236" s="354">
        <f t="shared" si="43"/>
        <v>31</v>
      </c>
      <c r="J236" s="354">
        <f t="shared" si="43"/>
        <v>36</v>
      </c>
      <c r="K236" s="354">
        <f t="shared" si="43"/>
        <v>40</v>
      </c>
      <c r="L236" s="354">
        <f t="shared" si="43"/>
        <v>42</v>
      </c>
      <c r="M236" s="354">
        <f t="shared" si="43"/>
        <v>43</v>
      </c>
      <c r="N236" s="33"/>
      <c r="O236" s="353"/>
    </row>
    <row r="237" spans="1:15">
      <c r="A237" s="509">
        <f>ROW()</f>
        <v>237</v>
      </c>
      <c r="B237" s="35" t="s">
        <v>504</v>
      </c>
      <c r="G237" s="319">
        <f t="shared" ref="G237:M237" si="44">+G236+G134</f>
        <v>0</v>
      </c>
      <c r="H237" s="319">
        <f t="shared" si="44"/>
        <v>30</v>
      </c>
      <c r="I237" s="319">
        <f t="shared" si="44"/>
        <v>41</v>
      </c>
      <c r="J237" s="319">
        <f t="shared" si="44"/>
        <v>48</v>
      </c>
      <c r="K237" s="319">
        <f t="shared" si="44"/>
        <v>53</v>
      </c>
      <c r="L237" s="319">
        <f t="shared" si="44"/>
        <v>55</v>
      </c>
      <c r="M237" s="319">
        <f t="shared" si="44"/>
        <v>56</v>
      </c>
      <c r="O237" s="353"/>
    </row>
    <row r="238" spans="1:15">
      <c r="A238" s="509">
        <f>ROW()</f>
        <v>238</v>
      </c>
      <c r="G238" s="110"/>
      <c r="H238" s="110"/>
      <c r="I238" s="110"/>
      <c r="J238" s="110"/>
      <c r="K238" s="110"/>
      <c r="L238" s="53"/>
      <c r="M238" s="53"/>
      <c r="O238" s="353"/>
    </row>
    <row r="239" spans="1:15" ht="15.6">
      <c r="A239" s="509">
        <f>ROW()</f>
        <v>239</v>
      </c>
      <c r="B239" s="112" t="s">
        <v>505</v>
      </c>
      <c r="C239" s="112"/>
      <c r="D239" s="112"/>
      <c r="E239" s="112"/>
      <c r="F239" s="112"/>
      <c r="G239" s="325"/>
      <c r="H239" s="325"/>
      <c r="I239" s="325"/>
      <c r="J239" s="325"/>
      <c r="K239" s="325"/>
      <c r="L239" s="326"/>
      <c r="M239" s="326"/>
      <c r="O239" s="353"/>
    </row>
    <row r="240" spans="1:15" outlineLevel="1">
      <c r="A240" s="509">
        <f>ROW()</f>
        <v>240</v>
      </c>
      <c r="B240" s="113"/>
      <c r="G240" s="110"/>
      <c r="H240" s="110"/>
      <c r="I240" s="110"/>
      <c r="J240" s="110"/>
      <c r="K240" s="110"/>
      <c r="L240" s="53"/>
      <c r="N240" s="53"/>
      <c r="O240" s="353"/>
    </row>
    <row r="241" spans="1:15" outlineLevel="1">
      <c r="A241" s="509">
        <f>ROW()</f>
        <v>241</v>
      </c>
      <c r="B241" s="179" t="str">
        <f>$B$79</f>
        <v>Administrators (Full-time &amp; Part-Time w/benefits)</v>
      </c>
      <c r="C241" s="65"/>
      <c r="D241" s="65"/>
      <c r="E241" s="65"/>
      <c r="F241" s="65"/>
      <c r="G241" s="110"/>
      <c r="H241" s="110"/>
      <c r="I241" s="110"/>
      <c r="J241" s="110"/>
      <c r="K241" s="110"/>
      <c r="L241" s="53"/>
      <c r="N241" s="53"/>
      <c r="O241" s="353"/>
    </row>
    <row r="242" spans="1:15" outlineLevel="1">
      <c r="A242" s="509">
        <f>ROW()</f>
        <v>242</v>
      </c>
      <c r="B242" s="35" t="str">
        <f>$B80</f>
        <v>Principal</v>
      </c>
      <c r="C242" s="138">
        <f t="shared" ref="C242:C247" si="45">SUM(G242:M242)</f>
        <v>562500</v>
      </c>
      <c r="D242" s="114"/>
      <c r="E242" s="114"/>
      <c r="F242" s="114"/>
      <c r="G242" s="742">
        <f>G80*$D80</f>
        <v>22500</v>
      </c>
      <c r="H242" s="742">
        <f t="shared" ref="H242:M246" si="46">(H80*$D80)</f>
        <v>90000</v>
      </c>
      <c r="I242" s="742">
        <f t="shared" si="46"/>
        <v>90000</v>
      </c>
      <c r="J242" s="742">
        <f t="shared" si="46"/>
        <v>90000</v>
      </c>
      <c r="K242" s="742">
        <f t="shared" si="46"/>
        <v>90000</v>
      </c>
      <c r="L242" s="742">
        <f t="shared" si="46"/>
        <v>90000</v>
      </c>
      <c r="M242" s="742">
        <f t="shared" si="46"/>
        <v>90000</v>
      </c>
      <c r="O242" s="353"/>
    </row>
    <row r="243" spans="1:15" outlineLevel="1">
      <c r="A243" s="509">
        <f>ROW()</f>
        <v>243</v>
      </c>
      <c r="B243" s="35" t="str">
        <f>$B81</f>
        <v>Vice Principal</v>
      </c>
      <c r="C243" s="146">
        <f t="shared" si="45"/>
        <v>650000</v>
      </c>
      <c r="D243" s="53"/>
      <c r="E243" s="53"/>
      <c r="F243" s="114"/>
      <c r="G243" s="694">
        <f>G81*$D81</f>
        <v>0</v>
      </c>
      <c r="H243" s="694">
        <f t="shared" si="46"/>
        <v>65000</v>
      </c>
      <c r="I243" s="694">
        <f t="shared" si="46"/>
        <v>65000</v>
      </c>
      <c r="J243" s="694">
        <f t="shared" si="46"/>
        <v>130000</v>
      </c>
      <c r="K243" s="694">
        <f t="shared" si="46"/>
        <v>130000</v>
      </c>
      <c r="L243" s="694">
        <f t="shared" si="46"/>
        <v>130000</v>
      </c>
      <c r="M243" s="694">
        <f t="shared" si="46"/>
        <v>130000</v>
      </c>
      <c r="O243" s="353"/>
    </row>
    <row r="244" spans="1:15" outlineLevel="1">
      <c r="A244" s="509">
        <f>ROW()</f>
        <v>244</v>
      </c>
      <c r="B244" s="35" t="str">
        <f>$B82</f>
        <v>Chief Operating Officer</v>
      </c>
      <c r="C244" s="146">
        <f t="shared" si="45"/>
        <v>762000</v>
      </c>
      <c r="D244" s="53"/>
      <c r="E244" s="53"/>
      <c r="F244" s="114"/>
      <c r="G244" s="694">
        <f>G82*$D82</f>
        <v>42000</v>
      </c>
      <c r="H244" s="694">
        <f t="shared" si="46"/>
        <v>120000</v>
      </c>
      <c r="I244" s="694">
        <f t="shared" si="46"/>
        <v>120000</v>
      </c>
      <c r="J244" s="694">
        <f t="shared" si="46"/>
        <v>120000</v>
      </c>
      <c r="K244" s="694">
        <f t="shared" si="46"/>
        <v>120000</v>
      </c>
      <c r="L244" s="694">
        <f t="shared" si="46"/>
        <v>120000</v>
      </c>
      <c r="M244" s="694">
        <f t="shared" si="46"/>
        <v>120000</v>
      </c>
      <c r="O244" s="353"/>
    </row>
    <row r="245" spans="1:15" outlineLevel="1">
      <c r="A245" s="509">
        <f>ROW()</f>
        <v>245</v>
      </c>
      <c r="B245" s="35" t="str">
        <f>$B83</f>
        <v>Admin 4</v>
      </c>
      <c r="C245" s="146">
        <f t="shared" si="45"/>
        <v>0</v>
      </c>
      <c r="D245" s="53"/>
      <c r="E245" s="53"/>
      <c r="F245" s="114"/>
      <c r="G245" s="694">
        <f>G83*$D83</f>
        <v>0</v>
      </c>
      <c r="H245" s="694">
        <f t="shared" si="46"/>
        <v>0</v>
      </c>
      <c r="I245" s="694">
        <f t="shared" si="46"/>
        <v>0</v>
      </c>
      <c r="J245" s="694">
        <f t="shared" si="46"/>
        <v>0</v>
      </c>
      <c r="K245" s="694">
        <f t="shared" si="46"/>
        <v>0</v>
      </c>
      <c r="L245" s="694">
        <f t="shared" si="46"/>
        <v>0</v>
      </c>
      <c r="M245" s="694">
        <f t="shared" si="46"/>
        <v>0</v>
      </c>
      <c r="O245" s="353"/>
    </row>
    <row r="246" spans="1:15" outlineLevel="1">
      <c r="A246" s="509">
        <f>ROW()</f>
        <v>246</v>
      </c>
      <c r="B246" s="65" t="str">
        <f>$B84</f>
        <v>Admin 5</v>
      </c>
      <c r="C246" s="147">
        <f t="shared" si="45"/>
        <v>0</v>
      </c>
      <c r="D246" s="115"/>
      <c r="E246" s="115"/>
      <c r="F246" s="115"/>
      <c r="G246" s="695">
        <f>G84*$D84</f>
        <v>0</v>
      </c>
      <c r="H246" s="695">
        <f t="shared" si="46"/>
        <v>0</v>
      </c>
      <c r="I246" s="695">
        <f t="shared" si="46"/>
        <v>0</v>
      </c>
      <c r="J246" s="695">
        <f t="shared" si="46"/>
        <v>0</v>
      </c>
      <c r="K246" s="695">
        <f t="shared" si="46"/>
        <v>0</v>
      </c>
      <c r="L246" s="695">
        <f t="shared" si="46"/>
        <v>0</v>
      </c>
      <c r="M246" s="695">
        <f t="shared" si="46"/>
        <v>0</v>
      </c>
      <c r="O246" s="353"/>
    </row>
    <row r="247" spans="1:15" outlineLevel="1">
      <c r="A247" s="509">
        <f>ROW()</f>
        <v>247</v>
      </c>
      <c r="B247" s="33" t="s">
        <v>506</v>
      </c>
      <c r="C247" s="146">
        <f t="shared" si="45"/>
        <v>1974500</v>
      </c>
      <c r="D247" s="53"/>
      <c r="E247" s="53"/>
      <c r="F247" s="53"/>
      <c r="G247" s="361">
        <f t="shared" ref="G247:M247" si="47">SUM(G242:G246)</f>
        <v>64500</v>
      </c>
      <c r="H247" s="361">
        <f t="shared" si="47"/>
        <v>275000</v>
      </c>
      <c r="I247" s="361">
        <f t="shared" si="47"/>
        <v>275000</v>
      </c>
      <c r="J247" s="361">
        <f t="shared" si="47"/>
        <v>340000</v>
      </c>
      <c r="K247" s="361">
        <f t="shared" si="47"/>
        <v>340000</v>
      </c>
      <c r="L247" s="361">
        <f t="shared" si="47"/>
        <v>340000</v>
      </c>
      <c r="M247" s="361">
        <f t="shared" si="47"/>
        <v>340000</v>
      </c>
      <c r="O247" s="353"/>
    </row>
    <row r="248" spans="1:15" outlineLevel="1">
      <c r="A248" s="509">
        <f>ROW()</f>
        <v>248</v>
      </c>
      <c r="B248" s="33"/>
      <c r="C248" s="146"/>
      <c r="D248" s="53"/>
      <c r="E248" s="53"/>
      <c r="F248" s="53"/>
      <c r="G248" s="146"/>
      <c r="H248" s="146"/>
      <c r="I248" s="146"/>
      <c r="J248" s="146"/>
      <c r="K248" s="146"/>
      <c r="L248" s="146"/>
      <c r="M248" s="146"/>
      <c r="O248" s="353"/>
    </row>
    <row r="249" spans="1:15" outlineLevel="1">
      <c r="A249" s="509">
        <f>ROW()</f>
        <v>249</v>
      </c>
      <c r="B249" s="179" t="str">
        <f>$B$88</f>
        <v>Office Staff (Full-time &amp; Part-Time w/benefits)</v>
      </c>
      <c r="C249" s="147"/>
      <c r="D249" s="115"/>
      <c r="E249" s="115"/>
      <c r="F249" s="115"/>
      <c r="G249" s="147"/>
      <c r="H249" s="147"/>
      <c r="I249" s="147"/>
      <c r="J249" s="147"/>
      <c r="K249" s="147"/>
      <c r="L249" s="147"/>
      <c r="M249" s="147"/>
      <c r="O249" s="353"/>
    </row>
    <row r="250" spans="1:15" outlineLevel="1">
      <c r="A250" s="509">
        <f>ROW()</f>
        <v>250</v>
      </c>
      <c r="B250" s="35" t="str">
        <f>$B89</f>
        <v>Office Manager</v>
      </c>
      <c r="C250" s="146">
        <f>SUM(G250:M250)</f>
        <v>240000</v>
      </c>
      <c r="D250" s="53"/>
      <c r="E250" s="53"/>
      <c r="F250" s="53"/>
      <c r="G250" s="694">
        <f>G89*$D89</f>
        <v>0</v>
      </c>
      <c r="H250" s="694">
        <f t="shared" ref="H250:M250" si="48">(H89*$D89)</f>
        <v>40000</v>
      </c>
      <c r="I250" s="694">
        <f t="shared" si="48"/>
        <v>40000</v>
      </c>
      <c r="J250" s="694">
        <f t="shared" si="48"/>
        <v>40000</v>
      </c>
      <c r="K250" s="694">
        <f t="shared" si="48"/>
        <v>40000</v>
      </c>
      <c r="L250" s="694">
        <f t="shared" si="48"/>
        <v>40000</v>
      </c>
      <c r="M250" s="694">
        <f t="shared" si="48"/>
        <v>40000</v>
      </c>
      <c r="O250" s="353"/>
    </row>
    <row r="251" spans="1:15" outlineLevel="1">
      <c r="A251" s="509">
        <f>ROW()</f>
        <v>251</v>
      </c>
      <c r="B251" s="35" t="str">
        <f>$B90</f>
        <v>Registrar</v>
      </c>
      <c r="C251" s="146">
        <f>SUM(G251:M251)</f>
        <v>240000</v>
      </c>
      <c r="D251" s="53"/>
      <c r="E251" s="53"/>
      <c r="F251" s="53"/>
      <c r="G251" s="694">
        <f>G90*$D90</f>
        <v>0</v>
      </c>
      <c r="H251" s="694">
        <f>(H90*$D90)</f>
        <v>40000</v>
      </c>
      <c r="I251" s="694">
        <f t="shared" ref="I251:M251" si="49">(I90*$D90)</f>
        <v>40000</v>
      </c>
      <c r="J251" s="694">
        <f t="shared" si="49"/>
        <v>40000</v>
      </c>
      <c r="K251" s="694">
        <f t="shared" si="49"/>
        <v>40000</v>
      </c>
      <c r="L251" s="694">
        <f t="shared" si="49"/>
        <v>40000</v>
      </c>
      <c r="M251" s="694">
        <f t="shared" si="49"/>
        <v>40000</v>
      </c>
      <c r="O251" s="353"/>
    </row>
    <row r="252" spans="1:15" outlineLevel="1">
      <c r="A252" s="509"/>
      <c r="B252" s="35" t="str">
        <f>$B91</f>
        <v>IT Director</v>
      </c>
      <c r="C252" s="146">
        <f>SUM(G252:M252)</f>
        <v>390000</v>
      </c>
      <c r="D252" s="53"/>
      <c r="E252" s="53"/>
      <c r="F252" s="53"/>
      <c r="G252" s="694">
        <f>G91*$D91</f>
        <v>0</v>
      </c>
      <c r="H252" s="694">
        <f>(H91*$D91)</f>
        <v>65000</v>
      </c>
      <c r="I252" s="694">
        <f t="shared" ref="I252:M253" si="50">(I91*$D91)</f>
        <v>65000</v>
      </c>
      <c r="J252" s="694">
        <f t="shared" si="50"/>
        <v>65000</v>
      </c>
      <c r="K252" s="694">
        <f t="shared" si="50"/>
        <v>65000</v>
      </c>
      <c r="L252" s="694">
        <f t="shared" si="50"/>
        <v>65000</v>
      </c>
      <c r="M252" s="694">
        <f t="shared" si="50"/>
        <v>65000</v>
      </c>
      <c r="O252" s="353"/>
    </row>
    <row r="253" spans="1:15" outlineLevel="1">
      <c r="A253" s="509">
        <f>ROW()</f>
        <v>253</v>
      </c>
      <c r="B253" s="65" t="str">
        <f>$B92</f>
        <v>Office 4</v>
      </c>
      <c r="C253" s="147">
        <f>SUM(G253:M253)</f>
        <v>0</v>
      </c>
      <c r="D253" s="115"/>
      <c r="E253" s="115"/>
      <c r="F253" s="115"/>
      <c r="G253" s="694">
        <f>G92*$D92</f>
        <v>0</v>
      </c>
      <c r="H253" s="694">
        <f>(H92*$D92)</f>
        <v>0</v>
      </c>
      <c r="I253" s="694">
        <f t="shared" si="50"/>
        <v>0</v>
      </c>
      <c r="J253" s="694">
        <f t="shared" si="50"/>
        <v>0</v>
      </c>
      <c r="K253" s="694">
        <f t="shared" si="50"/>
        <v>0</v>
      </c>
      <c r="L253" s="694">
        <f t="shared" si="50"/>
        <v>0</v>
      </c>
      <c r="M253" s="694">
        <f t="shared" si="50"/>
        <v>0</v>
      </c>
      <c r="O253" s="353"/>
    </row>
    <row r="254" spans="1:15" outlineLevel="1">
      <c r="A254" s="509">
        <f>ROW()</f>
        <v>254</v>
      </c>
      <c r="B254" s="33" t="s">
        <v>507</v>
      </c>
      <c r="C254" s="146">
        <f>SUM(G254:M254)</f>
        <v>870000</v>
      </c>
      <c r="D254" s="53"/>
      <c r="E254" s="53"/>
      <c r="F254" s="53"/>
      <c r="G254" s="361">
        <f t="shared" ref="G254:M254" si="51">SUM(G250:G253)</f>
        <v>0</v>
      </c>
      <c r="H254" s="361">
        <f t="shared" si="51"/>
        <v>145000</v>
      </c>
      <c r="I254" s="361">
        <f t="shared" si="51"/>
        <v>145000</v>
      </c>
      <c r="J254" s="361">
        <f t="shared" si="51"/>
        <v>145000</v>
      </c>
      <c r="K254" s="361">
        <f t="shared" si="51"/>
        <v>145000</v>
      </c>
      <c r="L254" s="361">
        <f t="shared" si="51"/>
        <v>145000</v>
      </c>
      <c r="M254" s="361">
        <f t="shared" si="51"/>
        <v>145000</v>
      </c>
      <c r="O254" s="353"/>
    </row>
    <row r="255" spans="1:15" outlineLevel="1">
      <c r="A255" s="509">
        <f>ROW()</f>
        <v>255</v>
      </c>
      <c r="C255" s="146"/>
      <c r="D255" s="53"/>
      <c r="E255" s="53"/>
      <c r="F255" s="53"/>
      <c r="G255" s="146"/>
      <c r="H255" s="146"/>
      <c r="I255" s="146"/>
      <c r="J255" s="146"/>
      <c r="K255" s="146"/>
      <c r="L255" s="146"/>
      <c r="M255" s="146"/>
      <c r="O255" s="353"/>
    </row>
    <row r="256" spans="1:15" outlineLevel="1">
      <c r="A256" s="509">
        <f>ROW()</f>
        <v>256</v>
      </c>
      <c r="B256" s="1049" t="str">
        <f>$B$94</f>
        <v>Total Administrators and Office Staff</v>
      </c>
      <c r="C256" s="1348">
        <f>SUM(G256:M256)</f>
        <v>2844500</v>
      </c>
      <c r="D256" s="1048"/>
      <c r="E256" s="1048"/>
      <c r="F256" s="1048"/>
      <c r="G256" s="1052">
        <f t="shared" ref="G256:M256" si="52">+G247+G254</f>
        <v>64500</v>
      </c>
      <c r="H256" s="1052">
        <f t="shared" si="52"/>
        <v>420000</v>
      </c>
      <c r="I256" s="1052">
        <f t="shared" si="52"/>
        <v>420000</v>
      </c>
      <c r="J256" s="1052">
        <f t="shared" si="52"/>
        <v>485000</v>
      </c>
      <c r="K256" s="1052">
        <f t="shared" si="52"/>
        <v>485000</v>
      </c>
      <c r="L256" s="1052">
        <f t="shared" si="52"/>
        <v>485000</v>
      </c>
      <c r="M256" s="1052">
        <f t="shared" si="52"/>
        <v>485000</v>
      </c>
      <c r="O256" s="353"/>
    </row>
    <row r="257" spans="1:15" outlineLevel="1">
      <c r="A257" s="509">
        <f>ROW()</f>
        <v>257</v>
      </c>
      <c r="G257" s="533"/>
      <c r="H257" s="533"/>
      <c r="I257" s="533"/>
      <c r="J257" s="533"/>
      <c r="K257" s="533"/>
      <c r="L257" s="533"/>
      <c r="M257" s="533"/>
      <c r="O257" s="353"/>
    </row>
    <row r="258" spans="1:15" outlineLevel="1">
      <c r="A258" s="509">
        <f>ROW()</f>
        <v>258</v>
      </c>
      <c r="B258" s="33"/>
      <c r="C258" s="146"/>
      <c r="D258" s="53"/>
      <c r="E258" s="53"/>
      <c r="F258" s="53"/>
      <c r="G258" s="146"/>
      <c r="H258" s="146"/>
      <c r="I258" s="146"/>
      <c r="J258" s="146"/>
      <c r="K258" s="146"/>
      <c r="L258" s="146"/>
      <c r="M258" s="146"/>
      <c r="O258" s="353"/>
    </row>
    <row r="259" spans="1:15" outlineLevel="1">
      <c r="A259" s="509">
        <f>ROW()</f>
        <v>259</v>
      </c>
      <c r="B259" s="179" t="str">
        <f>$B$96</f>
        <v>Special Education (SPED) Teachers (Full-time &amp; Part-Time w/benefits)</v>
      </c>
      <c r="C259" s="147"/>
      <c r="D259" s="115"/>
      <c r="E259" s="115"/>
      <c r="F259" s="115"/>
      <c r="G259" s="147"/>
      <c r="H259" s="147"/>
      <c r="I259" s="147"/>
      <c r="J259" s="147"/>
      <c r="K259" s="147"/>
      <c r="L259" s="147"/>
      <c r="M259" s="147"/>
      <c r="O259" s="353"/>
    </row>
    <row r="260" spans="1:15" outlineLevel="1">
      <c r="A260" s="509">
        <f>ROW()</f>
        <v>260</v>
      </c>
      <c r="B260" s="172" t="str">
        <f>$B$97</f>
        <v>Special Education Director 1</v>
      </c>
      <c r="C260" s="146">
        <f t="shared" ref="C260:C269" si="53">SUM(G260:M260)</f>
        <v>330000</v>
      </c>
      <c r="D260" s="53"/>
      <c r="E260" s="53"/>
      <c r="F260" s="53"/>
      <c r="G260" s="694">
        <f t="shared" ref="G260:G268" si="54">G97*$D97</f>
        <v>0</v>
      </c>
      <c r="H260" s="694">
        <f t="shared" ref="H260:M268" si="55">(H97*$D97)</f>
        <v>55000</v>
      </c>
      <c r="I260" s="694">
        <f t="shared" si="55"/>
        <v>55000</v>
      </c>
      <c r="J260" s="694">
        <f t="shared" si="55"/>
        <v>55000</v>
      </c>
      <c r="K260" s="694">
        <f t="shared" si="55"/>
        <v>55000</v>
      </c>
      <c r="L260" s="694">
        <f t="shared" si="55"/>
        <v>55000</v>
      </c>
      <c r="M260" s="694">
        <f t="shared" si="55"/>
        <v>55000</v>
      </c>
      <c r="O260" s="353"/>
    </row>
    <row r="261" spans="1:15" outlineLevel="1">
      <c r="A261" s="509">
        <f>ROW()</f>
        <v>261</v>
      </c>
      <c r="B261" s="172" t="str">
        <f>$B$98</f>
        <v>Special Education Coordinator 2</v>
      </c>
      <c r="C261" s="146">
        <f t="shared" si="53"/>
        <v>960000</v>
      </c>
      <c r="D261" s="53"/>
      <c r="E261" s="53"/>
      <c r="F261" s="53"/>
      <c r="G261" s="694">
        <f t="shared" si="54"/>
        <v>0</v>
      </c>
      <c r="H261" s="694">
        <f t="shared" si="55"/>
        <v>96000</v>
      </c>
      <c r="I261" s="694">
        <f t="shared" si="55"/>
        <v>144000</v>
      </c>
      <c r="J261" s="694">
        <f t="shared" si="55"/>
        <v>144000</v>
      </c>
      <c r="K261" s="694">
        <f t="shared" si="55"/>
        <v>192000</v>
      </c>
      <c r="L261" s="694">
        <f t="shared" si="55"/>
        <v>192000</v>
      </c>
      <c r="M261" s="694">
        <f t="shared" si="55"/>
        <v>192000</v>
      </c>
      <c r="O261" s="353"/>
    </row>
    <row r="262" spans="1:15" outlineLevel="1">
      <c r="A262" s="509">
        <f>ROW()</f>
        <v>262</v>
      </c>
      <c r="B262" s="172" t="str">
        <f>$B$99</f>
        <v>Special Education Assistant</v>
      </c>
      <c r="C262" s="146">
        <f t="shared" si="53"/>
        <v>200000</v>
      </c>
      <c r="D262" s="53"/>
      <c r="E262" s="53"/>
      <c r="F262" s="53"/>
      <c r="G262" s="694">
        <f t="shared" si="54"/>
        <v>0</v>
      </c>
      <c r="H262" s="694">
        <f t="shared" si="55"/>
        <v>0</v>
      </c>
      <c r="I262" s="694">
        <f t="shared" si="55"/>
        <v>40000</v>
      </c>
      <c r="J262" s="694">
        <f t="shared" si="55"/>
        <v>40000</v>
      </c>
      <c r="K262" s="694">
        <f t="shared" si="55"/>
        <v>40000</v>
      </c>
      <c r="L262" s="694">
        <f t="shared" si="55"/>
        <v>40000</v>
      </c>
      <c r="M262" s="694">
        <f t="shared" si="55"/>
        <v>40000</v>
      </c>
      <c r="O262" s="353"/>
    </row>
    <row r="263" spans="1:15" outlineLevel="1">
      <c r="A263" s="509">
        <f>ROW()</f>
        <v>263</v>
      </c>
      <c r="B263" s="172" t="str">
        <f>$B$100</f>
        <v>Special Education Coordinator 4</v>
      </c>
      <c r="C263" s="146">
        <f t="shared" si="53"/>
        <v>0</v>
      </c>
      <c r="D263" s="53"/>
      <c r="E263" s="53"/>
      <c r="F263" s="53"/>
      <c r="G263" s="694">
        <f t="shared" si="54"/>
        <v>0</v>
      </c>
      <c r="H263" s="694">
        <f t="shared" si="55"/>
        <v>0</v>
      </c>
      <c r="I263" s="694">
        <f t="shared" si="55"/>
        <v>0</v>
      </c>
      <c r="J263" s="694">
        <f t="shared" si="55"/>
        <v>0</v>
      </c>
      <c r="K263" s="694">
        <f t="shared" si="55"/>
        <v>0</v>
      </c>
      <c r="L263" s="694">
        <f t="shared" si="55"/>
        <v>0</v>
      </c>
      <c r="M263" s="694">
        <f t="shared" si="55"/>
        <v>0</v>
      </c>
      <c r="O263" s="353"/>
    </row>
    <row r="264" spans="1:15" outlineLevel="1">
      <c r="A264" s="509">
        <f>ROW()</f>
        <v>264</v>
      </c>
      <c r="B264" s="172" t="str">
        <f>$B$101</f>
        <v>Special Education Coordinator 5</v>
      </c>
      <c r="C264" s="146">
        <f t="shared" si="53"/>
        <v>0</v>
      </c>
      <c r="D264" s="53"/>
      <c r="E264" s="53"/>
      <c r="F264" s="53"/>
      <c r="G264" s="694">
        <f t="shared" si="54"/>
        <v>0</v>
      </c>
      <c r="H264" s="694">
        <f t="shared" si="55"/>
        <v>0</v>
      </c>
      <c r="I264" s="694">
        <f t="shared" si="55"/>
        <v>0</v>
      </c>
      <c r="J264" s="694">
        <f t="shared" si="55"/>
        <v>0</v>
      </c>
      <c r="K264" s="694">
        <f t="shared" si="55"/>
        <v>0</v>
      </c>
      <c r="L264" s="694">
        <f t="shared" si="55"/>
        <v>0</v>
      </c>
      <c r="M264" s="694">
        <f t="shared" si="55"/>
        <v>0</v>
      </c>
      <c r="O264" s="353"/>
    </row>
    <row r="265" spans="1:15" outlineLevel="1">
      <c r="A265" s="509">
        <f>ROW()</f>
        <v>265</v>
      </c>
      <c r="B265" s="172" t="str">
        <f>$B102</f>
        <v>SPED Specialist Assistant 6</v>
      </c>
      <c r="C265" s="146">
        <f t="shared" si="53"/>
        <v>0</v>
      </c>
      <c r="D265" s="53"/>
      <c r="E265" s="53"/>
      <c r="F265" s="53"/>
      <c r="G265" s="694">
        <f t="shared" si="54"/>
        <v>0</v>
      </c>
      <c r="H265" s="694">
        <f t="shared" si="55"/>
        <v>0</v>
      </c>
      <c r="I265" s="694">
        <f t="shared" si="55"/>
        <v>0</v>
      </c>
      <c r="J265" s="694">
        <f t="shared" si="55"/>
        <v>0</v>
      </c>
      <c r="K265" s="694">
        <f t="shared" si="55"/>
        <v>0</v>
      </c>
      <c r="L265" s="694">
        <f t="shared" si="55"/>
        <v>0</v>
      </c>
      <c r="M265" s="694">
        <f t="shared" si="55"/>
        <v>0</v>
      </c>
      <c r="O265" s="353"/>
    </row>
    <row r="266" spans="1:15" outlineLevel="1">
      <c r="A266" s="509">
        <f>ROW()</f>
        <v>266</v>
      </c>
      <c r="B266" s="172" t="str">
        <f>$B103</f>
        <v>SPED Specialist Assistant 7</v>
      </c>
      <c r="C266" s="146">
        <f t="shared" si="53"/>
        <v>0</v>
      </c>
      <c r="D266" s="53"/>
      <c r="E266" s="53"/>
      <c r="F266" s="53"/>
      <c r="G266" s="694">
        <f t="shared" si="54"/>
        <v>0</v>
      </c>
      <c r="H266" s="694">
        <f t="shared" si="55"/>
        <v>0</v>
      </c>
      <c r="I266" s="694">
        <f t="shared" si="55"/>
        <v>0</v>
      </c>
      <c r="J266" s="694">
        <f t="shared" si="55"/>
        <v>0</v>
      </c>
      <c r="K266" s="694">
        <f t="shared" si="55"/>
        <v>0</v>
      </c>
      <c r="L266" s="694">
        <f t="shared" si="55"/>
        <v>0</v>
      </c>
      <c r="M266" s="694">
        <f t="shared" si="55"/>
        <v>0</v>
      </c>
      <c r="O266" s="353"/>
    </row>
    <row r="267" spans="1:15" outlineLevel="1">
      <c r="A267" s="509">
        <f>ROW()</f>
        <v>267</v>
      </c>
      <c r="B267" s="172" t="str">
        <f>$B104</f>
        <v>SPED Specialist Assistant 7</v>
      </c>
      <c r="C267" s="146">
        <f t="shared" si="53"/>
        <v>0</v>
      </c>
      <c r="D267" s="53"/>
      <c r="E267" s="53"/>
      <c r="F267" s="53"/>
      <c r="G267" s="694">
        <f t="shared" si="54"/>
        <v>0</v>
      </c>
      <c r="H267" s="694">
        <f t="shared" si="55"/>
        <v>0</v>
      </c>
      <c r="I267" s="694">
        <f t="shared" si="55"/>
        <v>0</v>
      </c>
      <c r="J267" s="694">
        <f t="shared" si="55"/>
        <v>0</v>
      </c>
      <c r="K267" s="694">
        <f t="shared" si="55"/>
        <v>0</v>
      </c>
      <c r="L267" s="694">
        <f t="shared" si="55"/>
        <v>0</v>
      </c>
      <c r="M267" s="694">
        <f t="shared" si="55"/>
        <v>0</v>
      </c>
      <c r="O267" s="353"/>
    </row>
    <row r="268" spans="1:15" outlineLevel="1">
      <c r="A268" s="509">
        <f>ROW()</f>
        <v>268</v>
      </c>
      <c r="B268" s="172" t="str">
        <f>$B105</f>
        <v>SPED Specialist Assistant 7</v>
      </c>
      <c r="C268" s="146">
        <f t="shared" si="53"/>
        <v>0</v>
      </c>
      <c r="D268" s="53"/>
      <c r="E268" s="53"/>
      <c r="F268" s="53"/>
      <c r="G268" s="694">
        <f t="shared" si="54"/>
        <v>0</v>
      </c>
      <c r="H268" s="694">
        <f t="shared" si="55"/>
        <v>0</v>
      </c>
      <c r="I268" s="694">
        <f t="shared" si="55"/>
        <v>0</v>
      </c>
      <c r="J268" s="694">
        <f t="shared" si="55"/>
        <v>0</v>
      </c>
      <c r="K268" s="694">
        <f t="shared" si="55"/>
        <v>0</v>
      </c>
      <c r="L268" s="694">
        <f t="shared" si="55"/>
        <v>0</v>
      </c>
      <c r="M268" s="694">
        <f t="shared" si="55"/>
        <v>0</v>
      </c>
      <c r="O268" s="353"/>
    </row>
    <row r="269" spans="1:15" outlineLevel="1">
      <c r="A269" s="509">
        <f>ROW()</f>
        <v>269</v>
      </c>
      <c r="B269" s="1049" t="str">
        <f>$B106</f>
        <v>Total Special EducationTeachers</v>
      </c>
      <c r="C269" s="1050">
        <f t="shared" si="53"/>
        <v>1490000</v>
      </c>
      <c r="D269" s="1051"/>
      <c r="E269" s="1051"/>
      <c r="F269" s="1051"/>
      <c r="G269" s="1052">
        <f t="shared" ref="G269:M269" si="56">SUM(G260:G268)</f>
        <v>0</v>
      </c>
      <c r="H269" s="1052">
        <f t="shared" si="56"/>
        <v>151000</v>
      </c>
      <c r="I269" s="1052">
        <f t="shared" si="56"/>
        <v>239000</v>
      </c>
      <c r="J269" s="1052">
        <f t="shared" si="56"/>
        <v>239000</v>
      </c>
      <c r="K269" s="1052">
        <f t="shared" si="56"/>
        <v>287000</v>
      </c>
      <c r="L269" s="1052">
        <f t="shared" si="56"/>
        <v>287000</v>
      </c>
      <c r="M269" s="1052">
        <f t="shared" si="56"/>
        <v>287000</v>
      </c>
      <c r="O269" s="353"/>
    </row>
    <row r="270" spans="1:15" outlineLevel="1">
      <c r="A270" s="509">
        <f>ROW()</f>
        <v>270</v>
      </c>
      <c r="C270" s="146"/>
      <c r="D270" s="53"/>
      <c r="E270" s="53"/>
      <c r="F270" s="53"/>
      <c r="G270" s="146"/>
      <c r="H270" s="146"/>
      <c r="I270" s="146"/>
      <c r="J270" s="146"/>
      <c r="K270" s="146"/>
      <c r="L270" s="146"/>
      <c r="M270" s="146"/>
      <c r="O270" s="353"/>
    </row>
    <row r="271" spans="1:15" outlineLevel="1">
      <c r="A271" s="509">
        <f>ROW()</f>
        <v>271</v>
      </c>
      <c r="B271" s="179" t="str">
        <f t="shared" ref="B271:B281" si="57">$B110</f>
        <v>English Language Learner (ELL) Teachers (Full-time &amp; Part-Time w/benefits)</v>
      </c>
      <c r="C271" s="147"/>
      <c r="D271" s="115"/>
      <c r="E271" s="115"/>
      <c r="F271" s="115"/>
      <c r="G271" s="147"/>
      <c r="H271" s="147"/>
      <c r="I271" s="147"/>
      <c r="J271" s="147"/>
      <c r="K271" s="147"/>
      <c r="L271" s="147"/>
      <c r="M271" s="147"/>
      <c r="O271" s="353"/>
    </row>
    <row r="272" spans="1:15" outlineLevel="1">
      <c r="A272" s="509">
        <f>ROW()</f>
        <v>272</v>
      </c>
      <c r="B272" s="172" t="str">
        <f t="shared" si="57"/>
        <v>ELL Teacher/Reading Specialist</v>
      </c>
      <c r="C272" s="146">
        <f t="shared" ref="C272:C281" si="58">SUM(G272:M272)</f>
        <v>1100000</v>
      </c>
      <c r="D272" s="53"/>
      <c r="E272" s="53"/>
      <c r="F272" s="53"/>
      <c r="G272" s="694">
        <f t="shared" ref="G272:G280" si="59">G111*$D111</f>
        <v>0</v>
      </c>
      <c r="H272" s="694">
        <f t="shared" ref="H272:M280" si="60">(H111*$D111)</f>
        <v>150000</v>
      </c>
      <c r="I272" s="694">
        <f t="shared" si="60"/>
        <v>150000</v>
      </c>
      <c r="J272" s="694">
        <f t="shared" si="60"/>
        <v>200000</v>
      </c>
      <c r="K272" s="694">
        <f t="shared" si="60"/>
        <v>200000</v>
      </c>
      <c r="L272" s="694">
        <f t="shared" si="60"/>
        <v>200000</v>
      </c>
      <c r="M272" s="694">
        <f t="shared" si="60"/>
        <v>200000</v>
      </c>
      <c r="O272" s="353"/>
    </row>
    <row r="273" spans="1:15" outlineLevel="1">
      <c r="A273" s="509">
        <f>ROW()</f>
        <v>273</v>
      </c>
      <c r="B273" s="172" t="str">
        <f t="shared" si="57"/>
        <v>ELL Teacher/Reading Specialist</v>
      </c>
      <c r="C273" s="146">
        <f t="shared" si="58"/>
        <v>0</v>
      </c>
      <c r="D273" s="53"/>
      <c r="E273" s="53"/>
      <c r="F273" s="53"/>
      <c r="G273" s="694">
        <f t="shared" si="59"/>
        <v>0</v>
      </c>
      <c r="H273" s="694">
        <f t="shared" si="60"/>
        <v>0</v>
      </c>
      <c r="I273" s="694">
        <f t="shared" si="60"/>
        <v>0</v>
      </c>
      <c r="J273" s="694">
        <f t="shared" si="60"/>
        <v>0</v>
      </c>
      <c r="K273" s="694">
        <f t="shared" si="60"/>
        <v>0</v>
      </c>
      <c r="L273" s="694">
        <f t="shared" si="60"/>
        <v>0</v>
      </c>
      <c r="M273" s="694">
        <f t="shared" si="60"/>
        <v>0</v>
      </c>
      <c r="O273" s="353"/>
    </row>
    <row r="274" spans="1:15" outlineLevel="1">
      <c r="A274" s="509">
        <f>ROW()</f>
        <v>274</v>
      </c>
      <c r="B274" s="172" t="str">
        <f t="shared" si="57"/>
        <v>ELL Teacher/Reading Specialist</v>
      </c>
      <c r="C274" s="146">
        <f t="shared" si="58"/>
        <v>0</v>
      </c>
      <c r="D274" s="53"/>
      <c r="E274" s="53"/>
      <c r="F274" s="53"/>
      <c r="G274" s="694">
        <f t="shared" si="59"/>
        <v>0</v>
      </c>
      <c r="H274" s="694">
        <f t="shared" si="60"/>
        <v>0</v>
      </c>
      <c r="I274" s="694">
        <f t="shared" si="60"/>
        <v>0</v>
      </c>
      <c r="J274" s="694">
        <f t="shared" si="60"/>
        <v>0</v>
      </c>
      <c r="K274" s="694">
        <f t="shared" si="60"/>
        <v>0</v>
      </c>
      <c r="L274" s="694">
        <f t="shared" si="60"/>
        <v>0</v>
      </c>
      <c r="M274" s="694">
        <f t="shared" si="60"/>
        <v>0</v>
      </c>
      <c r="O274" s="353"/>
    </row>
    <row r="275" spans="1:15" outlineLevel="1">
      <c r="A275" s="509">
        <f>ROW()</f>
        <v>275</v>
      </c>
      <c r="B275" s="172">
        <f t="shared" si="57"/>
        <v>0</v>
      </c>
      <c r="C275" s="146">
        <f t="shared" si="58"/>
        <v>0</v>
      </c>
      <c r="D275" s="53"/>
      <c r="E275" s="53"/>
      <c r="F275" s="53"/>
      <c r="G275" s="694">
        <f t="shared" si="59"/>
        <v>0</v>
      </c>
      <c r="H275" s="694">
        <f t="shared" si="60"/>
        <v>0</v>
      </c>
      <c r="I275" s="694">
        <f t="shared" si="60"/>
        <v>0</v>
      </c>
      <c r="J275" s="694">
        <f t="shared" si="60"/>
        <v>0</v>
      </c>
      <c r="K275" s="694">
        <f t="shared" si="60"/>
        <v>0</v>
      </c>
      <c r="L275" s="694">
        <f t="shared" si="60"/>
        <v>0</v>
      </c>
      <c r="M275" s="694">
        <f t="shared" si="60"/>
        <v>0</v>
      </c>
      <c r="O275" s="353"/>
    </row>
    <row r="276" spans="1:15" outlineLevel="1">
      <c r="A276" s="509">
        <f>ROW()</f>
        <v>276</v>
      </c>
      <c r="B276" s="172">
        <f t="shared" si="57"/>
        <v>0</v>
      </c>
      <c r="C276" s="146">
        <f t="shared" si="58"/>
        <v>0</v>
      </c>
      <c r="D276" s="53"/>
      <c r="E276" s="53"/>
      <c r="F276" s="53"/>
      <c r="G276" s="694">
        <f t="shared" si="59"/>
        <v>0</v>
      </c>
      <c r="H276" s="694">
        <f t="shared" si="60"/>
        <v>0</v>
      </c>
      <c r="I276" s="694">
        <f t="shared" si="60"/>
        <v>0</v>
      </c>
      <c r="J276" s="694">
        <f t="shared" si="60"/>
        <v>0</v>
      </c>
      <c r="K276" s="694">
        <f t="shared" si="60"/>
        <v>0</v>
      </c>
      <c r="L276" s="694">
        <f t="shared" si="60"/>
        <v>0</v>
      </c>
      <c r="M276" s="694">
        <f t="shared" si="60"/>
        <v>0</v>
      </c>
      <c r="O276" s="353"/>
    </row>
    <row r="277" spans="1:15" outlineLevel="1">
      <c r="A277" s="509">
        <f>ROW()</f>
        <v>277</v>
      </c>
      <c r="B277" s="172">
        <f t="shared" si="57"/>
        <v>0</v>
      </c>
      <c r="C277" s="146">
        <f t="shared" si="58"/>
        <v>0</v>
      </c>
      <c r="D277" s="53"/>
      <c r="E277" s="53"/>
      <c r="F277" s="53"/>
      <c r="G277" s="694">
        <f t="shared" si="59"/>
        <v>0</v>
      </c>
      <c r="H277" s="694">
        <f t="shared" si="60"/>
        <v>0</v>
      </c>
      <c r="I277" s="694">
        <f t="shared" si="60"/>
        <v>0</v>
      </c>
      <c r="J277" s="694">
        <f t="shared" si="60"/>
        <v>0</v>
      </c>
      <c r="K277" s="694">
        <f t="shared" si="60"/>
        <v>0</v>
      </c>
      <c r="L277" s="694">
        <f t="shared" si="60"/>
        <v>0</v>
      </c>
      <c r="M277" s="694">
        <f t="shared" si="60"/>
        <v>0</v>
      </c>
      <c r="O277" s="353"/>
    </row>
    <row r="278" spans="1:15" outlineLevel="1">
      <c r="A278" s="509">
        <f>ROW()</f>
        <v>278</v>
      </c>
      <c r="B278" s="172">
        <f t="shared" si="57"/>
        <v>0</v>
      </c>
      <c r="C278" s="146">
        <f t="shared" si="58"/>
        <v>0</v>
      </c>
      <c r="D278" s="53"/>
      <c r="E278" s="53"/>
      <c r="F278" s="53"/>
      <c r="G278" s="694">
        <f t="shared" si="59"/>
        <v>0</v>
      </c>
      <c r="H278" s="694">
        <f t="shared" si="60"/>
        <v>0</v>
      </c>
      <c r="I278" s="694">
        <f t="shared" si="60"/>
        <v>0</v>
      </c>
      <c r="J278" s="694">
        <f t="shared" si="60"/>
        <v>0</v>
      </c>
      <c r="K278" s="694">
        <f t="shared" si="60"/>
        <v>0</v>
      </c>
      <c r="L278" s="694">
        <f t="shared" si="60"/>
        <v>0</v>
      </c>
      <c r="M278" s="694">
        <f t="shared" si="60"/>
        <v>0</v>
      </c>
      <c r="O278" s="353"/>
    </row>
    <row r="279" spans="1:15" outlineLevel="1">
      <c r="A279" s="509">
        <f>ROW()</f>
        <v>279</v>
      </c>
      <c r="B279" s="172">
        <f t="shared" si="57"/>
        <v>0</v>
      </c>
      <c r="C279" s="146">
        <f t="shared" si="58"/>
        <v>0</v>
      </c>
      <c r="D279" s="53"/>
      <c r="E279" s="53"/>
      <c r="F279" s="53"/>
      <c r="G279" s="694">
        <f t="shared" si="59"/>
        <v>0</v>
      </c>
      <c r="H279" s="694">
        <f t="shared" si="60"/>
        <v>0</v>
      </c>
      <c r="I279" s="694">
        <f t="shared" si="60"/>
        <v>0</v>
      </c>
      <c r="J279" s="694">
        <f t="shared" si="60"/>
        <v>0</v>
      </c>
      <c r="K279" s="694">
        <f t="shared" si="60"/>
        <v>0</v>
      </c>
      <c r="L279" s="694">
        <f t="shared" si="60"/>
        <v>0</v>
      </c>
      <c r="M279" s="694">
        <f t="shared" si="60"/>
        <v>0</v>
      </c>
      <c r="O279" s="353"/>
    </row>
    <row r="280" spans="1:15" outlineLevel="1">
      <c r="A280" s="509">
        <f>ROW()</f>
        <v>280</v>
      </c>
      <c r="B280" s="172">
        <f t="shared" si="57"/>
        <v>0</v>
      </c>
      <c r="C280" s="146">
        <f t="shared" si="58"/>
        <v>0</v>
      </c>
      <c r="D280" s="53"/>
      <c r="E280" s="53"/>
      <c r="F280" s="53"/>
      <c r="G280" s="694">
        <f t="shared" si="59"/>
        <v>0</v>
      </c>
      <c r="H280" s="694">
        <f t="shared" si="60"/>
        <v>0</v>
      </c>
      <c r="I280" s="694">
        <f t="shared" si="60"/>
        <v>0</v>
      </c>
      <c r="J280" s="694">
        <f t="shared" si="60"/>
        <v>0</v>
      </c>
      <c r="K280" s="694">
        <f t="shared" si="60"/>
        <v>0</v>
      </c>
      <c r="L280" s="694">
        <f t="shared" si="60"/>
        <v>0</v>
      </c>
      <c r="M280" s="694">
        <f t="shared" si="60"/>
        <v>0</v>
      </c>
      <c r="O280" s="353"/>
    </row>
    <row r="281" spans="1:15" outlineLevel="1">
      <c r="A281" s="509">
        <f>ROW()</f>
        <v>281</v>
      </c>
      <c r="B281" s="1049" t="str">
        <f t="shared" si="57"/>
        <v>Total ELL Teachers</v>
      </c>
      <c r="C281" s="1050">
        <f t="shared" si="58"/>
        <v>1100000</v>
      </c>
      <c r="D281" s="1048"/>
      <c r="E281" s="1048"/>
      <c r="F281" s="1048"/>
      <c r="G281" s="1052">
        <f t="shared" ref="G281:M281" si="61">SUM(G272:G280)</f>
        <v>0</v>
      </c>
      <c r="H281" s="1052">
        <f t="shared" si="61"/>
        <v>150000</v>
      </c>
      <c r="I281" s="1052">
        <f t="shared" si="61"/>
        <v>150000</v>
      </c>
      <c r="J281" s="1052">
        <f t="shared" si="61"/>
        <v>200000</v>
      </c>
      <c r="K281" s="1052">
        <f t="shared" si="61"/>
        <v>200000</v>
      </c>
      <c r="L281" s="1052">
        <f t="shared" si="61"/>
        <v>200000</v>
      </c>
      <c r="M281" s="1052">
        <f t="shared" si="61"/>
        <v>200000</v>
      </c>
      <c r="O281" s="353"/>
    </row>
    <row r="282" spans="1:15" outlineLevel="1">
      <c r="A282" s="509">
        <f>ROW()</f>
        <v>282</v>
      </c>
      <c r="C282" s="146"/>
      <c r="D282" s="53"/>
      <c r="E282" s="53"/>
      <c r="F282" s="53"/>
      <c r="G282" s="146"/>
      <c r="H282" s="146"/>
      <c r="I282" s="146"/>
      <c r="J282" s="146"/>
      <c r="K282" s="146"/>
      <c r="L282" s="146"/>
      <c r="M282" s="146"/>
      <c r="O282" s="353"/>
    </row>
    <row r="283" spans="1:15" outlineLevel="1">
      <c r="A283" s="509">
        <f>ROW()</f>
        <v>283</v>
      </c>
      <c r="B283" s="179" t="str">
        <f t="shared" ref="B283:B293" si="62">$B122</f>
        <v>Guidance Counselor &amp; Other Staff (Full-time &amp; Part-Time w/benefits)</v>
      </c>
      <c r="C283" s="147"/>
      <c r="D283" s="115"/>
      <c r="E283" s="115"/>
      <c r="F283" s="115"/>
      <c r="G283" s="147"/>
      <c r="H283" s="147"/>
      <c r="I283" s="147"/>
      <c r="J283" s="147"/>
      <c r="K283" s="147"/>
      <c r="L283" s="147"/>
      <c r="M283" s="147"/>
      <c r="O283" s="353"/>
    </row>
    <row r="284" spans="1:15" outlineLevel="1">
      <c r="A284" s="509">
        <f>ROW()</f>
        <v>284</v>
      </c>
      <c r="B284" s="172" t="str">
        <f t="shared" si="62"/>
        <v>Nurse</v>
      </c>
      <c r="C284" s="146">
        <f t="shared" ref="C284:C293" si="63">SUM(G284:M284)</f>
        <v>252000</v>
      </c>
      <c r="D284" s="53"/>
      <c r="E284" s="53"/>
      <c r="F284" s="53"/>
      <c r="G284" s="694">
        <f t="shared" ref="G284:G292" si="64">G123*$D123</f>
        <v>0</v>
      </c>
      <c r="H284" s="694">
        <f t="shared" ref="H284:M292" si="65">(H123*$D123)</f>
        <v>42000</v>
      </c>
      <c r="I284" s="694">
        <f t="shared" si="65"/>
        <v>42000</v>
      </c>
      <c r="J284" s="694">
        <f t="shared" si="65"/>
        <v>42000</v>
      </c>
      <c r="K284" s="694">
        <f t="shared" si="65"/>
        <v>42000</v>
      </c>
      <c r="L284" s="694">
        <f t="shared" si="65"/>
        <v>42000</v>
      </c>
      <c r="M284" s="694">
        <f t="shared" si="65"/>
        <v>42000</v>
      </c>
      <c r="O284" s="353"/>
    </row>
    <row r="285" spans="1:15" outlineLevel="1">
      <c r="A285" s="509">
        <f>ROW()</f>
        <v>285</v>
      </c>
      <c r="B285" s="172" t="str">
        <f t="shared" si="62"/>
        <v>Guidance Counselor</v>
      </c>
      <c r="C285" s="146">
        <f t="shared" si="63"/>
        <v>180000</v>
      </c>
      <c r="D285" s="53"/>
      <c r="E285" s="53"/>
      <c r="F285" s="53"/>
      <c r="G285" s="694">
        <f t="shared" si="64"/>
        <v>0</v>
      </c>
      <c r="H285" s="694">
        <f t="shared" si="65"/>
        <v>0</v>
      </c>
      <c r="I285" s="694">
        <f t="shared" si="65"/>
        <v>0</v>
      </c>
      <c r="J285" s="694">
        <f t="shared" si="65"/>
        <v>45000</v>
      </c>
      <c r="K285" s="694">
        <f t="shared" si="65"/>
        <v>45000</v>
      </c>
      <c r="L285" s="694">
        <f t="shared" si="65"/>
        <v>45000</v>
      </c>
      <c r="M285" s="694">
        <f t="shared" si="65"/>
        <v>45000</v>
      </c>
      <c r="O285" s="353"/>
    </row>
    <row r="286" spans="1:15" outlineLevel="1">
      <c r="A286" s="509">
        <f>ROW()</f>
        <v>286</v>
      </c>
      <c r="B286" s="172" t="str">
        <f t="shared" si="62"/>
        <v>School Psychologist</v>
      </c>
      <c r="C286" s="146">
        <f t="shared" si="63"/>
        <v>275000</v>
      </c>
      <c r="D286" s="53"/>
      <c r="E286" s="53"/>
      <c r="F286" s="53"/>
      <c r="G286" s="694">
        <f t="shared" si="64"/>
        <v>0</v>
      </c>
      <c r="H286" s="694"/>
      <c r="I286" s="694">
        <f t="shared" si="65"/>
        <v>55000</v>
      </c>
      <c r="J286" s="694">
        <f t="shared" si="65"/>
        <v>55000</v>
      </c>
      <c r="K286" s="694">
        <f t="shared" si="65"/>
        <v>55000</v>
      </c>
      <c r="L286" s="694">
        <f t="shared" si="65"/>
        <v>55000</v>
      </c>
      <c r="M286" s="694">
        <f t="shared" si="65"/>
        <v>55000</v>
      </c>
      <c r="O286" s="353"/>
    </row>
    <row r="287" spans="1:15" outlineLevel="1">
      <c r="A287" s="509">
        <f>ROW()</f>
        <v>287</v>
      </c>
      <c r="B287" s="172">
        <f t="shared" si="62"/>
        <v>0</v>
      </c>
      <c r="C287" s="146">
        <f t="shared" si="63"/>
        <v>0</v>
      </c>
      <c r="D287" s="53"/>
      <c r="E287" s="53"/>
      <c r="F287" s="53"/>
      <c r="G287" s="694">
        <f t="shared" si="64"/>
        <v>0</v>
      </c>
      <c r="H287" s="694">
        <f t="shared" si="65"/>
        <v>0</v>
      </c>
      <c r="I287" s="694">
        <f t="shared" si="65"/>
        <v>0</v>
      </c>
      <c r="J287" s="694">
        <f t="shared" si="65"/>
        <v>0</v>
      </c>
      <c r="K287" s="694">
        <f t="shared" si="65"/>
        <v>0</v>
      </c>
      <c r="L287" s="694">
        <f t="shared" si="65"/>
        <v>0</v>
      </c>
      <c r="M287" s="694">
        <f t="shared" si="65"/>
        <v>0</v>
      </c>
      <c r="O287" s="353"/>
    </row>
    <row r="288" spans="1:15" outlineLevel="1">
      <c r="A288" s="509">
        <f>ROW()</f>
        <v>288</v>
      </c>
      <c r="B288" s="172">
        <f t="shared" si="62"/>
        <v>0</v>
      </c>
      <c r="C288" s="146">
        <f t="shared" si="63"/>
        <v>0</v>
      </c>
      <c r="D288" s="53"/>
      <c r="E288" s="53"/>
      <c r="F288" s="53"/>
      <c r="G288" s="694">
        <f t="shared" si="64"/>
        <v>0</v>
      </c>
      <c r="H288" s="694">
        <f t="shared" si="65"/>
        <v>0</v>
      </c>
      <c r="I288" s="694">
        <f t="shared" si="65"/>
        <v>0</v>
      </c>
      <c r="J288" s="694">
        <f t="shared" si="65"/>
        <v>0</v>
      </c>
      <c r="K288" s="694">
        <f t="shared" si="65"/>
        <v>0</v>
      </c>
      <c r="L288" s="694">
        <f t="shared" si="65"/>
        <v>0</v>
      </c>
      <c r="M288" s="694">
        <f t="shared" si="65"/>
        <v>0</v>
      </c>
      <c r="O288" s="353"/>
    </row>
    <row r="289" spans="1:15" outlineLevel="1">
      <c r="A289" s="509">
        <f>ROW()</f>
        <v>289</v>
      </c>
      <c r="B289" s="172">
        <f t="shared" si="62"/>
        <v>0</v>
      </c>
      <c r="C289" s="146">
        <f t="shared" si="63"/>
        <v>0</v>
      </c>
      <c r="D289" s="53"/>
      <c r="E289" s="53"/>
      <c r="F289" s="53"/>
      <c r="G289" s="694">
        <f t="shared" si="64"/>
        <v>0</v>
      </c>
      <c r="H289" s="694">
        <f t="shared" si="65"/>
        <v>0</v>
      </c>
      <c r="I289" s="694">
        <f t="shared" si="65"/>
        <v>0</v>
      </c>
      <c r="J289" s="694">
        <f t="shared" si="65"/>
        <v>0</v>
      </c>
      <c r="K289" s="694">
        <f t="shared" si="65"/>
        <v>0</v>
      </c>
      <c r="L289" s="694">
        <f t="shared" si="65"/>
        <v>0</v>
      </c>
      <c r="M289" s="694">
        <f t="shared" si="65"/>
        <v>0</v>
      </c>
      <c r="O289" s="353"/>
    </row>
    <row r="290" spans="1:15" outlineLevel="1">
      <c r="A290" s="509">
        <f>ROW()</f>
        <v>290</v>
      </c>
      <c r="B290" s="172">
        <f t="shared" si="62"/>
        <v>0</v>
      </c>
      <c r="C290" s="146">
        <f t="shared" si="63"/>
        <v>0</v>
      </c>
      <c r="D290" s="53"/>
      <c r="E290" s="53"/>
      <c r="F290" s="53"/>
      <c r="G290" s="694">
        <f t="shared" si="64"/>
        <v>0</v>
      </c>
      <c r="H290" s="694">
        <f t="shared" si="65"/>
        <v>0</v>
      </c>
      <c r="I290" s="694">
        <f t="shared" si="65"/>
        <v>0</v>
      </c>
      <c r="J290" s="694">
        <f t="shared" si="65"/>
        <v>0</v>
      </c>
      <c r="K290" s="694">
        <f t="shared" si="65"/>
        <v>0</v>
      </c>
      <c r="L290" s="694">
        <f t="shared" si="65"/>
        <v>0</v>
      </c>
      <c r="M290" s="694">
        <f t="shared" si="65"/>
        <v>0</v>
      </c>
      <c r="O290" s="353"/>
    </row>
    <row r="291" spans="1:15" outlineLevel="1">
      <c r="A291" s="509">
        <f>ROW()</f>
        <v>291</v>
      </c>
      <c r="B291" s="172">
        <f t="shared" si="62"/>
        <v>0</v>
      </c>
      <c r="C291" s="146">
        <f t="shared" si="63"/>
        <v>0</v>
      </c>
      <c r="D291" s="53"/>
      <c r="E291" s="53"/>
      <c r="F291" s="53"/>
      <c r="G291" s="694">
        <f t="shared" si="64"/>
        <v>0</v>
      </c>
      <c r="H291" s="694">
        <f t="shared" si="65"/>
        <v>0</v>
      </c>
      <c r="I291" s="694">
        <f t="shared" si="65"/>
        <v>0</v>
      </c>
      <c r="J291" s="694">
        <f t="shared" si="65"/>
        <v>0</v>
      </c>
      <c r="K291" s="694">
        <f t="shared" si="65"/>
        <v>0</v>
      </c>
      <c r="L291" s="694">
        <f t="shared" si="65"/>
        <v>0</v>
      </c>
      <c r="M291" s="694">
        <f t="shared" si="65"/>
        <v>0</v>
      </c>
      <c r="O291" s="353"/>
    </row>
    <row r="292" spans="1:15" outlineLevel="1">
      <c r="A292" s="509">
        <f>ROW()</f>
        <v>292</v>
      </c>
      <c r="B292" s="172">
        <f t="shared" si="62"/>
        <v>0</v>
      </c>
      <c r="C292" s="146">
        <f t="shared" si="63"/>
        <v>0</v>
      </c>
      <c r="D292" s="53"/>
      <c r="E292" s="53"/>
      <c r="F292" s="53"/>
      <c r="G292" s="694">
        <f t="shared" si="64"/>
        <v>0</v>
      </c>
      <c r="H292" s="694">
        <f t="shared" si="65"/>
        <v>0</v>
      </c>
      <c r="I292" s="694">
        <f t="shared" si="65"/>
        <v>0</v>
      </c>
      <c r="J292" s="694">
        <f t="shared" si="65"/>
        <v>0</v>
      </c>
      <c r="K292" s="694">
        <f t="shared" si="65"/>
        <v>0</v>
      </c>
      <c r="L292" s="694">
        <f t="shared" si="65"/>
        <v>0</v>
      </c>
      <c r="M292" s="694">
        <f t="shared" si="65"/>
        <v>0</v>
      </c>
      <c r="O292" s="353"/>
    </row>
    <row r="293" spans="1:15" outlineLevel="1">
      <c r="A293" s="509">
        <f>ROW()</f>
        <v>293</v>
      </c>
      <c r="B293" s="1053" t="str">
        <f t="shared" si="62"/>
        <v>Total Guidance Counselors/Other</v>
      </c>
      <c r="C293" s="1050">
        <f t="shared" si="63"/>
        <v>707000</v>
      </c>
      <c r="D293" s="1051"/>
      <c r="E293" s="1051"/>
      <c r="F293" s="1051"/>
      <c r="G293" s="1052">
        <f t="shared" ref="G293:H293" si="66">SUM(G284:G292)</f>
        <v>0</v>
      </c>
      <c r="H293" s="1052">
        <f t="shared" si="66"/>
        <v>42000</v>
      </c>
      <c r="I293" s="1052">
        <f t="shared" ref="I293:M293" si="67">SUM(I284:I292)</f>
        <v>97000</v>
      </c>
      <c r="J293" s="1052">
        <f t="shared" si="67"/>
        <v>142000</v>
      </c>
      <c r="K293" s="1052">
        <f t="shared" si="67"/>
        <v>142000</v>
      </c>
      <c r="L293" s="1052">
        <f t="shared" si="67"/>
        <v>142000</v>
      </c>
      <c r="M293" s="1052">
        <f t="shared" si="67"/>
        <v>142000</v>
      </c>
      <c r="O293" s="353"/>
    </row>
    <row r="294" spans="1:15" outlineLevel="1">
      <c r="A294" s="509">
        <f>ROW()</f>
        <v>294</v>
      </c>
      <c r="C294" s="53"/>
      <c r="D294" s="53"/>
      <c r="E294" s="53"/>
      <c r="F294" s="53"/>
      <c r="G294" s="146"/>
      <c r="H294" s="146"/>
      <c r="I294" s="146"/>
      <c r="J294" s="146"/>
      <c r="K294" s="146"/>
      <c r="L294" s="146"/>
      <c r="M294" s="146"/>
      <c r="O294" s="353"/>
    </row>
    <row r="295" spans="1:15" outlineLevel="1">
      <c r="A295" s="509">
        <f>ROW()</f>
        <v>295</v>
      </c>
      <c r="B295" s="187" t="str">
        <f>$B141</f>
        <v>Grade Level Teacher</v>
      </c>
      <c r="C295" s="118">
        <f t="shared" ref="C295:C326" si="68">SUM(G295:M295)</f>
        <v>0</v>
      </c>
      <c r="D295" s="118"/>
      <c r="E295" s="118"/>
      <c r="F295" s="118"/>
      <c r="G295" s="694">
        <f>G141*$E141</f>
        <v>0</v>
      </c>
      <c r="H295" s="694">
        <f t="shared" ref="H295:M297" si="69">(H141*$E141)</f>
        <v>0</v>
      </c>
      <c r="I295" s="694">
        <f t="shared" si="69"/>
        <v>0</v>
      </c>
      <c r="J295" s="694">
        <f t="shared" si="69"/>
        <v>0</v>
      </c>
      <c r="K295" s="694">
        <f t="shared" si="69"/>
        <v>0</v>
      </c>
      <c r="L295" s="694">
        <f t="shared" si="69"/>
        <v>0</v>
      </c>
      <c r="M295" s="694">
        <f t="shared" si="69"/>
        <v>0</v>
      </c>
      <c r="N295" s="116"/>
      <c r="O295" s="353"/>
    </row>
    <row r="296" spans="1:15" outlineLevel="1">
      <c r="A296" s="509">
        <f>ROW()</f>
        <v>296</v>
      </c>
      <c r="B296" s="187" t="str">
        <f>$B142</f>
        <v>Grade Level Teacher</v>
      </c>
      <c r="C296" s="118">
        <f t="shared" si="68"/>
        <v>0</v>
      </c>
      <c r="D296" s="118"/>
      <c r="E296" s="118"/>
      <c r="F296" s="118"/>
      <c r="G296" s="694">
        <f>G142*$E142</f>
        <v>0</v>
      </c>
      <c r="H296" s="694">
        <f t="shared" si="69"/>
        <v>0</v>
      </c>
      <c r="I296" s="694">
        <f t="shared" si="69"/>
        <v>0</v>
      </c>
      <c r="J296" s="694">
        <f t="shared" si="69"/>
        <v>0</v>
      </c>
      <c r="K296" s="694">
        <f t="shared" si="69"/>
        <v>0</v>
      </c>
      <c r="L296" s="694">
        <f t="shared" si="69"/>
        <v>0</v>
      </c>
      <c r="M296" s="694">
        <f t="shared" si="69"/>
        <v>0</v>
      </c>
      <c r="N296" s="116"/>
      <c r="O296" s="353"/>
    </row>
    <row r="297" spans="1:15" outlineLevel="1">
      <c r="A297" s="509">
        <f>ROW()</f>
        <v>297</v>
      </c>
      <c r="B297" s="187" t="str">
        <f>$B143</f>
        <v>Grade Level Teacher</v>
      </c>
      <c r="C297" s="118">
        <f t="shared" si="68"/>
        <v>0</v>
      </c>
      <c r="D297" s="118"/>
      <c r="E297" s="118"/>
      <c r="F297" s="118"/>
      <c r="G297" s="694">
        <f>G143*$E143</f>
        <v>0</v>
      </c>
      <c r="H297" s="694">
        <f t="shared" si="69"/>
        <v>0</v>
      </c>
      <c r="I297" s="694">
        <f t="shared" si="69"/>
        <v>0</v>
      </c>
      <c r="J297" s="694">
        <f t="shared" si="69"/>
        <v>0</v>
      </c>
      <c r="K297" s="694">
        <f t="shared" si="69"/>
        <v>0</v>
      </c>
      <c r="L297" s="694">
        <f t="shared" si="69"/>
        <v>0</v>
      </c>
      <c r="M297" s="694">
        <f t="shared" si="69"/>
        <v>0</v>
      </c>
      <c r="N297" s="116"/>
      <c r="O297" s="353"/>
    </row>
    <row r="298" spans="1:15" outlineLevel="1">
      <c r="A298" s="509">
        <f>ROW()</f>
        <v>298</v>
      </c>
      <c r="B298" s="187"/>
      <c r="C298" s="118">
        <f t="shared" si="68"/>
        <v>0</v>
      </c>
      <c r="D298" s="118"/>
      <c r="E298" s="118"/>
      <c r="F298" s="118"/>
      <c r="G298" s="694"/>
      <c r="H298" s="694"/>
      <c r="I298" s="694"/>
      <c r="J298" s="694"/>
      <c r="K298" s="694"/>
      <c r="L298" s="694"/>
      <c r="M298" s="694"/>
      <c r="N298" s="116"/>
      <c r="O298" s="353"/>
    </row>
    <row r="299" spans="1:15" outlineLevel="1">
      <c r="A299" s="509">
        <f>ROW()</f>
        <v>299</v>
      </c>
      <c r="B299" s="187" t="str">
        <f>$B145</f>
        <v>Kindergarten Teacher</v>
      </c>
      <c r="C299" s="118">
        <f t="shared" si="68"/>
        <v>1080000</v>
      </c>
      <c r="D299" s="118"/>
      <c r="E299" s="118"/>
      <c r="F299" s="118"/>
      <c r="G299" s="694">
        <f>G145*$E145</f>
        <v>0</v>
      </c>
      <c r="H299" s="694">
        <f t="shared" ref="H299:M303" si="70">(H145*$E145)</f>
        <v>180000</v>
      </c>
      <c r="I299" s="694">
        <f t="shared" si="70"/>
        <v>180000</v>
      </c>
      <c r="J299" s="694">
        <f t="shared" si="70"/>
        <v>180000</v>
      </c>
      <c r="K299" s="694">
        <f t="shared" si="70"/>
        <v>180000</v>
      </c>
      <c r="L299" s="694">
        <f t="shared" si="70"/>
        <v>180000</v>
      </c>
      <c r="M299" s="694">
        <f t="shared" si="70"/>
        <v>180000</v>
      </c>
      <c r="N299" s="116"/>
      <c r="O299" s="353"/>
    </row>
    <row r="300" spans="1:15" outlineLevel="1">
      <c r="A300" s="509">
        <f>ROW()</f>
        <v>300</v>
      </c>
      <c r="B300" s="187" t="str">
        <f>$B146</f>
        <v>Kindergarten Teacher</v>
      </c>
      <c r="C300" s="118">
        <f t="shared" si="68"/>
        <v>0</v>
      </c>
      <c r="D300" s="118"/>
      <c r="E300" s="118"/>
      <c r="F300" s="118"/>
      <c r="G300" s="694">
        <f>G146*$E146</f>
        <v>0</v>
      </c>
      <c r="H300" s="694">
        <f t="shared" si="70"/>
        <v>0</v>
      </c>
      <c r="I300" s="694">
        <f t="shared" si="70"/>
        <v>0</v>
      </c>
      <c r="J300" s="694">
        <f t="shared" si="70"/>
        <v>0</v>
      </c>
      <c r="K300" s="694">
        <f t="shared" si="70"/>
        <v>0</v>
      </c>
      <c r="L300" s="694">
        <f t="shared" si="70"/>
        <v>0</v>
      </c>
      <c r="M300" s="694">
        <f t="shared" si="70"/>
        <v>0</v>
      </c>
      <c r="N300" s="116"/>
      <c r="O300" s="353"/>
    </row>
    <row r="301" spans="1:15" outlineLevel="1">
      <c r="A301" s="509">
        <f>ROW()</f>
        <v>301</v>
      </c>
      <c r="B301" s="187" t="str">
        <f>$B147</f>
        <v>Kindergarten Teacher</v>
      </c>
      <c r="C301" s="118">
        <f t="shared" si="68"/>
        <v>0</v>
      </c>
      <c r="D301" s="118"/>
      <c r="E301" s="118"/>
      <c r="F301" s="118"/>
      <c r="G301" s="694">
        <f>G147*$E147</f>
        <v>0</v>
      </c>
      <c r="H301" s="694">
        <f t="shared" si="70"/>
        <v>0</v>
      </c>
      <c r="I301" s="694">
        <f t="shared" si="70"/>
        <v>0</v>
      </c>
      <c r="J301" s="694">
        <f t="shared" si="70"/>
        <v>0</v>
      </c>
      <c r="K301" s="694">
        <f t="shared" si="70"/>
        <v>0</v>
      </c>
      <c r="L301" s="694">
        <f t="shared" si="70"/>
        <v>0</v>
      </c>
      <c r="M301" s="694">
        <f t="shared" si="70"/>
        <v>0</v>
      </c>
      <c r="N301" s="116"/>
      <c r="O301" s="353"/>
    </row>
    <row r="302" spans="1:15" outlineLevel="1">
      <c r="A302" s="509">
        <f>ROW()</f>
        <v>302</v>
      </c>
      <c r="B302" s="187" t="str">
        <f>$B148</f>
        <v>Kindergarten Teacher</v>
      </c>
      <c r="C302" s="118">
        <f t="shared" si="68"/>
        <v>0</v>
      </c>
      <c r="D302" s="118"/>
      <c r="E302" s="118"/>
      <c r="F302" s="118"/>
      <c r="G302" s="694">
        <f>G148*$E148</f>
        <v>0</v>
      </c>
      <c r="H302" s="694">
        <f t="shared" si="70"/>
        <v>0</v>
      </c>
      <c r="I302" s="694">
        <f t="shared" si="70"/>
        <v>0</v>
      </c>
      <c r="J302" s="694">
        <f t="shared" si="70"/>
        <v>0</v>
      </c>
      <c r="K302" s="694">
        <f t="shared" si="70"/>
        <v>0</v>
      </c>
      <c r="L302" s="694">
        <f t="shared" si="70"/>
        <v>0</v>
      </c>
      <c r="M302" s="694">
        <f t="shared" si="70"/>
        <v>0</v>
      </c>
      <c r="N302" s="116"/>
      <c r="O302" s="353"/>
    </row>
    <row r="303" spans="1:15" outlineLevel="1">
      <c r="A303" s="509">
        <f>ROW()</f>
        <v>303</v>
      </c>
      <c r="B303" s="187">
        <f>$B149</f>
        <v>0</v>
      </c>
      <c r="C303" s="118">
        <f t="shared" si="68"/>
        <v>0</v>
      </c>
      <c r="D303" s="118"/>
      <c r="E303" s="118"/>
      <c r="F303" s="118"/>
      <c r="G303" s="694">
        <f>G149*$E149</f>
        <v>0</v>
      </c>
      <c r="H303" s="694">
        <f t="shared" si="70"/>
        <v>0</v>
      </c>
      <c r="I303" s="694">
        <f t="shared" si="70"/>
        <v>0</v>
      </c>
      <c r="J303" s="694">
        <f t="shared" si="70"/>
        <v>0</v>
      </c>
      <c r="K303" s="694">
        <f t="shared" si="70"/>
        <v>0</v>
      </c>
      <c r="L303" s="694">
        <f t="shared" si="70"/>
        <v>0</v>
      </c>
      <c r="M303" s="694">
        <f t="shared" si="70"/>
        <v>0</v>
      </c>
      <c r="N303" s="116"/>
      <c r="O303" s="353"/>
    </row>
    <row r="304" spans="1:15" outlineLevel="1">
      <c r="A304" s="509">
        <f>ROW()</f>
        <v>304</v>
      </c>
      <c r="B304" s="187"/>
      <c r="C304" s="118">
        <f t="shared" si="68"/>
        <v>0</v>
      </c>
      <c r="D304" s="118"/>
      <c r="E304" s="118"/>
      <c r="F304" s="118"/>
      <c r="G304" s="694"/>
      <c r="H304" s="694"/>
      <c r="I304" s="694"/>
      <c r="J304" s="694"/>
      <c r="K304" s="694"/>
      <c r="L304" s="694"/>
      <c r="M304" s="694"/>
      <c r="N304" s="116"/>
      <c r="O304" s="353"/>
    </row>
    <row r="305" spans="1:15" outlineLevel="1">
      <c r="A305" s="509">
        <f>ROW()</f>
        <v>305</v>
      </c>
      <c r="B305" s="187" t="str">
        <f>$B151</f>
        <v>1st Grade Teacher</v>
      </c>
      <c r="C305" s="118">
        <f t="shared" si="68"/>
        <v>1080000</v>
      </c>
      <c r="D305" s="118"/>
      <c r="E305" s="118"/>
      <c r="F305" s="118"/>
      <c r="G305" s="694">
        <f>G151*$E151</f>
        <v>0</v>
      </c>
      <c r="H305" s="694">
        <f t="shared" ref="H305:M309" si="71">(H151*$E151)</f>
        <v>180000</v>
      </c>
      <c r="I305" s="694">
        <f t="shared" si="71"/>
        <v>180000</v>
      </c>
      <c r="J305" s="694">
        <f t="shared" si="71"/>
        <v>180000</v>
      </c>
      <c r="K305" s="694">
        <f t="shared" si="71"/>
        <v>180000</v>
      </c>
      <c r="L305" s="694">
        <f t="shared" si="71"/>
        <v>180000</v>
      </c>
      <c r="M305" s="694">
        <f t="shared" si="71"/>
        <v>180000</v>
      </c>
      <c r="N305" s="116"/>
      <c r="O305" s="353"/>
    </row>
    <row r="306" spans="1:15" outlineLevel="1">
      <c r="A306" s="509">
        <f>ROW()</f>
        <v>306</v>
      </c>
      <c r="B306" s="187" t="str">
        <f>$B152</f>
        <v>1st Grade Teacher</v>
      </c>
      <c r="C306" s="118">
        <f t="shared" si="68"/>
        <v>0</v>
      </c>
      <c r="D306" s="118"/>
      <c r="E306" s="118"/>
      <c r="F306" s="118"/>
      <c r="G306" s="694">
        <f>G152*$E152</f>
        <v>0</v>
      </c>
      <c r="H306" s="694">
        <f t="shared" si="71"/>
        <v>0</v>
      </c>
      <c r="I306" s="694">
        <f t="shared" si="71"/>
        <v>0</v>
      </c>
      <c r="J306" s="694">
        <f t="shared" si="71"/>
        <v>0</v>
      </c>
      <c r="K306" s="694">
        <f t="shared" si="71"/>
        <v>0</v>
      </c>
      <c r="L306" s="694">
        <f t="shared" si="71"/>
        <v>0</v>
      </c>
      <c r="M306" s="694">
        <f t="shared" si="71"/>
        <v>0</v>
      </c>
      <c r="N306" s="116"/>
      <c r="O306" s="353"/>
    </row>
    <row r="307" spans="1:15" outlineLevel="1">
      <c r="A307" s="509">
        <f>ROW()</f>
        <v>307</v>
      </c>
      <c r="B307" s="187" t="str">
        <f>$B153</f>
        <v>1st Grade Teacher</v>
      </c>
      <c r="C307" s="118">
        <f t="shared" si="68"/>
        <v>0</v>
      </c>
      <c r="D307" s="118"/>
      <c r="E307" s="118"/>
      <c r="F307" s="118"/>
      <c r="G307" s="694">
        <f>G153*$E153</f>
        <v>0</v>
      </c>
      <c r="H307" s="694">
        <f t="shared" si="71"/>
        <v>0</v>
      </c>
      <c r="I307" s="694">
        <f t="shared" si="71"/>
        <v>0</v>
      </c>
      <c r="J307" s="694">
        <f t="shared" si="71"/>
        <v>0</v>
      </c>
      <c r="K307" s="694">
        <f t="shared" si="71"/>
        <v>0</v>
      </c>
      <c r="L307" s="694">
        <f t="shared" si="71"/>
        <v>0</v>
      </c>
      <c r="M307" s="694">
        <f t="shared" si="71"/>
        <v>0</v>
      </c>
      <c r="N307" s="116"/>
      <c r="O307" s="353"/>
    </row>
    <row r="308" spans="1:15" outlineLevel="1">
      <c r="A308" s="509">
        <f>ROW()</f>
        <v>308</v>
      </c>
      <c r="B308" s="187" t="str">
        <f>$B154</f>
        <v>1st Grade Teacher</v>
      </c>
      <c r="C308" s="118">
        <f t="shared" si="68"/>
        <v>0</v>
      </c>
      <c r="D308" s="118"/>
      <c r="E308" s="118"/>
      <c r="F308" s="118"/>
      <c r="G308" s="694">
        <f>G154*$E154</f>
        <v>0</v>
      </c>
      <c r="H308" s="694">
        <f t="shared" si="71"/>
        <v>0</v>
      </c>
      <c r="I308" s="694">
        <f t="shared" si="71"/>
        <v>0</v>
      </c>
      <c r="J308" s="694">
        <f t="shared" si="71"/>
        <v>0</v>
      </c>
      <c r="K308" s="694">
        <f t="shared" si="71"/>
        <v>0</v>
      </c>
      <c r="L308" s="694">
        <f t="shared" si="71"/>
        <v>0</v>
      </c>
      <c r="M308" s="694">
        <f t="shared" si="71"/>
        <v>0</v>
      </c>
      <c r="N308" s="116"/>
      <c r="O308" s="353"/>
    </row>
    <row r="309" spans="1:15" outlineLevel="1">
      <c r="A309" s="509">
        <f>ROW()</f>
        <v>309</v>
      </c>
      <c r="B309" s="187">
        <f>$B155</f>
        <v>0</v>
      </c>
      <c r="C309" s="118">
        <f t="shared" si="68"/>
        <v>0</v>
      </c>
      <c r="D309" s="118"/>
      <c r="E309" s="118"/>
      <c r="F309" s="118"/>
      <c r="G309" s="694">
        <f>G155*$E155</f>
        <v>0</v>
      </c>
      <c r="H309" s="694">
        <f t="shared" si="71"/>
        <v>0</v>
      </c>
      <c r="I309" s="694">
        <f t="shared" si="71"/>
        <v>0</v>
      </c>
      <c r="J309" s="694">
        <f t="shared" si="71"/>
        <v>0</v>
      </c>
      <c r="K309" s="694">
        <f t="shared" si="71"/>
        <v>0</v>
      </c>
      <c r="L309" s="694">
        <f t="shared" si="71"/>
        <v>0</v>
      </c>
      <c r="M309" s="694">
        <f t="shared" si="71"/>
        <v>0</v>
      </c>
      <c r="N309" s="116"/>
      <c r="O309" s="353"/>
    </row>
    <row r="310" spans="1:15" outlineLevel="1">
      <c r="A310" s="509">
        <f>ROW()</f>
        <v>310</v>
      </c>
      <c r="B310" s="187"/>
      <c r="C310" s="118">
        <f t="shared" si="68"/>
        <v>0</v>
      </c>
      <c r="D310" s="118"/>
      <c r="E310" s="118"/>
      <c r="F310" s="118"/>
      <c r="G310" s="694"/>
      <c r="H310" s="694"/>
      <c r="I310" s="694"/>
      <c r="J310" s="694"/>
      <c r="K310" s="694"/>
      <c r="L310" s="694"/>
      <c r="M310" s="694"/>
      <c r="N310" s="116"/>
      <c r="O310" s="353"/>
    </row>
    <row r="311" spans="1:15" outlineLevel="1">
      <c r="A311" s="509">
        <f>ROW()</f>
        <v>311</v>
      </c>
      <c r="B311" s="187" t="str">
        <f>$B157</f>
        <v>2nd Grade Teacher</v>
      </c>
      <c r="C311" s="118">
        <f t="shared" si="68"/>
        <v>1035000</v>
      </c>
      <c r="D311" s="118"/>
      <c r="E311" s="118"/>
      <c r="F311" s="118"/>
      <c r="G311" s="694">
        <f>G157*$E157</f>
        <v>0</v>
      </c>
      <c r="H311" s="694">
        <f t="shared" ref="H311:M315" si="72">(H157*$E157)</f>
        <v>135000</v>
      </c>
      <c r="I311" s="694">
        <f t="shared" si="72"/>
        <v>180000</v>
      </c>
      <c r="J311" s="694">
        <f t="shared" si="72"/>
        <v>180000</v>
      </c>
      <c r="K311" s="694">
        <f t="shared" si="72"/>
        <v>180000</v>
      </c>
      <c r="L311" s="694">
        <f t="shared" si="72"/>
        <v>180000</v>
      </c>
      <c r="M311" s="694">
        <f t="shared" si="72"/>
        <v>180000</v>
      </c>
      <c r="N311" s="116"/>
      <c r="O311" s="353"/>
    </row>
    <row r="312" spans="1:15" outlineLevel="1">
      <c r="A312" s="509">
        <f>ROW()</f>
        <v>312</v>
      </c>
      <c r="B312" s="187" t="str">
        <f>$B158</f>
        <v>2nd Grade Teacher</v>
      </c>
      <c r="C312" s="118">
        <f t="shared" si="68"/>
        <v>0</v>
      </c>
      <c r="D312" s="118"/>
      <c r="E312" s="118"/>
      <c r="F312" s="118"/>
      <c r="G312" s="694">
        <f>G158*$E158</f>
        <v>0</v>
      </c>
      <c r="H312" s="694">
        <f t="shared" si="72"/>
        <v>0</v>
      </c>
      <c r="I312" s="694">
        <f t="shared" si="72"/>
        <v>0</v>
      </c>
      <c r="J312" s="694">
        <f t="shared" si="72"/>
        <v>0</v>
      </c>
      <c r="K312" s="694">
        <f t="shared" si="72"/>
        <v>0</v>
      </c>
      <c r="L312" s="694">
        <f t="shared" si="72"/>
        <v>0</v>
      </c>
      <c r="M312" s="694">
        <f t="shared" si="72"/>
        <v>0</v>
      </c>
      <c r="N312" s="116"/>
      <c r="O312" s="353"/>
    </row>
    <row r="313" spans="1:15" outlineLevel="1">
      <c r="A313" s="509">
        <f>ROW()</f>
        <v>313</v>
      </c>
      <c r="B313" s="187" t="str">
        <f>$B159</f>
        <v>2nd Grade Teacher</v>
      </c>
      <c r="C313" s="118">
        <f t="shared" si="68"/>
        <v>0</v>
      </c>
      <c r="D313" s="118"/>
      <c r="E313" s="118"/>
      <c r="F313" s="118"/>
      <c r="G313" s="694">
        <f>G159*$E159</f>
        <v>0</v>
      </c>
      <c r="H313" s="694">
        <f t="shared" si="72"/>
        <v>0</v>
      </c>
      <c r="I313" s="694">
        <f t="shared" si="72"/>
        <v>0</v>
      </c>
      <c r="J313" s="694">
        <f t="shared" si="72"/>
        <v>0</v>
      </c>
      <c r="K313" s="694">
        <f t="shared" si="72"/>
        <v>0</v>
      </c>
      <c r="L313" s="694">
        <f t="shared" si="72"/>
        <v>0</v>
      </c>
      <c r="M313" s="694">
        <f t="shared" si="72"/>
        <v>0</v>
      </c>
      <c r="N313" s="116"/>
      <c r="O313" s="353"/>
    </row>
    <row r="314" spans="1:15" outlineLevel="1">
      <c r="A314" s="509">
        <f>ROW()</f>
        <v>314</v>
      </c>
      <c r="B314" s="187" t="str">
        <f>$B160</f>
        <v>2nd Grade Teacher</v>
      </c>
      <c r="C314" s="118">
        <f t="shared" si="68"/>
        <v>0</v>
      </c>
      <c r="D314" s="118"/>
      <c r="E314" s="118"/>
      <c r="F314" s="118"/>
      <c r="G314" s="694">
        <f>G160*$E160</f>
        <v>0</v>
      </c>
      <c r="H314" s="694">
        <f t="shared" si="72"/>
        <v>0</v>
      </c>
      <c r="I314" s="694">
        <f t="shared" si="72"/>
        <v>0</v>
      </c>
      <c r="J314" s="694">
        <f t="shared" si="72"/>
        <v>0</v>
      </c>
      <c r="K314" s="694">
        <f t="shared" si="72"/>
        <v>0</v>
      </c>
      <c r="L314" s="694">
        <f t="shared" si="72"/>
        <v>0</v>
      </c>
      <c r="M314" s="694">
        <f t="shared" si="72"/>
        <v>0</v>
      </c>
      <c r="N314" s="116"/>
      <c r="O314" s="353"/>
    </row>
    <row r="315" spans="1:15" outlineLevel="1">
      <c r="A315" s="509">
        <f>ROW()</f>
        <v>315</v>
      </c>
      <c r="B315" s="187">
        <f>$B161</f>
        <v>0</v>
      </c>
      <c r="C315" s="118">
        <f t="shared" si="68"/>
        <v>0</v>
      </c>
      <c r="D315" s="118"/>
      <c r="E315" s="118"/>
      <c r="F315" s="118"/>
      <c r="G315" s="694">
        <f>G161*$E161</f>
        <v>0</v>
      </c>
      <c r="H315" s="694">
        <f t="shared" si="72"/>
        <v>0</v>
      </c>
      <c r="I315" s="694">
        <f t="shared" si="72"/>
        <v>0</v>
      </c>
      <c r="J315" s="694">
        <f t="shared" si="72"/>
        <v>0</v>
      </c>
      <c r="K315" s="694">
        <f t="shared" si="72"/>
        <v>0</v>
      </c>
      <c r="L315" s="694">
        <f t="shared" si="72"/>
        <v>0</v>
      </c>
      <c r="M315" s="694">
        <f t="shared" si="72"/>
        <v>0</v>
      </c>
      <c r="N315" s="116"/>
      <c r="O315" s="353"/>
    </row>
    <row r="316" spans="1:15" outlineLevel="1">
      <c r="A316" s="509">
        <f>ROW()</f>
        <v>316</v>
      </c>
      <c r="B316" s="187"/>
      <c r="C316" s="118">
        <f t="shared" si="68"/>
        <v>0</v>
      </c>
      <c r="D316" s="118"/>
      <c r="E316" s="118"/>
      <c r="F316" s="118"/>
      <c r="G316" s="694"/>
      <c r="H316" s="694"/>
      <c r="I316" s="694"/>
      <c r="J316" s="694"/>
      <c r="K316" s="694"/>
      <c r="L316" s="694"/>
      <c r="M316" s="694"/>
      <c r="N316" s="116"/>
      <c r="O316" s="353"/>
    </row>
    <row r="317" spans="1:15" outlineLevel="1">
      <c r="A317" s="509">
        <f>ROW()</f>
        <v>317</v>
      </c>
      <c r="B317" s="187" t="str">
        <f>$B163</f>
        <v>3rd Grade Teacher</v>
      </c>
      <c r="C317" s="118">
        <f t="shared" si="68"/>
        <v>990000</v>
      </c>
      <c r="D317" s="118"/>
      <c r="E317" s="118"/>
      <c r="F317" s="118"/>
      <c r="G317" s="694">
        <f>G163*$E163</f>
        <v>0</v>
      </c>
      <c r="H317" s="694">
        <f t="shared" ref="H317:M321" si="73">(H163*$E163)</f>
        <v>135000</v>
      </c>
      <c r="I317" s="694">
        <f t="shared" si="73"/>
        <v>135000</v>
      </c>
      <c r="J317" s="694">
        <f t="shared" si="73"/>
        <v>180000</v>
      </c>
      <c r="K317" s="694">
        <f t="shared" si="73"/>
        <v>180000</v>
      </c>
      <c r="L317" s="694">
        <f t="shared" si="73"/>
        <v>180000</v>
      </c>
      <c r="M317" s="694">
        <f t="shared" si="73"/>
        <v>180000</v>
      </c>
      <c r="N317" s="116"/>
      <c r="O317" s="353"/>
    </row>
    <row r="318" spans="1:15" outlineLevel="1">
      <c r="A318" s="509">
        <f>ROW()</f>
        <v>318</v>
      </c>
      <c r="B318" s="187" t="str">
        <f>$B164</f>
        <v>3rd Grade Teacher</v>
      </c>
      <c r="C318" s="118">
        <f t="shared" si="68"/>
        <v>0</v>
      </c>
      <c r="D318" s="118"/>
      <c r="E318" s="118"/>
      <c r="F318" s="118"/>
      <c r="G318" s="694">
        <f>G164*$E164</f>
        <v>0</v>
      </c>
      <c r="H318" s="694">
        <f t="shared" si="73"/>
        <v>0</v>
      </c>
      <c r="I318" s="694">
        <f t="shared" si="73"/>
        <v>0</v>
      </c>
      <c r="J318" s="694">
        <f t="shared" si="73"/>
        <v>0</v>
      </c>
      <c r="K318" s="694">
        <f t="shared" si="73"/>
        <v>0</v>
      </c>
      <c r="L318" s="694">
        <f t="shared" si="73"/>
        <v>0</v>
      </c>
      <c r="M318" s="694">
        <f t="shared" si="73"/>
        <v>0</v>
      </c>
      <c r="N318" s="116"/>
      <c r="O318" s="353"/>
    </row>
    <row r="319" spans="1:15" outlineLevel="1">
      <c r="A319" s="509">
        <f>ROW()</f>
        <v>319</v>
      </c>
      <c r="B319" s="187" t="str">
        <f>$B165</f>
        <v>3rd Grade Teacher</v>
      </c>
      <c r="C319" s="118">
        <f t="shared" si="68"/>
        <v>0</v>
      </c>
      <c r="D319" s="118"/>
      <c r="E319" s="118"/>
      <c r="F319" s="118"/>
      <c r="G319" s="694">
        <f>G165*$E165</f>
        <v>0</v>
      </c>
      <c r="H319" s="694">
        <f t="shared" si="73"/>
        <v>0</v>
      </c>
      <c r="I319" s="694">
        <f t="shared" si="73"/>
        <v>0</v>
      </c>
      <c r="J319" s="694">
        <f t="shared" si="73"/>
        <v>0</v>
      </c>
      <c r="K319" s="694">
        <f t="shared" si="73"/>
        <v>0</v>
      </c>
      <c r="L319" s="694">
        <f t="shared" si="73"/>
        <v>0</v>
      </c>
      <c r="M319" s="694">
        <f t="shared" si="73"/>
        <v>0</v>
      </c>
      <c r="N319" s="116"/>
      <c r="O319" s="353"/>
    </row>
    <row r="320" spans="1:15" outlineLevel="1">
      <c r="A320" s="509">
        <f>ROW()</f>
        <v>320</v>
      </c>
      <c r="B320" s="187" t="str">
        <f>$B166</f>
        <v>3rd Grade Teacher</v>
      </c>
      <c r="C320" s="118">
        <f t="shared" si="68"/>
        <v>0</v>
      </c>
      <c r="D320" s="118"/>
      <c r="E320" s="118"/>
      <c r="F320" s="118"/>
      <c r="G320" s="694">
        <f>G166*$E166</f>
        <v>0</v>
      </c>
      <c r="H320" s="694">
        <f t="shared" si="73"/>
        <v>0</v>
      </c>
      <c r="I320" s="694">
        <f t="shared" si="73"/>
        <v>0</v>
      </c>
      <c r="J320" s="694">
        <f t="shared" si="73"/>
        <v>0</v>
      </c>
      <c r="K320" s="694">
        <f t="shared" si="73"/>
        <v>0</v>
      </c>
      <c r="L320" s="694">
        <f t="shared" si="73"/>
        <v>0</v>
      </c>
      <c r="M320" s="694">
        <f t="shared" si="73"/>
        <v>0</v>
      </c>
      <c r="N320" s="116"/>
      <c r="O320" s="353"/>
    </row>
    <row r="321" spans="1:15" outlineLevel="1">
      <c r="A321" s="509">
        <f>ROW()</f>
        <v>321</v>
      </c>
      <c r="B321" s="187">
        <f>$B167</f>
        <v>0</v>
      </c>
      <c r="C321" s="118">
        <f t="shared" si="68"/>
        <v>0</v>
      </c>
      <c r="D321" s="118"/>
      <c r="E321" s="118"/>
      <c r="F321" s="118"/>
      <c r="G321" s="694">
        <f>G167*$E167</f>
        <v>0</v>
      </c>
      <c r="H321" s="694">
        <f t="shared" si="73"/>
        <v>0</v>
      </c>
      <c r="I321" s="694">
        <f t="shared" si="73"/>
        <v>0</v>
      </c>
      <c r="J321" s="694">
        <f t="shared" si="73"/>
        <v>0</v>
      </c>
      <c r="K321" s="694">
        <f t="shared" si="73"/>
        <v>0</v>
      </c>
      <c r="L321" s="694">
        <f t="shared" si="73"/>
        <v>0</v>
      </c>
      <c r="M321" s="694">
        <f t="shared" si="73"/>
        <v>0</v>
      </c>
      <c r="N321" s="116"/>
      <c r="O321" s="353"/>
    </row>
    <row r="322" spans="1:15" outlineLevel="1">
      <c r="A322" s="509">
        <f>ROW()</f>
        <v>322</v>
      </c>
      <c r="B322" s="187"/>
      <c r="C322" s="118">
        <f t="shared" si="68"/>
        <v>0</v>
      </c>
      <c r="D322" s="118"/>
      <c r="E322" s="118"/>
      <c r="F322" s="118"/>
      <c r="G322" s="694"/>
      <c r="H322" s="694"/>
      <c r="I322" s="694"/>
      <c r="J322" s="694"/>
      <c r="K322" s="694"/>
      <c r="L322" s="694"/>
      <c r="M322" s="694"/>
      <c r="N322" s="116"/>
      <c r="O322" s="353"/>
    </row>
    <row r="323" spans="1:15" outlineLevel="1">
      <c r="A323" s="509">
        <f>ROW()</f>
        <v>323</v>
      </c>
      <c r="B323" s="187" t="str">
        <f>$B169</f>
        <v>4th Grade Teacher</v>
      </c>
      <c r="C323" s="118">
        <f t="shared" si="68"/>
        <v>945000</v>
      </c>
      <c r="D323" s="118"/>
      <c r="E323" s="118"/>
      <c r="F323" s="118"/>
      <c r="G323" s="694">
        <f>G169*$E169</f>
        <v>0</v>
      </c>
      <c r="H323" s="694">
        <f t="shared" ref="H323:M327" si="74">(H169*$E169)</f>
        <v>135000</v>
      </c>
      <c r="I323" s="694">
        <f t="shared" si="74"/>
        <v>135000</v>
      </c>
      <c r="J323" s="694">
        <f t="shared" si="74"/>
        <v>135000</v>
      </c>
      <c r="K323" s="694">
        <f t="shared" si="74"/>
        <v>180000</v>
      </c>
      <c r="L323" s="694">
        <f t="shared" si="74"/>
        <v>180000</v>
      </c>
      <c r="M323" s="694">
        <f t="shared" si="74"/>
        <v>180000</v>
      </c>
      <c r="N323" s="116"/>
      <c r="O323" s="353"/>
    </row>
    <row r="324" spans="1:15" outlineLevel="1">
      <c r="A324" s="509">
        <f>ROW()</f>
        <v>324</v>
      </c>
      <c r="B324" s="187" t="str">
        <f>$B170</f>
        <v>4th Grade Teacher</v>
      </c>
      <c r="C324" s="118">
        <f t="shared" si="68"/>
        <v>0</v>
      </c>
      <c r="D324" s="118"/>
      <c r="E324" s="118"/>
      <c r="F324" s="118"/>
      <c r="G324" s="694">
        <f>G170*$E170</f>
        <v>0</v>
      </c>
      <c r="H324" s="694">
        <f t="shared" si="74"/>
        <v>0</v>
      </c>
      <c r="I324" s="694">
        <f t="shared" si="74"/>
        <v>0</v>
      </c>
      <c r="J324" s="694">
        <f t="shared" si="74"/>
        <v>0</v>
      </c>
      <c r="K324" s="694">
        <f t="shared" si="74"/>
        <v>0</v>
      </c>
      <c r="L324" s="694">
        <f t="shared" si="74"/>
        <v>0</v>
      </c>
      <c r="M324" s="694">
        <f t="shared" si="74"/>
        <v>0</v>
      </c>
      <c r="N324" s="116"/>
      <c r="O324" s="353"/>
    </row>
    <row r="325" spans="1:15" outlineLevel="1">
      <c r="A325" s="509">
        <f>ROW()</f>
        <v>325</v>
      </c>
      <c r="B325" s="187" t="str">
        <f>$B171</f>
        <v>4th Grade Teacher</v>
      </c>
      <c r="C325" s="118">
        <f t="shared" si="68"/>
        <v>0</v>
      </c>
      <c r="D325" s="118"/>
      <c r="E325" s="118"/>
      <c r="F325" s="118"/>
      <c r="G325" s="694">
        <f>G171*$E171</f>
        <v>0</v>
      </c>
      <c r="H325" s="694">
        <f t="shared" si="74"/>
        <v>0</v>
      </c>
      <c r="I325" s="694">
        <f t="shared" si="74"/>
        <v>0</v>
      </c>
      <c r="J325" s="694">
        <f t="shared" si="74"/>
        <v>0</v>
      </c>
      <c r="K325" s="694">
        <f t="shared" si="74"/>
        <v>0</v>
      </c>
      <c r="L325" s="694">
        <f t="shared" si="74"/>
        <v>0</v>
      </c>
      <c r="M325" s="694">
        <f t="shared" si="74"/>
        <v>0</v>
      </c>
      <c r="N325" s="116"/>
      <c r="O325" s="353"/>
    </row>
    <row r="326" spans="1:15" outlineLevel="1">
      <c r="A326" s="509">
        <f>ROW()</f>
        <v>326</v>
      </c>
      <c r="B326" s="187" t="str">
        <f>$B172</f>
        <v>4th Grade Teacher</v>
      </c>
      <c r="C326" s="118">
        <f t="shared" si="68"/>
        <v>0</v>
      </c>
      <c r="D326" s="118"/>
      <c r="E326" s="118"/>
      <c r="F326" s="118"/>
      <c r="G326" s="694">
        <f>G172*$E172</f>
        <v>0</v>
      </c>
      <c r="H326" s="694">
        <f t="shared" si="74"/>
        <v>0</v>
      </c>
      <c r="I326" s="694">
        <f t="shared" si="74"/>
        <v>0</v>
      </c>
      <c r="J326" s="694">
        <f t="shared" si="74"/>
        <v>0</v>
      </c>
      <c r="K326" s="694">
        <f t="shared" si="74"/>
        <v>0</v>
      </c>
      <c r="L326" s="694">
        <f t="shared" si="74"/>
        <v>0</v>
      </c>
      <c r="M326" s="694">
        <f t="shared" si="74"/>
        <v>0</v>
      </c>
      <c r="N326" s="116"/>
      <c r="O326" s="353"/>
    </row>
    <row r="327" spans="1:15" outlineLevel="1">
      <c r="A327" s="509">
        <f>ROW()</f>
        <v>327</v>
      </c>
      <c r="B327" s="187">
        <f>$B173</f>
        <v>0</v>
      </c>
      <c r="C327" s="118">
        <f t="shared" ref="C327:C358" si="75">SUM(G327:M327)</f>
        <v>0</v>
      </c>
      <c r="D327" s="118"/>
      <c r="E327" s="118"/>
      <c r="F327" s="118"/>
      <c r="G327" s="694">
        <f>G173*$E173</f>
        <v>0</v>
      </c>
      <c r="H327" s="694">
        <f t="shared" si="74"/>
        <v>0</v>
      </c>
      <c r="I327" s="694">
        <f t="shared" si="74"/>
        <v>0</v>
      </c>
      <c r="J327" s="694">
        <f t="shared" si="74"/>
        <v>0</v>
      </c>
      <c r="K327" s="694">
        <f t="shared" si="74"/>
        <v>0</v>
      </c>
      <c r="L327" s="694">
        <f t="shared" si="74"/>
        <v>0</v>
      </c>
      <c r="M327" s="694">
        <f t="shared" si="74"/>
        <v>0</v>
      </c>
      <c r="N327" s="116"/>
      <c r="O327" s="353"/>
    </row>
    <row r="328" spans="1:15" outlineLevel="1">
      <c r="A328" s="509">
        <f>ROW()</f>
        <v>328</v>
      </c>
      <c r="B328" s="187"/>
      <c r="C328" s="118">
        <f t="shared" si="75"/>
        <v>0</v>
      </c>
      <c r="D328" s="118"/>
      <c r="E328" s="118"/>
      <c r="F328" s="118"/>
      <c r="G328" s="694"/>
      <c r="H328" s="694"/>
      <c r="I328" s="694"/>
      <c r="J328" s="694"/>
      <c r="K328" s="694"/>
      <c r="L328" s="694"/>
      <c r="M328" s="694"/>
      <c r="N328" s="116"/>
      <c r="O328" s="353"/>
    </row>
    <row r="329" spans="1:15" outlineLevel="1">
      <c r="A329" s="509">
        <f>ROW()</f>
        <v>329</v>
      </c>
      <c r="B329" s="187" t="str">
        <f>$B175</f>
        <v>5th Grade Teacher</v>
      </c>
      <c r="C329" s="118">
        <f t="shared" si="75"/>
        <v>900000</v>
      </c>
      <c r="D329" s="118"/>
      <c r="E329" s="118"/>
      <c r="F329" s="118"/>
      <c r="G329" s="694">
        <f>G175*$E175</f>
        <v>0</v>
      </c>
      <c r="H329" s="694">
        <f t="shared" ref="H329:M333" si="76">(H175*$E175)</f>
        <v>135000</v>
      </c>
      <c r="I329" s="694">
        <f t="shared" si="76"/>
        <v>135000</v>
      </c>
      <c r="J329" s="694">
        <f t="shared" si="76"/>
        <v>135000</v>
      </c>
      <c r="K329" s="694">
        <f t="shared" si="76"/>
        <v>135000</v>
      </c>
      <c r="L329" s="694">
        <f t="shared" si="76"/>
        <v>180000</v>
      </c>
      <c r="M329" s="694">
        <f t="shared" si="76"/>
        <v>180000</v>
      </c>
      <c r="N329" s="116"/>
      <c r="O329" s="353"/>
    </row>
    <row r="330" spans="1:15" outlineLevel="1">
      <c r="A330" s="509">
        <f>ROW()</f>
        <v>330</v>
      </c>
      <c r="B330" s="187" t="str">
        <f>$B176</f>
        <v>5th Grade Teacher</v>
      </c>
      <c r="C330" s="118">
        <f t="shared" si="75"/>
        <v>0</v>
      </c>
      <c r="D330" s="118"/>
      <c r="E330" s="118"/>
      <c r="F330" s="118"/>
      <c r="G330" s="694">
        <f>G176*$E176</f>
        <v>0</v>
      </c>
      <c r="H330" s="694">
        <f t="shared" si="76"/>
        <v>0</v>
      </c>
      <c r="I330" s="694">
        <f t="shared" si="76"/>
        <v>0</v>
      </c>
      <c r="J330" s="694">
        <f t="shared" si="76"/>
        <v>0</v>
      </c>
      <c r="K330" s="694">
        <f t="shared" si="76"/>
        <v>0</v>
      </c>
      <c r="L330" s="694">
        <f t="shared" si="76"/>
        <v>0</v>
      </c>
      <c r="M330" s="694">
        <f t="shared" si="76"/>
        <v>0</v>
      </c>
      <c r="N330" s="116"/>
      <c r="O330" s="353"/>
    </row>
    <row r="331" spans="1:15" outlineLevel="1">
      <c r="A331" s="509">
        <f>ROW()</f>
        <v>331</v>
      </c>
      <c r="B331" s="187" t="str">
        <f>$B177</f>
        <v>5th Grade Teacher</v>
      </c>
      <c r="C331" s="118">
        <f t="shared" si="75"/>
        <v>0</v>
      </c>
      <c r="D331" s="118"/>
      <c r="E331" s="118"/>
      <c r="F331" s="118"/>
      <c r="G331" s="694">
        <f>G177*$E177</f>
        <v>0</v>
      </c>
      <c r="H331" s="694">
        <f t="shared" si="76"/>
        <v>0</v>
      </c>
      <c r="I331" s="694">
        <f t="shared" si="76"/>
        <v>0</v>
      </c>
      <c r="J331" s="694">
        <f t="shared" si="76"/>
        <v>0</v>
      </c>
      <c r="K331" s="694">
        <f t="shared" si="76"/>
        <v>0</v>
      </c>
      <c r="L331" s="694">
        <f t="shared" si="76"/>
        <v>0</v>
      </c>
      <c r="M331" s="694">
        <f t="shared" si="76"/>
        <v>0</v>
      </c>
      <c r="N331" s="116"/>
      <c r="O331" s="353"/>
    </row>
    <row r="332" spans="1:15" outlineLevel="1">
      <c r="A332" s="509">
        <f>ROW()</f>
        <v>332</v>
      </c>
      <c r="B332" s="187" t="str">
        <f>$B178</f>
        <v>5th Grade Teacher</v>
      </c>
      <c r="C332" s="118">
        <f t="shared" si="75"/>
        <v>0</v>
      </c>
      <c r="D332" s="118"/>
      <c r="E332" s="118"/>
      <c r="F332" s="118"/>
      <c r="G332" s="694">
        <f>G178*$E178</f>
        <v>0</v>
      </c>
      <c r="H332" s="694">
        <f t="shared" si="76"/>
        <v>0</v>
      </c>
      <c r="I332" s="694">
        <f t="shared" si="76"/>
        <v>0</v>
      </c>
      <c r="J332" s="694">
        <f t="shared" si="76"/>
        <v>0</v>
      </c>
      <c r="K332" s="694">
        <f t="shared" si="76"/>
        <v>0</v>
      </c>
      <c r="L332" s="694">
        <f t="shared" si="76"/>
        <v>0</v>
      </c>
      <c r="M332" s="694">
        <f t="shared" si="76"/>
        <v>0</v>
      </c>
      <c r="N332" s="116"/>
      <c r="O332" s="353"/>
    </row>
    <row r="333" spans="1:15" outlineLevel="1">
      <c r="A333" s="509">
        <f>ROW()</f>
        <v>333</v>
      </c>
      <c r="B333" s="187">
        <f>$B179</f>
        <v>0</v>
      </c>
      <c r="C333" s="118">
        <f t="shared" si="75"/>
        <v>0</v>
      </c>
      <c r="D333" s="118"/>
      <c r="E333" s="118"/>
      <c r="F333" s="118"/>
      <c r="G333" s="694">
        <f>G179*$E179</f>
        <v>0</v>
      </c>
      <c r="H333" s="694">
        <f t="shared" si="76"/>
        <v>0</v>
      </c>
      <c r="I333" s="694">
        <f t="shared" si="76"/>
        <v>0</v>
      </c>
      <c r="J333" s="694">
        <f t="shared" si="76"/>
        <v>0</v>
      </c>
      <c r="K333" s="694">
        <f t="shared" si="76"/>
        <v>0</v>
      </c>
      <c r="L333" s="694">
        <f t="shared" si="76"/>
        <v>0</v>
      </c>
      <c r="M333" s="694">
        <f t="shared" si="76"/>
        <v>0</v>
      </c>
      <c r="N333" s="116"/>
      <c r="O333" s="353"/>
    </row>
    <row r="334" spans="1:15" outlineLevel="1">
      <c r="A334" s="509">
        <f>ROW()</f>
        <v>334</v>
      </c>
      <c r="B334" s="187"/>
      <c r="C334" s="118">
        <f t="shared" si="75"/>
        <v>0</v>
      </c>
      <c r="D334" s="118"/>
      <c r="E334" s="118"/>
      <c r="F334" s="118"/>
      <c r="G334" s="694"/>
      <c r="H334" s="694"/>
      <c r="I334" s="694"/>
      <c r="J334" s="694"/>
      <c r="K334" s="694"/>
      <c r="L334" s="694"/>
      <c r="M334" s="694"/>
      <c r="N334" s="116"/>
      <c r="O334" s="353"/>
    </row>
    <row r="335" spans="1:15" outlineLevel="1">
      <c r="A335" s="509">
        <f>ROW()</f>
        <v>335</v>
      </c>
      <c r="B335" s="187" t="str">
        <f>$B181</f>
        <v>6th Grade Teacher</v>
      </c>
      <c r="C335" s="118">
        <f t="shared" si="75"/>
        <v>720000</v>
      </c>
      <c r="D335" s="118"/>
      <c r="E335" s="118"/>
      <c r="F335" s="118"/>
      <c r="G335" s="694">
        <f>G181*$E181</f>
        <v>0</v>
      </c>
      <c r="H335" s="694">
        <f t="shared" ref="H335:M339" si="77">(H181*$E181)</f>
        <v>0</v>
      </c>
      <c r="I335" s="694">
        <f t="shared" si="77"/>
        <v>135000</v>
      </c>
      <c r="J335" s="694">
        <f t="shared" si="77"/>
        <v>135000</v>
      </c>
      <c r="K335" s="694">
        <f t="shared" si="77"/>
        <v>135000</v>
      </c>
      <c r="L335" s="694">
        <f t="shared" si="77"/>
        <v>135000</v>
      </c>
      <c r="M335" s="694">
        <f t="shared" si="77"/>
        <v>180000</v>
      </c>
      <c r="N335" s="116"/>
      <c r="O335" s="353"/>
    </row>
    <row r="336" spans="1:15" outlineLevel="1">
      <c r="A336" s="509">
        <f>ROW()</f>
        <v>336</v>
      </c>
      <c r="B336" s="187" t="str">
        <f>$B182</f>
        <v>6th Grade Teacher</v>
      </c>
      <c r="C336" s="118">
        <f t="shared" si="75"/>
        <v>0</v>
      </c>
      <c r="D336" s="118"/>
      <c r="E336" s="118"/>
      <c r="F336" s="118"/>
      <c r="G336" s="694">
        <f>G182*$E182</f>
        <v>0</v>
      </c>
      <c r="H336" s="694">
        <f t="shared" si="77"/>
        <v>0</v>
      </c>
      <c r="I336" s="694">
        <f t="shared" si="77"/>
        <v>0</v>
      </c>
      <c r="J336" s="694">
        <f t="shared" si="77"/>
        <v>0</v>
      </c>
      <c r="K336" s="694">
        <f t="shared" si="77"/>
        <v>0</v>
      </c>
      <c r="L336" s="694">
        <f t="shared" si="77"/>
        <v>0</v>
      </c>
      <c r="M336" s="694">
        <f t="shared" si="77"/>
        <v>0</v>
      </c>
      <c r="N336" s="116"/>
      <c r="O336" s="353"/>
    </row>
    <row r="337" spans="1:15" outlineLevel="1">
      <c r="A337" s="509">
        <f>ROW()</f>
        <v>337</v>
      </c>
      <c r="B337" s="187" t="str">
        <f>$B183</f>
        <v>6th Grade Teacher</v>
      </c>
      <c r="C337" s="118">
        <f t="shared" si="75"/>
        <v>0</v>
      </c>
      <c r="D337" s="118"/>
      <c r="E337" s="118"/>
      <c r="F337" s="118"/>
      <c r="G337" s="694">
        <f>G183*$E183</f>
        <v>0</v>
      </c>
      <c r="H337" s="694">
        <f t="shared" si="77"/>
        <v>0</v>
      </c>
      <c r="I337" s="694">
        <f t="shared" si="77"/>
        <v>0</v>
      </c>
      <c r="J337" s="694">
        <f t="shared" si="77"/>
        <v>0</v>
      </c>
      <c r="K337" s="694">
        <f t="shared" si="77"/>
        <v>0</v>
      </c>
      <c r="L337" s="694">
        <f t="shared" si="77"/>
        <v>0</v>
      </c>
      <c r="M337" s="694">
        <f t="shared" si="77"/>
        <v>0</v>
      </c>
      <c r="N337" s="116"/>
      <c r="O337" s="353"/>
    </row>
    <row r="338" spans="1:15" outlineLevel="1">
      <c r="A338" s="509">
        <f>ROW()</f>
        <v>338</v>
      </c>
      <c r="B338" s="187" t="str">
        <f>$B184</f>
        <v>6th Grade Teacher</v>
      </c>
      <c r="C338" s="118">
        <f t="shared" si="75"/>
        <v>0</v>
      </c>
      <c r="D338" s="118"/>
      <c r="E338" s="118"/>
      <c r="F338" s="118"/>
      <c r="G338" s="694">
        <f>G184*$E184</f>
        <v>0</v>
      </c>
      <c r="H338" s="694">
        <f t="shared" si="77"/>
        <v>0</v>
      </c>
      <c r="I338" s="694">
        <f t="shared" si="77"/>
        <v>0</v>
      </c>
      <c r="J338" s="694">
        <f t="shared" si="77"/>
        <v>0</v>
      </c>
      <c r="K338" s="694">
        <f t="shared" si="77"/>
        <v>0</v>
      </c>
      <c r="L338" s="694">
        <f t="shared" si="77"/>
        <v>0</v>
      </c>
      <c r="M338" s="694">
        <f t="shared" si="77"/>
        <v>0</v>
      </c>
      <c r="N338" s="116"/>
      <c r="O338" s="353"/>
    </row>
    <row r="339" spans="1:15" outlineLevel="1">
      <c r="A339" s="509">
        <f>ROW()</f>
        <v>339</v>
      </c>
      <c r="B339" s="187">
        <f>$B185</f>
        <v>0</v>
      </c>
      <c r="C339" s="118">
        <f t="shared" si="75"/>
        <v>0</v>
      </c>
      <c r="D339" s="118"/>
      <c r="E339" s="118"/>
      <c r="F339" s="118"/>
      <c r="G339" s="694">
        <f>G185*$E185</f>
        <v>0</v>
      </c>
      <c r="H339" s="694">
        <f t="shared" si="77"/>
        <v>0</v>
      </c>
      <c r="I339" s="694">
        <f t="shared" si="77"/>
        <v>0</v>
      </c>
      <c r="J339" s="694">
        <f t="shared" si="77"/>
        <v>0</v>
      </c>
      <c r="K339" s="694">
        <f t="shared" si="77"/>
        <v>0</v>
      </c>
      <c r="L339" s="694">
        <f t="shared" si="77"/>
        <v>0</v>
      </c>
      <c r="M339" s="694">
        <f t="shared" si="77"/>
        <v>0</v>
      </c>
      <c r="N339" s="116"/>
      <c r="O339" s="353"/>
    </row>
    <row r="340" spans="1:15" outlineLevel="1">
      <c r="A340" s="509">
        <f>ROW()</f>
        <v>340</v>
      </c>
      <c r="B340" s="187"/>
      <c r="C340" s="118">
        <f t="shared" si="75"/>
        <v>0</v>
      </c>
      <c r="D340" s="118"/>
      <c r="E340" s="118"/>
      <c r="F340" s="118"/>
      <c r="G340" s="694"/>
      <c r="H340" s="694"/>
      <c r="I340" s="694"/>
      <c r="J340" s="694"/>
      <c r="K340" s="694"/>
      <c r="L340" s="694"/>
      <c r="M340" s="694"/>
      <c r="N340" s="116"/>
      <c r="O340" s="353"/>
    </row>
    <row r="341" spans="1:15" outlineLevel="1">
      <c r="A341" s="509">
        <f>ROW()</f>
        <v>341</v>
      </c>
      <c r="B341" s="187" t="str">
        <f t="shared" ref="B341:B346" si="78">$B187</f>
        <v>7th Grade Teacher</v>
      </c>
      <c r="C341" s="118">
        <f t="shared" si="75"/>
        <v>540000</v>
      </c>
      <c r="D341" s="118"/>
      <c r="E341" s="118"/>
      <c r="F341" s="118"/>
      <c r="G341" s="694">
        <f t="shared" ref="G341:G346" si="79">G187*$E187</f>
        <v>0</v>
      </c>
      <c r="H341" s="694">
        <f t="shared" ref="H341:M346" si="80">(H187*$E187)</f>
        <v>0</v>
      </c>
      <c r="I341" s="694">
        <f t="shared" si="80"/>
        <v>0</v>
      </c>
      <c r="J341" s="694">
        <f t="shared" si="80"/>
        <v>135000</v>
      </c>
      <c r="K341" s="694">
        <f t="shared" si="80"/>
        <v>135000</v>
      </c>
      <c r="L341" s="694">
        <f t="shared" si="80"/>
        <v>135000</v>
      </c>
      <c r="M341" s="694">
        <f t="shared" si="80"/>
        <v>135000</v>
      </c>
      <c r="N341" s="116"/>
      <c r="O341" s="353"/>
    </row>
    <row r="342" spans="1:15" outlineLevel="1">
      <c r="A342" s="509">
        <f>ROW()</f>
        <v>342</v>
      </c>
      <c r="B342" s="187" t="str">
        <f t="shared" si="78"/>
        <v>7th Grade Teacher</v>
      </c>
      <c r="C342" s="118">
        <f t="shared" si="75"/>
        <v>0</v>
      </c>
      <c r="D342" s="118"/>
      <c r="E342" s="118"/>
      <c r="F342" s="118"/>
      <c r="G342" s="694">
        <f t="shared" si="79"/>
        <v>0</v>
      </c>
      <c r="H342" s="694">
        <f t="shared" si="80"/>
        <v>0</v>
      </c>
      <c r="I342" s="694">
        <f t="shared" si="80"/>
        <v>0</v>
      </c>
      <c r="J342" s="694">
        <f t="shared" si="80"/>
        <v>0</v>
      </c>
      <c r="K342" s="694">
        <f t="shared" si="80"/>
        <v>0</v>
      </c>
      <c r="L342" s="694">
        <f t="shared" si="80"/>
        <v>0</v>
      </c>
      <c r="M342" s="694">
        <f t="shared" si="80"/>
        <v>0</v>
      </c>
      <c r="N342" s="116"/>
      <c r="O342" s="353"/>
    </row>
    <row r="343" spans="1:15" outlineLevel="1">
      <c r="A343" s="509">
        <f>ROW()</f>
        <v>343</v>
      </c>
      <c r="B343" s="187" t="str">
        <f t="shared" si="78"/>
        <v>7th Grade Teacher</v>
      </c>
      <c r="C343" s="118">
        <f t="shared" si="75"/>
        <v>0</v>
      </c>
      <c r="D343" s="118"/>
      <c r="E343" s="118"/>
      <c r="F343" s="118"/>
      <c r="G343" s="694">
        <f t="shared" si="79"/>
        <v>0</v>
      </c>
      <c r="H343" s="694">
        <f t="shared" si="80"/>
        <v>0</v>
      </c>
      <c r="I343" s="694">
        <f t="shared" si="80"/>
        <v>0</v>
      </c>
      <c r="J343" s="694">
        <f t="shared" si="80"/>
        <v>0</v>
      </c>
      <c r="K343" s="694">
        <f t="shared" si="80"/>
        <v>0</v>
      </c>
      <c r="L343" s="694">
        <f t="shared" si="80"/>
        <v>0</v>
      </c>
      <c r="M343" s="694">
        <f t="shared" si="80"/>
        <v>0</v>
      </c>
      <c r="N343" s="116"/>
      <c r="O343" s="353"/>
    </row>
    <row r="344" spans="1:15" outlineLevel="1">
      <c r="A344" s="509">
        <f>ROW()</f>
        <v>344</v>
      </c>
      <c r="B344" s="187" t="str">
        <f t="shared" si="78"/>
        <v>7th Grade Teacher</v>
      </c>
      <c r="C344" s="118">
        <f t="shared" si="75"/>
        <v>0</v>
      </c>
      <c r="D344" s="118"/>
      <c r="E344" s="118"/>
      <c r="F344" s="118"/>
      <c r="G344" s="694">
        <f t="shared" si="79"/>
        <v>0</v>
      </c>
      <c r="H344" s="694">
        <f t="shared" si="80"/>
        <v>0</v>
      </c>
      <c r="I344" s="694">
        <f t="shared" si="80"/>
        <v>0</v>
      </c>
      <c r="J344" s="694">
        <f t="shared" si="80"/>
        <v>0</v>
      </c>
      <c r="K344" s="694">
        <f t="shared" si="80"/>
        <v>0</v>
      </c>
      <c r="L344" s="694">
        <f t="shared" si="80"/>
        <v>0</v>
      </c>
      <c r="M344" s="694">
        <f t="shared" si="80"/>
        <v>0</v>
      </c>
      <c r="N344" s="116"/>
      <c r="O344" s="353"/>
    </row>
    <row r="345" spans="1:15" outlineLevel="1">
      <c r="A345" s="509">
        <f>ROW()</f>
        <v>345</v>
      </c>
      <c r="B345" s="187">
        <f t="shared" si="78"/>
        <v>0</v>
      </c>
      <c r="C345" s="118">
        <f t="shared" si="75"/>
        <v>0</v>
      </c>
      <c r="D345" s="118"/>
      <c r="E345" s="118"/>
      <c r="F345" s="118"/>
      <c r="G345" s="694">
        <f t="shared" si="79"/>
        <v>0</v>
      </c>
      <c r="H345" s="694">
        <f t="shared" si="80"/>
        <v>0</v>
      </c>
      <c r="I345" s="694">
        <f t="shared" si="80"/>
        <v>0</v>
      </c>
      <c r="J345" s="694">
        <f t="shared" si="80"/>
        <v>0</v>
      </c>
      <c r="K345" s="694">
        <f t="shared" si="80"/>
        <v>0</v>
      </c>
      <c r="L345" s="694">
        <f t="shared" si="80"/>
        <v>0</v>
      </c>
      <c r="M345" s="694">
        <f t="shared" si="80"/>
        <v>0</v>
      </c>
      <c r="N345" s="116"/>
      <c r="O345" s="353"/>
    </row>
    <row r="346" spans="1:15" outlineLevel="1">
      <c r="A346" s="509">
        <f>ROW()</f>
        <v>346</v>
      </c>
      <c r="B346" s="187">
        <f t="shared" si="78"/>
        <v>0</v>
      </c>
      <c r="C346" s="118">
        <f t="shared" si="75"/>
        <v>0</v>
      </c>
      <c r="D346" s="118"/>
      <c r="E346" s="118"/>
      <c r="F346" s="118"/>
      <c r="G346" s="694">
        <f t="shared" si="79"/>
        <v>0</v>
      </c>
      <c r="H346" s="694">
        <f t="shared" si="80"/>
        <v>0</v>
      </c>
      <c r="I346" s="694">
        <f t="shared" si="80"/>
        <v>0</v>
      </c>
      <c r="J346" s="694">
        <f t="shared" si="80"/>
        <v>0</v>
      </c>
      <c r="K346" s="694">
        <f t="shared" si="80"/>
        <v>0</v>
      </c>
      <c r="L346" s="694">
        <f t="shared" si="80"/>
        <v>0</v>
      </c>
      <c r="M346" s="694">
        <f t="shared" si="80"/>
        <v>0</v>
      </c>
      <c r="N346" s="116"/>
      <c r="O346" s="353"/>
    </row>
    <row r="347" spans="1:15" outlineLevel="1">
      <c r="A347" s="509">
        <f>ROW()</f>
        <v>347</v>
      </c>
      <c r="B347" s="187"/>
      <c r="C347" s="118">
        <f t="shared" si="75"/>
        <v>0</v>
      </c>
      <c r="D347" s="118"/>
      <c r="E347" s="118"/>
      <c r="F347" s="118"/>
      <c r="G347" s="694"/>
      <c r="H347" s="694"/>
      <c r="I347" s="694"/>
      <c r="J347" s="694"/>
      <c r="K347" s="694"/>
      <c r="L347" s="694"/>
      <c r="M347" s="694"/>
      <c r="N347" s="116"/>
      <c r="O347" s="353"/>
    </row>
    <row r="348" spans="1:15" outlineLevel="1">
      <c r="A348" s="509">
        <f>ROW()</f>
        <v>348</v>
      </c>
      <c r="B348" s="187" t="str">
        <f>$B194</f>
        <v>8th Grade Teacher</v>
      </c>
      <c r="C348" s="118">
        <f t="shared" si="75"/>
        <v>405000</v>
      </c>
      <c r="D348" s="118"/>
      <c r="E348" s="118"/>
      <c r="F348" s="118"/>
      <c r="G348" s="694">
        <f>G194*$E194</f>
        <v>0</v>
      </c>
      <c r="H348" s="694">
        <f t="shared" ref="H348:M352" si="81">(H194*$E194)</f>
        <v>0</v>
      </c>
      <c r="I348" s="694">
        <f t="shared" si="81"/>
        <v>0</v>
      </c>
      <c r="J348" s="694">
        <f t="shared" si="81"/>
        <v>0</v>
      </c>
      <c r="K348" s="694">
        <f t="shared" si="81"/>
        <v>135000</v>
      </c>
      <c r="L348" s="694">
        <f t="shared" si="81"/>
        <v>135000</v>
      </c>
      <c r="M348" s="694">
        <f t="shared" si="81"/>
        <v>135000</v>
      </c>
      <c r="N348" s="116"/>
      <c r="O348" s="353"/>
    </row>
    <row r="349" spans="1:15" outlineLevel="1">
      <c r="A349" s="509">
        <f>ROW()</f>
        <v>349</v>
      </c>
      <c r="B349" s="187" t="str">
        <f>$B$195</f>
        <v>8th Grade Teacher</v>
      </c>
      <c r="C349" s="118">
        <f t="shared" si="75"/>
        <v>0</v>
      </c>
      <c r="D349" s="118"/>
      <c r="E349" s="118"/>
      <c r="F349" s="118"/>
      <c r="G349" s="694">
        <f>G195*$E195</f>
        <v>0</v>
      </c>
      <c r="H349" s="694">
        <f t="shared" si="81"/>
        <v>0</v>
      </c>
      <c r="I349" s="694">
        <f t="shared" si="81"/>
        <v>0</v>
      </c>
      <c r="J349" s="694">
        <f t="shared" si="81"/>
        <v>0</v>
      </c>
      <c r="K349" s="694">
        <f t="shared" si="81"/>
        <v>0</v>
      </c>
      <c r="L349" s="694">
        <f t="shared" si="81"/>
        <v>0</v>
      </c>
      <c r="M349" s="694">
        <f t="shared" si="81"/>
        <v>0</v>
      </c>
      <c r="N349" s="116"/>
      <c r="O349" s="353"/>
    </row>
    <row r="350" spans="1:15" outlineLevel="1">
      <c r="A350" s="509">
        <f>ROW()</f>
        <v>350</v>
      </c>
      <c r="B350" s="187" t="str">
        <f>$B$196</f>
        <v>8th Grade Teacher</v>
      </c>
      <c r="C350" s="118">
        <f t="shared" si="75"/>
        <v>0</v>
      </c>
      <c r="D350" s="118"/>
      <c r="E350" s="118"/>
      <c r="F350" s="118"/>
      <c r="G350" s="694">
        <f>G196*$E196</f>
        <v>0</v>
      </c>
      <c r="H350" s="694">
        <f t="shared" si="81"/>
        <v>0</v>
      </c>
      <c r="I350" s="694">
        <f t="shared" si="81"/>
        <v>0</v>
      </c>
      <c r="J350" s="694">
        <f t="shared" si="81"/>
        <v>0</v>
      </c>
      <c r="K350" s="694">
        <f t="shared" si="81"/>
        <v>0</v>
      </c>
      <c r="L350" s="694">
        <f t="shared" si="81"/>
        <v>0</v>
      </c>
      <c r="M350" s="694">
        <f t="shared" si="81"/>
        <v>0</v>
      </c>
      <c r="N350" s="116"/>
      <c r="O350" s="353"/>
    </row>
    <row r="351" spans="1:15" outlineLevel="1">
      <c r="A351" s="509">
        <f>ROW()</f>
        <v>351</v>
      </c>
      <c r="B351" s="187" t="str">
        <f>$B$197</f>
        <v>8th Grade Teacher</v>
      </c>
      <c r="C351" s="118">
        <f t="shared" si="75"/>
        <v>0</v>
      </c>
      <c r="D351" s="118"/>
      <c r="E351" s="118"/>
      <c r="F351" s="118"/>
      <c r="G351" s="694">
        <f>G197*$E197</f>
        <v>0</v>
      </c>
      <c r="H351" s="694">
        <f t="shared" si="81"/>
        <v>0</v>
      </c>
      <c r="I351" s="694">
        <f t="shared" si="81"/>
        <v>0</v>
      </c>
      <c r="J351" s="694">
        <f t="shared" si="81"/>
        <v>0</v>
      </c>
      <c r="K351" s="694">
        <f t="shared" si="81"/>
        <v>0</v>
      </c>
      <c r="L351" s="694">
        <f t="shared" si="81"/>
        <v>0</v>
      </c>
      <c r="M351" s="694">
        <f t="shared" si="81"/>
        <v>0</v>
      </c>
      <c r="N351" s="116"/>
      <c r="O351" s="353"/>
    </row>
    <row r="352" spans="1:15" outlineLevel="1">
      <c r="A352" s="509">
        <f>ROW()</f>
        <v>352</v>
      </c>
      <c r="B352" s="187">
        <f>$B$198</f>
        <v>0</v>
      </c>
      <c r="C352" s="118">
        <f t="shared" si="75"/>
        <v>0</v>
      </c>
      <c r="D352" s="118"/>
      <c r="E352" s="118"/>
      <c r="F352" s="118"/>
      <c r="G352" s="694">
        <f>G198*$E198</f>
        <v>0</v>
      </c>
      <c r="H352" s="694">
        <f t="shared" si="81"/>
        <v>0</v>
      </c>
      <c r="I352" s="694">
        <f t="shared" si="81"/>
        <v>0</v>
      </c>
      <c r="J352" s="694">
        <f t="shared" si="81"/>
        <v>0</v>
      </c>
      <c r="K352" s="694">
        <f t="shared" si="81"/>
        <v>0</v>
      </c>
      <c r="L352" s="694">
        <f t="shared" si="81"/>
        <v>0</v>
      </c>
      <c r="M352" s="694">
        <f t="shared" si="81"/>
        <v>0</v>
      </c>
      <c r="N352" s="116"/>
      <c r="O352" s="353"/>
    </row>
    <row r="353" spans="1:15" outlineLevel="1">
      <c r="A353" s="509">
        <f>ROW()</f>
        <v>353</v>
      </c>
      <c r="B353" s="187"/>
      <c r="C353" s="118">
        <f t="shared" si="75"/>
        <v>0</v>
      </c>
      <c r="D353" s="118"/>
      <c r="E353" s="118"/>
      <c r="F353" s="118"/>
      <c r="G353" s="694"/>
      <c r="H353" s="694"/>
      <c r="I353" s="694"/>
      <c r="J353" s="694"/>
      <c r="K353" s="694"/>
      <c r="L353" s="694"/>
      <c r="M353" s="694"/>
      <c r="N353" s="116"/>
      <c r="O353" s="353"/>
    </row>
    <row r="354" spans="1:15" outlineLevel="1">
      <c r="A354" s="509">
        <f>ROW()</f>
        <v>354</v>
      </c>
      <c r="B354" s="187" t="str">
        <f>$B$200</f>
        <v>PE teacher</v>
      </c>
      <c r="C354" s="118">
        <f t="shared" si="75"/>
        <v>855000</v>
      </c>
      <c r="D354" s="118"/>
      <c r="E354" s="118"/>
      <c r="F354" s="118"/>
      <c r="G354" s="694">
        <f>G200*$E200</f>
        <v>0</v>
      </c>
      <c r="H354" s="694">
        <f t="shared" ref="H354:M358" si="82">(H200*$E200)</f>
        <v>90000</v>
      </c>
      <c r="I354" s="694">
        <f t="shared" si="82"/>
        <v>135000</v>
      </c>
      <c r="J354" s="694">
        <f t="shared" si="82"/>
        <v>135000</v>
      </c>
      <c r="K354" s="694">
        <f t="shared" si="82"/>
        <v>135000</v>
      </c>
      <c r="L354" s="694">
        <f t="shared" si="82"/>
        <v>180000</v>
      </c>
      <c r="M354" s="694">
        <f t="shared" si="82"/>
        <v>180000</v>
      </c>
      <c r="N354" s="116"/>
      <c r="O354" s="353"/>
    </row>
    <row r="355" spans="1:15" outlineLevel="1">
      <c r="A355" s="509">
        <f>ROW()</f>
        <v>355</v>
      </c>
      <c r="B355" s="187" t="str">
        <f>$B$201</f>
        <v>PE teacher</v>
      </c>
      <c r="C355" s="118">
        <f t="shared" si="75"/>
        <v>0</v>
      </c>
      <c r="D355" s="118"/>
      <c r="E355" s="118"/>
      <c r="F355" s="118"/>
      <c r="G355" s="694">
        <f>G201*$E201</f>
        <v>0</v>
      </c>
      <c r="H355" s="694">
        <f t="shared" si="82"/>
        <v>0</v>
      </c>
      <c r="I355" s="694">
        <f t="shared" si="82"/>
        <v>0</v>
      </c>
      <c r="J355" s="694">
        <f t="shared" si="82"/>
        <v>0</v>
      </c>
      <c r="K355" s="694">
        <f t="shared" si="82"/>
        <v>0</v>
      </c>
      <c r="L355" s="694">
        <f t="shared" si="82"/>
        <v>0</v>
      </c>
      <c r="M355" s="694">
        <f t="shared" si="82"/>
        <v>0</v>
      </c>
      <c r="N355" s="116"/>
      <c r="O355" s="353"/>
    </row>
    <row r="356" spans="1:15" outlineLevel="1">
      <c r="A356" s="509">
        <f>ROW()</f>
        <v>356</v>
      </c>
      <c r="B356" s="187" t="str">
        <f>$B$202</f>
        <v>Grade Level Teacher</v>
      </c>
      <c r="C356" s="118">
        <f t="shared" si="75"/>
        <v>0</v>
      </c>
      <c r="D356" s="118"/>
      <c r="E356" s="118"/>
      <c r="F356" s="118"/>
      <c r="G356" s="694">
        <f>G202*$E202</f>
        <v>0</v>
      </c>
      <c r="H356" s="694">
        <f t="shared" si="82"/>
        <v>0</v>
      </c>
      <c r="I356" s="694">
        <f t="shared" si="82"/>
        <v>0</v>
      </c>
      <c r="J356" s="694">
        <f t="shared" si="82"/>
        <v>0</v>
      </c>
      <c r="K356" s="694">
        <f t="shared" si="82"/>
        <v>0</v>
      </c>
      <c r="L356" s="694">
        <f t="shared" si="82"/>
        <v>0</v>
      </c>
      <c r="M356" s="694">
        <f t="shared" si="82"/>
        <v>0</v>
      </c>
      <c r="N356" s="116"/>
      <c r="O356" s="353"/>
    </row>
    <row r="357" spans="1:15" outlineLevel="1">
      <c r="A357" s="509">
        <f>ROW()</f>
        <v>357</v>
      </c>
      <c r="B357" s="187" t="str">
        <f>$B$203</f>
        <v>Grade Level Teacher</v>
      </c>
      <c r="C357" s="118">
        <f t="shared" si="75"/>
        <v>0</v>
      </c>
      <c r="D357" s="118"/>
      <c r="E357" s="118"/>
      <c r="F357" s="118"/>
      <c r="G357" s="694">
        <f>G203*$E203</f>
        <v>0</v>
      </c>
      <c r="H357" s="694">
        <f t="shared" si="82"/>
        <v>0</v>
      </c>
      <c r="I357" s="694">
        <f t="shared" si="82"/>
        <v>0</v>
      </c>
      <c r="J357" s="694">
        <f t="shared" si="82"/>
        <v>0</v>
      </c>
      <c r="K357" s="694">
        <f t="shared" si="82"/>
        <v>0</v>
      </c>
      <c r="L357" s="694">
        <f t="shared" si="82"/>
        <v>0</v>
      </c>
      <c r="M357" s="694">
        <f t="shared" si="82"/>
        <v>0</v>
      </c>
      <c r="N357" s="116"/>
      <c r="O357" s="353"/>
    </row>
    <row r="358" spans="1:15" outlineLevel="1">
      <c r="A358" s="509">
        <f>ROW()</f>
        <v>358</v>
      </c>
      <c r="B358" s="187" t="str">
        <f>$B$204</f>
        <v>Grade Level Teacher</v>
      </c>
      <c r="C358" s="118">
        <f t="shared" si="75"/>
        <v>0</v>
      </c>
      <c r="D358" s="118"/>
      <c r="E358" s="118"/>
      <c r="F358" s="118"/>
      <c r="G358" s="694">
        <f>G204*$E204</f>
        <v>0</v>
      </c>
      <c r="H358" s="694">
        <f t="shared" si="82"/>
        <v>0</v>
      </c>
      <c r="I358" s="694">
        <f t="shared" si="82"/>
        <v>0</v>
      </c>
      <c r="J358" s="694">
        <f t="shared" si="82"/>
        <v>0</v>
      </c>
      <c r="K358" s="694">
        <f t="shared" si="82"/>
        <v>0</v>
      </c>
      <c r="L358" s="694">
        <f t="shared" si="82"/>
        <v>0</v>
      </c>
      <c r="M358" s="694">
        <f t="shared" si="82"/>
        <v>0</v>
      </c>
      <c r="N358" s="116"/>
      <c r="O358" s="353"/>
    </row>
    <row r="359" spans="1:15" outlineLevel="1">
      <c r="A359" s="509">
        <f>ROW()</f>
        <v>359</v>
      </c>
      <c r="B359" s="187"/>
      <c r="C359" s="118">
        <f t="shared" ref="C359:C388" si="83">SUM(G359:M359)</f>
        <v>0</v>
      </c>
      <c r="D359" s="118"/>
      <c r="E359" s="118"/>
      <c r="F359" s="118"/>
      <c r="G359" s="694"/>
      <c r="H359" s="694"/>
      <c r="I359" s="694"/>
      <c r="J359" s="694"/>
      <c r="K359" s="694"/>
      <c r="L359" s="694"/>
      <c r="M359" s="694"/>
      <c r="N359" s="116"/>
      <c r="O359" s="353"/>
    </row>
    <row r="360" spans="1:15" outlineLevel="1">
      <c r="A360" s="509">
        <f>ROW()</f>
        <v>360</v>
      </c>
      <c r="B360" s="187" t="str">
        <f>$B$206</f>
        <v>STEAM Teacher</v>
      </c>
      <c r="C360" s="118">
        <f t="shared" si="83"/>
        <v>405000</v>
      </c>
      <c r="D360" s="118"/>
      <c r="E360" s="118"/>
      <c r="F360" s="118"/>
      <c r="G360" s="694">
        <f>G206*$E206</f>
        <v>0</v>
      </c>
      <c r="H360" s="694">
        <f t="shared" ref="H360:M364" si="84">(H206*$E206)</f>
        <v>0</v>
      </c>
      <c r="I360" s="694">
        <f t="shared" si="84"/>
        <v>45000</v>
      </c>
      <c r="J360" s="694">
        <f t="shared" si="84"/>
        <v>90000</v>
      </c>
      <c r="K360" s="694">
        <f t="shared" si="84"/>
        <v>90000</v>
      </c>
      <c r="L360" s="694">
        <f t="shared" si="84"/>
        <v>90000</v>
      </c>
      <c r="M360" s="694">
        <f t="shared" si="84"/>
        <v>90000</v>
      </c>
      <c r="N360" s="116"/>
      <c r="O360" s="353"/>
    </row>
    <row r="361" spans="1:15" outlineLevel="1">
      <c r="A361" s="509">
        <f>ROW()</f>
        <v>361</v>
      </c>
      <c r="B361" s="187" t="str">
        <f>$B$207</f>
        <v>STEAM Teacher</v>
      </c>
      <c r="C361" s="118">
        <f t="shared" si="83"/>
        <v>0</v>
      </c>
      <c r="D361" s="118"/>
      <c r="E361" s="118"/>
      <c r="F361" s="118"/>
      <c r="G361" s="694">
        <f>G207*$E207</f>
        <v>0</v>
      </c>
      <c r="H361" s="694">
        <f t="shared" si="84"/>
        <v>0</v>
      </c>
      <c r="I361" s="694">
        <f t="shared" si="84"/>
        <v>0</v>
      </c>
      <c r="J361" s="694">
        <f t="shared" si="84"/>
        <v>0</v>
      </c>
      <c r="K361" s="694">
        <f t="shared" si="84"/>
        <v>0</v>
      </c>
      <c r="L361" s="694">
        <f t="shared" si="84"/>
        <v>0</v>
      </c>
      <c r="M361" s="694">
        <f t="shared" si="84"/>
        <v>0</v>
      </c>
      <c r="N361" s="116"/>
      <c r="O361" s="353"/>
    </row>
    <row r="362" spans="1:15" outlineLevel="1">
      <c r="A362" s="509">
        <f>ROW()</f>
        <v>362</v>
      </c>
      <c r="B362" s="187" t="str">
        <f>$B$208</f>
        <v>Grade Level Teacher</v>
      </c>
      <c r="C362" s="118">
        <f t="shared" si="83"/>
        <v>0</v>
      </c>
      <c r="D362" s="118"/>
      <c r="E362" s="118"/>
      <c r="F362" s="118"/>
      <c r="G362" s="694">
        <f>G208*$E208</f>
        <v>0</v>
      </c>
      <c r="H362" s="694">
        <f t="shared" si="84"/>
        <v>0</v>
      </c>
      <c r="I362" s="694">
        <f t="shared" si="84"/>
        <v>0</v>
      </c>
      <c r="J362" s="694">
        <f t="shared" si="84"/>
        <v>0</v>
      </c>
      <c r="K362" s="694">
        <f t="shared" si="84"/>
        <v>0</v>
      </c>
      <c r="L362" s="694">
        <f t="shared" si="84"/>
        <v>0</v>
      </c>
      <c r="M362" s="694">
        <f t="shared" si="84"/>
        <v>0</v>
      </c>
      <c r="N362" s="116"/>
      <c r="O362" s="353"/>
    </row>
    <row r="363" spans="1:15" outlineLevel="1">
      <c r="A363" s="509">
        <f>ROW()</f>
        <v>363</v>
      </c>
      <c r="B363" s="187" t="str">
        <f>$B$209</f>
        <v>Grade Level Teacher</v>
      </c>
      <c r="C363" s="118">
        <f t="shared" si="83"/>
        <v>0</v>
      </c>
      <c r="D363" s="118"/>
      <c r="E363" s="118"/>
      <c r="F363" s="118"/>
      <c r="G363" s="694">
        <f>G209*$E209</f>
        <v>0</v>
      </c>
      <c r="H363" s="694">
        <f t="shared" si="84"/>
        <v>0</v>
      </c>
      <c r="I363" s="694">
        <f t="shared" si="84"/>
        <v>0</v>
      </c>
      <c r="J363" s="694">
        <f t="shared" si="84"/>
        <v>0</v>
      </c>
      <c r="K363" s="694">
        <f t="shared" si="84"/>
        <v>0</v>
      </c>
      <c r="L363" s="694">
        <f t="shared" si="84"/>
        <v>0</v>
      </c>
      <c r="M363" s="694">
        <f t="shared" si="84"/>
        <v>0</v>
      </c>
      <c r="N363" s="116"/>
      <c r="O363" s="353"/>
    </row>
    <row r="364" spans="1:15" outlineLevel="1">
      <c r="A364" s="509">
        <f>ROW()</f>
        <v>364</v>
      </c>
      <c r="B364" s="187" t="str">
        <f>$B$210</f>
        <v>Grade Level Teacher</v>
      </c>
      <c r="C364" s="118">
        <f t="shared" si="83"/>
        <v>0</v>
      </c>
      <c r="D364" s="118"/>
      <c r="E364" s="118"/>
      <c r="F364" s="118"/>
      <c r="G364" s="694">
        <f>G210*$E210</f>
        <v>0</v>
      </c>
      <c r="H364" s="694">
        <f t="shared" si="84"/>
        <v>0</v>
      </c>
      <c r="I364" s="694">
        <f t="shared" si="84"/>
        <v>0</v>
      </c>
      <c r="J364" s="694">
        <f t="shared" si="84"/>
        <v>0</v>
      </c>
      <c r="K364" s="694">
        <f t="shared" si="84"/>
        <v>0</v>
      </c>
      <c r="L364" s="694">
        <f t="shared" si="84"/>
        <v>0</v>
      </c>
      <c r="M364" s="694">
        <f t="shared" si="84"/>
        <v>0</v>
      </c>
      <c r="N364" s="116"/>
      <c r="O364" s="353"/>
    </row>
    <row r="365" spans="1:15" outlineLevel="1">
      <c r="A365" s="509">
        <f>ROW()</f>
        <v>365</v>
      </c>
      <c r="B365" s="187"/>
      <c r="C365" s="118">
        <f t="shared" si="83"/>
        <v>0</v>
      </c>
      <c r="D365" s="118"/>
      <c r="E365" s="118"/>
      <c r="F365" s="118"/>
      <c r="G365" s="694"/>
      <c r="H365" s="694"/>
      <c r="I365" s="694"/>
      <c r="J365" s="694"/>
      <c r="K365" s="694"/>
      <c r="L365" s="694"/>
      <c r="M365" s="694"/>
      <c r="N365" s="116"/>
      <c r="O365" s="353"/>
    </row>
    <row r="366" spans="1:15" outlineLevel="1">
      <c r="A366" s="509">
        <f>ROW()</f>
        <v>366</v>
      </c>
      <c r="B366" s="187" t="str">
        <f>$B$212</f>
        <v>Spanish Teacher</v>
      </c>
      <c r="C366" s="118">
        <f t="shared" si="83"/>
        <v>270000</v>
      </c>
      <c r="D366" s="118"/>
      <c r="E366" s="118"/>
      <c r="F366" s="118"/>
      <c r="G366" s="694">
        <f>G212*$E212</f>
        <v>0</v>
      </c>
      <c r="H366" s="694">
        <f t="shared" ref="H366:M370" si="85">(H212*$E212)</f>
        <v>45000</v>
      </c>
      <c r="I366" s="694">
        <f t="shared" si="85"/>
        <v>45000</v>
      </c>
      <c r="J366" s="694">
        <f t="shared" si="85"/>
        <v>45000</v>
      </c>
      <c r="K366" s="694">
        <f t="shared" si="85"/>
        <v>45000</v>
      </c>
      <c r="L366" s="694">
        <f t="shared" si="85"/>
        <v>45000</v>
      </c>
      <c r="M366" s="694">
        <f t="shared" si="85"/>
        <v>45000</v>
      </c>
      <c r="N366" s="116"/>
      <c r="O366" s="353"/>
    </row>
    <row r="367" spans="1:15" outlineLevel="1">
      <c r="A367" s="509">
        <f>ROW()</f>
        <v>367</v>
      </c>
      <c r="B367" s="187" t="str">
        <f>$B$213</f>
        <v>Art Teacher</v>
      </c>
      <c r="C367" s="118">
        <f t="shared" si="83"/>
        <v>225000</v>
      </c>
      <c r="D367" s="118"/>
      <c r="E367" s="118"/>
      <c r="F367" s="118"/>
      <c r="G367" s="694">
        <f>G213*$E213</f>
        <v>0</v>
      </c>
      <c r="H367" s="694">
        <f t="shared" si="85"/>
        <v>0</v>
      </c>
      <c r="I367" s="694">
        <f t="shared" si="85"/>
        <v>45000</v>
      </c>
      <c r="J367" s="694">
        <f t="shared" si="85"/>
        <v>45000</v>
      </c>
      <c r="K367" s="694">
        <f t="shared" si="85"/>
        <v>45000</v>
      </c>
      <c r="L367" s="694">
        <f t="shared" si="85"/>
        <v>45000</v>
      </c>
      <c r="M367" s="694">
        <f t="shared" si="85"/>
        <v>45000</v>
      </c>
      <c r="N367" s="116"/>
      <c r="O367" s="353"/>
    </row>
    <row r="368" spans="1:15" outlineLevel="1">
      <c r="A368" s="509">
        <f>ROW()</f>
        <v>368</v>
      </c>
      <c r="B368" s="187" t="str">
        <f>$B$214</f>
        <v>Music Teacher</v>
      </c>
      <c r="C368" s="118">
        <f t="shared" si="83"/>
        <v>225000</v>
      </c>
      <c r="D368" s="118"/>
      <c r="E368" s="118"/>
      <c r="F368" s="118"/>
      <c r="G368" s="694">
        <f>G214*$E214</f>
        <v>0</v>
      </c>
      <c r="H368" s="694">
        <f t="shared" si="85"/>
        <v>0</v>
      </c>
      <c r="I368" s="694">
        <f t="shared" si="85"/>
        <v>45000</v>
      </c>
      <c r="J368" s="694">
        <f t="shared" si="85"/>
        <v>45000</v>
      </c>
      <c r="K368" s="694">
        <f t="shared" si="85"/>
        <v>45000</v>
      </c>
      <c r="L368" s="694">
        <f t="shared" si="85"/>
        <v>45000</v>
      </c>
      <c r="M368" s="694">
        <f t="shared" si="85"/>
        <v>45000</v>
      </c>
      <c r="N368" s="116"/>
      <c r="O368" s="353"/>
    </row>
    <row r="369" spans="1:15" outlineLevel="1">
      <c r="A369" s="509">
        <f>ROW()</f>
        <v>369</v>
      </c>
      <c r="B369" s="187" t="str">
        <f>$B$215</f>
        <v>Grade Level Teacher</v>
      </c>
      <c r="C369" s="118">
        <f t="shared" si="83"/>
        <v>0</v>
      </c>
      <c r="D369" s="118"/>
      <c r="E369" s="118"/>
      <c r="F369" s="118"/>
      <c r="G369" s="694">
        <f>G215*$E215</f>
        <v>0</v>
      </c>
      <c r="H369" s="694">
        <f t="shared" si="85"/>
        <v>0</v>
      </c>
      <c r="I369" s="694">
        <f t="shared" si="85"/>
        <v>0</v>
      </c>
      <c r="J369" s="694">
        <f t="shared" si="85"/>
        <v>0</v>
      </c>
      <c r="K369" s="694">
        <f t="shared" si="85"/>
        <v>0</v>
      </c>
      <c r="L369" s="694">
        <f t="shared" si="85"/>
        <v>0</v>
      </c>
      <c r="M369" s="694">
        <f t="shared" si="85"/>
        <v>0</v>
      </c>
      <c r="N369" s="116"/>
      <c r="O369" s="353"/>
    </row>
    <row r="370" spans="1:15" outlineLevel="1">
      <c r="A370" s="509">
        <f>ROW()</f>
        <v>370</v>
      </c>
      <c r="B370" s="187" t="str">
        <f>$B$216</f>
        <v>Grade Level Teacher</v>
      </c>
      <c r="C370" s="118">
        <f t="shared" si="83"/>
        <v>0</v>
      </c>
      <c r="D370" s="118"/>
      <c r="E370" s="118"/>
      <c r="F370" s="118"/>
      <c r="G370" s="694">
        <f>G216*$E216</f>
        <v>0</v>
      </c>
      <c r="H370" s="694">
        <f t="shared" si="85"/>
        <v>0</v>
      </c>
      <c r="I370" s="694">
        <f t="shared" si="85"/>
        <v>0</v>
      </c>
      <c r="J370" s="694">
        <f t="shared" si="85"/>
        <v>0</v>
      </c>
      <c r="K370" s="694">
        <f t="shared" si="85"/>
        <v>0</v>
      </c>
      <c r="L370" s="694">
        <f t="shared" si="85"/>
        <v>0</v>
      </c>
      <c r="M370" s="694">
        <f t="shared" si="85"/>
        <v>0</v>
      </c>
      <c r="N370" s="116"/>
      <c r="O370" s="353"/>
    </row>
    <row r="371" spans="1:15" outlineLevel="1">
      <c r="A371" s="509">
        <f>ROW()</f>
        <v>371</v>
      </c>
      <c r="B371" s="187"/>
      <c r="C371" s="118">
        <f t="shared" si="83"/>
        <v>0</v>
      </c>
      <c r="D371" s="118"/>
      <c r="E371" s="118"/>
      <c r="F371" s="118"/>
      <c r="G371" s="694"/>
      <c r="H371" s="694"/>
      <c r="I371" s="694"/>
      <c r="J371" s="694"/>
      <c r="K371" s="694"/>
      <c r="L371" s="694"/>
      <c r="M371" s="694"/>
      <c r="N371" s="116"/>
      <c r="O371" s="353"/>
    </row>
    <row r="372" spans="1:15" outlineLevel="1">
      <c r="A372" s="509">
        <f>ROW()</f>
        <v>372</v>
      </c>
      <c r="B372" s="187" t="str">
        <f>$B$218</f>
        <v>Grade Level Teacher</v>
      </c>
      <c r="C372" s="118">
        <f t="shared" si="83"/>
        <v>0</v>
      </c>
      <c r="D372" s="118"/>
      <c r="E372" s="118"/>
      <c r="F372" s="118"/>
      <c r="G372" s="694">
        <f>G218*$E218</f>
        <v>0</v>
      </c>
      <c r="H372" s="694">
        <f t="shared" ref="H372:M376" si="86">(H218*$E218)</f>
        <v>0</v>
      </c>
      <c r="I372" s="694">
        <f t="shared" si="86"/>
        <v>0</v>
      </c>
      <c r="J372" s="694">
        <f t="shared" si="86"/>
        <v>0</v>
      </c>
      <c r="K372" s="694">
        <f t="shared" si="86"/>
        <v>0</v>
      </c>
      <c r="L372" s="694">
        <f t="shared" si="86"/>
        <v>0</v>
      </c>
      <c r="M372" s="694">
        <f t="shared" si="86"/>
        <v>0</v>
      </c>
      <c r="N372" s="116"/>
      <c r="O372" s="353"/>
    </row>
    <row r="373" spans="1:15" outlineLevel="1">
      <c r="A373" s="509">
        <f>ROW()</f>
        <v>373</v>
      </c>
      <c r="B373" s="187" t="str">
        <f>$B$219</f>
        <v>Grade Level Teacher</v>
      </c>
      <c r="C373" s="118">
        <f t="shared" si="83"/>
        <v>0</v>
      </c>
      <c r="D373" s="118"/>
      <c r="E373" s="118"/>
      <c r="F373" s="118"/>
      <c r="G373" s="694">
        <f>G219*$E219</f>
        <v>0</v>
      </c>
      <c r="H373" s="694">
        <f t="shared" si="86"/>
        <v>0</v>
      </c>
      <c r="I373" s="694">
        <f t="shared" si="86"/>
        <v>0</v>
      </c>
      <c r="J373" s="694">
        <f t="shared" si="86"/>
        <v>0</v>
      </c>
      <c r="K373" s="694">
        <f t="shared" si="86"/>
        <v>0</v>
      </c>
      <c r="L373" s="694">
        <f t="shared" si="86"/>
        <v>0</v>
      </c>
      <c r="M373" s="694">
        <f t="shared" si="86"/>
        <v>0</v>
      </c>
      <c r="N373" s="116"/>
      <c r="O373" s="353"/>
    </row>
    <row r="374" spans="1:15" outlineLevel="1">
      <c r="A374" s="509">
        <f>ROW()</f>
        <v>374</v>
      </c>
      <c r="B374" s="187" t="str">
        <f>$B$220</f>
        <v>Grade Level Teacher</v>
      </c>
      <c r="C374" s="118">
        <f t="shared" si="83"/>
        <v>0</v>
      </c>
      <c r="D374" s="118"/>
      <c r="E374" s="118"/>
      <c r="F374" s="118"/>
      <c r="G374" s="694">
        <f>G220*$E220</f>
        <v>0</v>
      </c>
      <c r="H374" s="694">
        <f t="shared" si="86"/>
        <v>0</v>
      </c>
      <c r="I374" s="694">
        <f t="shared" si="86"/>
        <v>0</v>
      </c>
      <c r="J374" s="694">
        <f t="shared" si="86"/>
        <v>0</v>
      </c>
      <c r="K374" s="694">
        <f t="shared" si="86"/>
        <v>0</v>
      </c>
      <c r="L374" s="694">
        <f t="shared" si="86"/>
        <v>0</v>
      </c>
      <c r="M374" s="694">
        <f t="shared" si="86"/>
        <v>0</v>
      </c>
      <c r="N374" s="116"/>
      <c r="O374" s="353"/>
    </row>
    <row r="375" spans="1:15" outlineLevel="1">
      <c r="A375" s="509">
        <f>ROW()</f>
        <v>375</v>
      </c>
      <c r="B375" s="187" t="str">
        <f>$B$221</f>
        <v>Grade Level Teacher</v>
      </c>
      <c r="C375" s="118">
        <f t="shared" si="83"/>
        <v>0</v>
      </c>
      <c r="D375" s="118"/>
      <c r="E375" s="118"/>
      <c r="F375" s="118"/>
      <c r="G375" s="694">
        <f>G221*$E221</f>
        <v>0</v>
      </c>
      <c r="H375" s="694">
        <f t="shared" si="86"/>
        <v>0</v>
      </c>
      <c r="I375" s="694">
        <f t="shared" si="86"/>
        <v>0</v>
      </c>
      <c r="J375" s="694">
        <f t="shared" si="86"/>
        <v>0</v>
      </c>
      <c r="K375" s="694">
        <f t="shared" si="86"/>
        <v>0</v>
      </c>
      <c r="L375" s="694">
        <f t="shared" si="86"/>
        <v>0</v>
      </c>
      <c r="M375" s="694">
        <f t="shared" si="86"/>
        <v>0</v>
      </c>
      <c r="N375" s="116"/>
      <c r="O375" s="353"/>
    </row>
    <row r="376" spans="1:15" outlineLevel="1">
      <c r="A376" s="509">
        <f>ROW()</f>
        <v>376</v>
      </c>
      <c r="B376" s="187" t="str">
        <f>$B$222</f>
        <v>Grade Level Teacher</v>
      </c>
      <c r="C376" s="118">
        <f t="shared" si="83"/>
        <v>0</v>
      </c>
      <c r="D376" s="118"/>
      <c r="E376" s="118"/>
      <c r="F376" s="118"/>
      <c r="G376" s="694">
        <f>G222*$E222</f>
        <v>0</v>
      </c>
      <c r="H376" s="694">
        <f t="shared" si="86"/>
        <v>0</v>
      </c>
      <c r="I376" s="694">
        <f t="shared" si="86"/>
        <v>0</v>
      </c>
      <c r="J376" s="694">
        <f t="shared" si="86"/>
        <v>0</v>
      </c>
      <c r="K376" s="694">
        <f t="shared" si="86"/>
        <v>0</v>
      </c>
      <c r="L376" s="694">
        <f t="shared" si="86"/>
        <v>0</v>
      </c>
      <c r="M376" s="694">
        <f t="shared" si="86"/>
        <v>0</v>
      </c>
      <c r="N376" s="116"/>
      <c r="O376" s="353"/>
    </row>
    <row r="377" spans="1:15" outlineLevel="1">
      <c r="A377" s="509">
        <f>ROW()</f>
        <v>377</v>
      </c>
      <c r="B377" s="187"/>
      <c r="C377" s="118">
        <f t="shared" si="83"/>
        <v>0</v>
      </c>
      <c r="D377" s="118"/>
      <c r="E377" s="118"/>
      <c r="F377" s="118"/>
      <c r="G377" s="694"/>
      <c r="H377" s="694"/>
      <c r="I377" s="694"/>
      <c r="J377" s="694"/>
      <c r="K377" s="694"/>
      <c r="L377" s="694"/>
      <c r="M377" s="694"/>
      <c r="N377" s="116"/>
      <c r="O377" s="353"/>
    </row>
    <row r="378" spans="1:15" outlineLevel="1">
      <c r="A378" s="509">
        <f>ROW()</f>
        <v>378</v>
      </c>
      <c r="B378" s="187" t="str">
        <f>$B$224</f>
        <v>Grade Level Teacher</v>
      </c>
      <c r="C378" s="118">
        <f t="shared" si="83"/>
        <v>0</v>
      </c>
      <c r="D378" s="118"/>
      <c r="E378" s="118"/>
      <c r="F378" s="118"/>
      <c r="G378" s="694">
        <f>G224*$E224</f>
        <v>0</v>
      </c>
      <c r="H378" s="694">
        <f t="shared" ref="H378:M382" si="87">(H224*$E224)</f>
        <v>0</v>
      </c>
      <c r="I378" s="694">
        <f t="shared" si="87"/>
        <v>0</v>
      </c>
      <c r="J378" s="694">
        <f t="shared" si="87"/>
        <v>0</v>
      </c>
      <c r="K378" s="694">
        <f t="shared" si="87"/>
        <v>0</v>
      </c>
      <c r="L378" s="694">
        <f t="shared" si="87"/>
        <v>0</v>
      </c>
      <c r="M378" s="694">
        <f t="shared" si="87"/>
        <v>0</v>
      </c>
      <c r="N378" s="116"/>
      <c r="O378" s="353"/>
    </row>
    <row r="379" spans="1:15" outlineLevel="1">
      <c r="A379" s="509">
        <f>ROW()</f>
        <v>379</v>
      </c>
      <c r="B379" s="187" t="str">
        <f>$B$225</f>
        <v>Grade Level Teacher</v>
      </c>
      <c r="C379" s="118">
        <f t="shared" si="83"/>
        <v>0</v>
      </c>
      <c r="D379" s="118"/>
      <c r="E379" s="118"/>
      <c r="F379" s="118"/>
      <c r="G379" s="694">
        <f>G225*$E225</f>
        <v>0</v>
      </c>
      <c r="H379" s="694">
        <f t="shared" si="87"/>
        <v>0</v>
      </c>
      <c r="I379" s="694">
        <f t="shared" si="87"/>
        <v>0</v>
      </c>
      <c r="J379" s="694">
        <f t="shared" si="87"/>
        <v>0</v>
      </c>
      <c r="K379" s="694">
        <f t="shared" si="87"/>
        <v>0</v>
      </c>
      <c r="L379" s="694">
        <f t="shared" si="87"/>
        <v>0</v>
      </c>
      <c r="M379" s="694">
        <f t="shared" si="87"/>
        <v>0</v>
      </c>
      <c r="N379" s="116"/>
      <c r="O379" s="353"/>
    </row>
    <row r="380" spans="1:15" outlineLevel="1">
      <c r="A380" s="509">
        <f>ROW()</f>
        <v>380</v>
      </c>
      <c r="B380" s="187" t="str">
        <f>$B$226</f>
        <v>Grade Level Teacher</v>
      </c>
      <c r="C380" s="118">
        <f t="shared" si="83"/>
        <v>0</v>
      </c>
      <c r="D380" s="118"/>
      <c r="E380" s="118"/>
      <c r="F380" s="118"/>
      <c r="G380" s="694">
        <f>G226*$E226</f>
        <v>0</v>
      </c>
      <c r="H380" s="694">
        <f t="shared" si="87"/>
        <v>0</v>
      </c>
      <c r="I380" s="694">
        <f t="shared" si="87"/>
        <v>0</v>
      </c>
      <c r="J380" s="694">
        <f t="shared" si="87"/>
        <v>0</v>
      </c>
      <c r="K380" s="694">
        <f t="shared" si="87"/>
        <v>0</v>
      </c>
      <c r="L380" s="694">
        <f t="shared" si="87"/>
        <v>0</v>
      </c>
      <c r="M380" s="694">
        <f t="shared" si="87"/>
        <v>0</v>
      </c>
      <c r="N380" s="116"/>
      <c r="O380" s="353"/>
    </row>
    <row r="381" spans="1:15" outlineLevel="1">
      <c r="A381" s="509">
        <f>ROW()</f>
        <v>381</v>
      </c>
      <c r="B381" s="187" t="str">
        <f>$B$227</f>
        <v>Grade Level Teacher</v>
      </c>
      <c r="C381" s="118">
        <f t="shared" si="83"/>
        <v>0</v>
      </c>
      <c r="D381" s="118"/>
      <c r="E381" s="118"/>
      <c r="F381" s="118"/>
      <c r="G381" s="694">
        <f>G227*$E227</f>
        <v>0</v>
      </c>
      <c r="H381" s="694">
        <f t="shared" si="87"/>
        <v>0</v>
      </c>
      <c r="I381" s="694">
        <f t="shared" si="87"/>
        <v>0</v>
      </c>
      <c r="J381" s="694">
        <f t="shared" si="87"/>
        <v>0</v>
      </c>
      <c r="K381" s="694">
        <f t="shared" si="87"/>
        <v>0</v>
      </c>
      <c r="L381" s="694">
        <f t="shared" si="87"/>
        <v>0</v>
      </c>
      <c r="M381" s="694">
        <f t="shared" si="87"/>
        <v>0</v>
      </c>
      <c r="N381" s="116"/>
      <c r="O381" s="353"/>
    </row>
    <row r="382" spans="1:15" outlineLevel="1">
      <c r="A382" s="509">
        <f>ROW()</f>
        <v>382</v>
      </c>
      <c r="B382" s="187" t="str">
        <f>$B$228</f>
        <v>Grade Level Teacher</v>
      </c>
      <c r="C382" s="118">
        <f t="shared" si="83"/>
        <v>0</v>
      </c>
      <c r="D382" s="118"/>
      <c r="E382" s="118"/>
      <c r="F382" s="118"/>
      <c r="G382" s="694">
        <f>G228*$E228</f>
        <v>0</v>
      </c>
      <c r="H382" s="694">
        <f t="shared" si="87"/>
        <v>0</v>
      </c>
      <c r="I382" s="694">
        <f t="shared" si="87"/>
        <v>0</v>
      </c>
      <c r="J382" s="694">
        <f t="shared" si="87"/>
        <v>0</v>
      </c>
      <c r="K382" s="694">
        <f t="shared" si="87"/>
        <v>0</v>
      </c>
      <c r="L382" s="694">
        <f t="shared" si="87"/>
        <v>0</v>
      </c>
      <c r="M382" s="694">
        <f t="shared" si="87"/>
        <v>0</v>
      </c>
      <c r="N382" s="116"/>
      <c r="O382" s="353"/>
    </row>
    <row r="383" spans="1:15" outlineLevel="1">
      <c r="A383" s="509">
        <f>ROW()</f>
        <v>383</v>
      </c>
      <c r="B383" s="187"/>
      <c r="C383" s="118">
        <f t="shared" si="83"/>
        <v>0</v>
      </c>
      <c r="D383" s="118"/>
      <c r="E383" s="118"/>
      <c r="F383" s="118"/>
      <c r="G383" s="694"/>
      <c r="H383" s="694"/>
      <c r="I383" s="694"/>
      <c r="J383" s="694"/>
      <c r="K383" s="694"/>
      <c r="L383" s="694"/>
      <c r="M383" s="694"/>
      <c r="N383" s="116"/>
      <c r="O383" s="353"/>
    </row>
    <row r="384" spans="1:15" outlineLevel="1">
      <c r="A384" s="509">
        <f>ROW()</f>
        <v>384</v>
      </c>
      <c r="B384" s="187" t="str">
        <f>$B$230</f>
        <v>Grade Level Teacher</v>
      </c>
      <c r="C384" s="118">
        <f t="shared" si="83"/>
        <v>0</v>
      </c>
      <c r="D384" s="118"/>
      <c r="E384" s="118"/>
      <c r="F384" s="118"/>
      <c r="G384" s="694">
        <f>G230*$E230</f>
        <v>0</v>
      </c>
      <c r="H384" s="694">
        <f t="shared" ref="H384:M388" si="88">(H230*$E230)</f>
        <v>0</v>
      </c>
      <c r="I384" s="694">
        <f t="shared" si="88"/>
        <v>0</v>
      </c>
      <c r="J384" s="694">
        <f t="shared" si="88"/>
        <v>0</v>
      </c>
      <c r="K384" s="694">
        <f t="shared" si="88"/>
        <v>0</v>
      </c>
      <c r="L384" s="694">
        <f t="shared" si="88"/>
        <v>0</v>
      </c>
      <c r="M384" s="694">
        <f t="shared" si="88"/>
        <v>0</v>
      </c>
      <c r="N384" s="116"/>
      <c r="O384" s="353"/>
    </row>
    <row r="385" spans="1:15" outlineLevel="1">
      <c r="A385" s="509">
        <f>ROW()</f>
        <v>385</v>
      </c>
      <c r="B385" s="187" t="str">
        <f>$B$231</f>
        <v>Grade Level Teacher</v>
      </c>
      <c r="C385" s="118">
        <f t="shared" si="83"/>
        <v>0</v>
      </c>
      <c r="D385" s="118"/>
      <c r="E385" s="118"/>
      <c r="F385" s="118"/>
      <c r="G385" s="694">
        <f>G231*$E231</f>
        <v>0</v>
      </c>
      <c r="H385" s="694">
        <f t="shared" si="88"/>
        <v>0</v>
      </c>
      <c r="I385" s="694">
        <f t="shared" si="88"/>
        <v>0</v>
      </c>
      <c r="J385" s="694">
        <f t="shared" si="88"/>
        <v>0</v>
      </c>
      <c r="K385" s="694">
        <f t="shared" si="88"/>
        <v>0</v>
      </c>
      <c r="L385" s="694">
        <f t="shared" si="88"/>
        <v>0</v>
      </c>
      <c r="M385" s="694">
        <f t="shared" si="88"/>
        <v>0</v>
      </c>
      <c r="N385" s="116"/>
      <c r="O385" s="353"/>
    </row>
    <row r="386" spans="1:15" outlineLevel="1">
      <c r="A386" s="509">
        <f>ROW()</f>
        <v>386</v>
      </c>
      <c r="B386" s="187" t="str">
        <f>$B$232</f>
        <v>Grade Level Teacher</v>
      </c>
      <c r="C386" s="118">
        <f t="shared" si="83"/>
        <v>0</v>
      </c>
      <c r="D386" s="118"/>
      <c r="E386" s="118"/>
      <c r="F386" s="118"/>
      <c r="G386" s="694">
        <f>G232*$E232</f>
        <v>0</v>
      </c>
      <c r="H386" s="694">
        <f t="shared" si="88"/>
        <v>0</v>
      </c>
      <c r="I386" s="694">
        <f t="shared" si="88"/>
        <v>0</v>
      </c>
      <c r="J386" s="694">
        <f t="shared" si="88"/>
        <v>0</v>
      </c>
      <c r="K386" s="694">
        <f t="shared" si="88"/>
        <v>0</v>
      </c>
      <c r="L386" s="694">
        <f t="shared" si="88"/>
        <v>0</v>
      </c>
      <c r="M386" s="694">
        <f t="shared" si="88"/>
        <v>0</v>
      </c>
      <c r="N386" s="116"/>
      <c r="O386" s="353"/>
    </row>
    <row r="387" spans="1:15" outlineLevel="1">
      <c r="A387" s="509">
        <f>ROW()</f>
        <v>387</v>
      </c>
      <c r="B387" s="187" t="str">
        <f>$B$233</f>
        <v>Grade Level Teacher</v>
      </c>
      <c r="C387" s="118">
        <f t="shared" si="83"/>
        <v>0</v>
      </c>
      <c r="D387" s="118"/>
      <c r="E387" s="118"/>
      <c r="F387" s="118"/>
      <c r="G387" s="694">
        <f>G233*$E233</f>
        <v>0</v>
      </c>
      <c r="H387" s="694">
        <f t="shared" si="88"/>
        <v>0</v>
      </c>
      <c r="I387" s="694">
        <f t="shared" si="88"/>
        <v>0</v>
      </c>
      <c r="J387" s="694">
        <f t="shared" si="88"/>
        <v>0</v>
      </c>
      <c r="K387" s="694">
        <f t="shared" si="88"/>
        <v>0</v>
      </c>
      <c r="L387" s="694">
        <f t="shared" si="88"/>
        <v>0</v>
      </c>
      <c r="M387" s="694">
        <f t="shared" si="88"/>
        <v>0</v>
      </c>
      <c r="N387" s="116"/>
      <c r="O387" s="353"/>
    </row>
    <row r="388" spans="1:15" outlineLevel="1">
      <c r="A388" s="509">
        <f>ROW()</f>
        <v>388</v>
      </c>
      <c r="B388" s="187" t="str">
        <f>$B$234</f>
        <v>Grade Level Teacher</v>
      </c>
      <c r="C388" s="118">
        <f t="shared" si="83"/>
        <v>0</v>
      </c>
      <c r="D388" s="118"/>
      <c r="E388" s="118"/>
      <c r="F388" s="118"/>
      <c r="G388" s="694">
        <f>G234*$E234</f>
        <v>0</v>
      </c>
      <c r="H388" s="694">
        <f t="shared" si="88"/>
        <v>0</v>
      </c>
      <c r="I388" s="694">
        <f t="shared" si="88"/>
        <v>0</v>
      </c>
      <c r="J388" s="694">
        <f t="shared" si="88"/>
        <v>0</v>
      </c>
      <c r="K388" s="694">
        <f t="shared" si="88"/>
        <v>0</v>
      </c>
      <c r="L388" s="694">
        <f t="shared" si="88"/>
        <v>0</v>
      </c>
      <c r="M388" s="694">
        <f t="shared" si="88"/>
        <v>0</v>
      </c>
      <c r="N388" s="116"/>
      <c r="O388" s="353"/>
    </row>
    <row r="389" spans="1:15" outlineLevel="1">
      <c r="A389" s="509">
        <f>ROW()</f>
        <v>389</v>
      </c>
      <c r="B389" s="116"/>
      <c r="C389" s="118"/>
      <c r="D389" s="118"/>
      <c r="E389" s="118"/>
      <c r="F389" s="118"/>
      <c r="G389" s="1064"/>
      <c r="H389" s="1064"/>
      <c r="I389" s="1064"/>
      <c r="J389" s="1064"/>
      <c r="K389" s="1064"/>
      <c r="L389" s="1064"/>
      <c r="M389" s="1064"/>
      <c r="N389" s="116"/>
      <c r="O389" s="353"/>
    </row>
    <row r="390" spans="1:15" ht="15.6" outlineLevel="1">
      <c r="A390" s="509">
        <f>ROW()</f>
        <v>390</v>
      </c>
      <c r="B390" s="1065" t="s">
        <v>508</v>
      </c>
      <c r="C390" s="1066">
        <f>SUM(G390:M390)</f>
        <v>9675000</v>
      </c>
      <c r="D390" s="1065"/>
      <c r="E390" s="1065"/>
      <c r="F390" s="1065"/>
      <c r="G390" s="1066">
        <f t="shared" ref="G390:M390" si="89">SUM(G295:G388)</f>
        <v>0</v>
      </c>
      <c r="H390" s="1066">
        <f t="shared" si="89"/>
        <v>1035000</v>
      </c>
      <c r="I390" s="1066">
        <f>SUM(I295:I388)</f>
        <v>1395000</v>
      </c>
      <c r="J390" s="1066">
        <f t="shared" si="89"/>
        <v>1620000</v>
      </c>
      <c r="K390" s="1066">
        <f t="shared" si="89"/>
        <v>1800000</v>
      </c>
      <c r="L390" s="1066">
        <f t="shared" si="89"/>
        <v>1890000</v>
      </c>
      <c r="M390" s="1066">
        <f t="shared" si="89"/>
        <v>1935000</v>
      </c>
      <c r="O390" s="353"/>
    </row>
    <row r="391" spans="1:15" outlineLevel="1">
      <c r="A391" s="509">
        <f>ROW()</f>
        <v>391</v>
      </c>
      <c r="C391" s="53"/>
      <c r="D391" s="53"/>
      <c r="E391" s="53"/>
      <c r="F391" s="53"/>
      <c r="G391" s="146"/>
      <c r="H391" s="138"/>
      <c r="I391" s="138"/>
      <c r="J391" s="138"/>
      <c r="K391" s="138"/>
      <c r="L391" s="138"/>
      <c r="M391" s="138"/>
      <c r="O391" s="353"/>
    </row>
    <row r="392" spans="1:15" outlineLevel="1">
      <c r="A392" s="509">
        <f>ROW()</f>
        <v>392</v>
      </c>
      <c r="B392" s="1054" t="s">
        <v>375</v>
      </c>
      <c r="C392" s="1055"/>
      <c r="D392" s="1056"/>
      <c r="E392" s="1056"/>
      <c r="F392" s="1056"/>
      <c r="G392" s="716">
        <v>0</v>
      </c>
      <c r="H392" s="716">
        <v>0</v>
      </c>
      <c r="I392" s="716">
        <v>0</v>
      </c>
      <c r="J392" s="716">
        <v>0</v>
      </c>
      <c r="K392" s="716">
        <v>0</v>
      </c>
      <c r="L392" s="716">
        <v>0</v>
      </c>
      <c r="M392" s="716">
        <v>0</v>
      </c>
      <c r="O392" s="353"/>
    </row>
    <row r="393" spans="1:15" outlineLevel="1">
      <c r="A393" s="509">
        <f>ROW()</f>
        <v>393</v>
      </c>
      <c r="C393" s="53"/>
      <c r="D393" s="53"/>
      <c r="E393" s="53"/>
      <c r="F393" s="53"/>
      <c r="G393" s="721"/>
      <c r="H393" s="1067"/>
      <c r="I393" s="1067"/>
      <c r="J393" s="1067"/>
      <c r="K393" s="1067"/>
      <c r="L393" s="1067"/>
      <c r="M393" s="1067"/>
      <c r="O393" s="353"/>
    </row>
    <row r="394" spans="1:15" ht="15.6" outlineLevel="1">
      <c r="A394" s="509">
        <f>ROW()</f>
        <v>394</v>
      </c>
      <c r="B394" s="1059" t="s">
        <v>440</v>
      </c>
      <c r="C394" s="1060"/>
      <c r="D394" s="1059"/>
      <c r="E394" s="1059"/>
      <c r="F394" s="1059"/>
      <c r="G394" s="1060">
        <f>SUM(G390,G281,G256,G269,G293,G392)*$C$68</f>
        <v>1290</v>
      </c>
      <c r="H394" s="1060">
        <f>SUM(H390,H281,H256,H269,H293,H392)*$C$68</f>
        <v>35960</v>
      </c>
      <c r="I394" s="1060">
        <f t="shared" ref="I394:M394" si="90">SUM(I390,I281,I256,I269,I293,I392)*$C$68</f>
        <v>46020</v>
      </c>
      <c r="J394" s="1060">
        <f t="shared" si="90"/>
        <v>53720</v>
      </c>
      <c r="K394" s="1060">
        <f t="shared" si="90"/>
        <v>58280</v>
      </c>
      <c r="L394" s="1060">
        <f t="shared" si="90"/>
        <v>60080</v>
      </c>
      <c r="M394" s="1060">
        <f t="shared" si="90"/>
        <v>60980</v>
      </c>
      <c r="O394" s="353"/>
    </row>
    <row r="395" spans="1:15" ht="14.4" outlineLevel="1" thickBot="1">
      <c r="A395" s="509">
        <f>ROW()</f>
        <v>395</v>
      </c>
      <c r="C395" s="53"/>
      <c r="D395" s="53"/>
      <c r="E395" s="53"/>
      <c r="F395" s="53"/>
      <c r="G395" s="146"/>
      <c r="H395" s="146"/>
      <c r="I395" s="146"/>
      <c r="J395" s="146"/>
      <c r="K395" s="146"/>
      <c r="L395" s="146"/>
      <c r="M395" s="146"/>
      <c r="O395" s="353"/>
    </row>
    <row r="396" spans="1:15" ht="14.4" thickBot="1">
      <c r="A396" s="509">
        <f>ROW()</f>
        <v>396</v>
      </c>
      <c r="B396" s="1039" t="s">
        <v>407</v>
      </c>
      <c r="C396" s="1040">
        <f>SUM(G396:M396)</f>
        <v>16132830</v>
      </c>
      <c r="D396" s="1063"/>
      <c r="E396" s="1063"/>
      <c r="F396" s="1063"/>
      <c r="G396" s="1040">
        <f t="shared" ref="G396:M396" si="91">G390+G281+G256+G269+G293+G392+G394</f>
        <v>65790</v>
      </c>
      <c r="H396" s="1040">
        <f t="shared" si="91"/>
        <v>1833960</v>
      </c>
      <c r="I396" s="1040">
        <f t="shared" si="91"/>
        <v>2347020</v>
      </c>
      <c r="J396" s="1040">
        <f t="shared" si="91"/>
        <v>2739720</v>
      </c>
      <c r="K396" s="1040">
        <f t="shared" si="91"/>
        <v>2972280</v>
      </c>
      <c r="L396" s="1040">
        <f t="shared" si="91"/>
        <v>3064080</v>
      </c>
      <c r="M396" s="1040">
        <f t="shared" si="91"/>
        <v>3109980</v>
      </c>
      <c r="O396" s="353"/>
    </row>
    <row r="397" spans="1:15">
      <c r="A397" s="509">
        <f>ROW()</f>
        <v>397</v>
      </c>
      <c r="C397" s="138"/>
      <c r="G397" s="533"/>
      <c r="H397" s="722"/>
      <c r="I397" s="722"/>
      <c r="J397" s="722"/>
      <c r="K397" s="722"/>
      <c r="L397" s="722"/>
      <c r="M397" s="722"/>
      <c r="N397" s="53"/>
      <c r="O397" s="353"/>
    </row>
    <row r="398" spans="1:15" ht="15.6">
      <c r="A398" s="509">
        <f>ROW()</f>
        <v>398</v>
      </c>
      <c r="B398" s="1005" t="s">
        <v>408</v>
      </c>
      <c r="C398" s="1006"/>
      <c r="D398" s="1005"/>
      <c r="E398" s="1005"/>
      <c r="F398" s="1005"/>
      <c r="G398" s="1007"/>
      <c r="H398" s="1008"/>
      <c r="I398" s="1008"/>
      <c r="J398" s="1008"/>
      <c r="K398" s="1008"/>
      <c r="L398" s="1008"/>
      <c r="M398" s="1008"/>
      <c r="N398" s="202"/>
      <c r="O398" s="353"/>
    </row>
    <row r="399" spans="1:15" ht="15.6">
      <c r="A399" s="509">
        <f>ROW()</f>
        <v>399</v>
      </c>
      <c r="B399" s="116"/>
      <c r="C399" s="139"/>
      <c r="D399" s="116"/>
      <c r="E399" s="116"/>
      <c r="F399" s="116"/>
      <c r="G399" s="533"/>
      <c r="H399" s="722"/>
      <c r="I399" s="722"/>
      <c r="J399" s="722"/>
      <c r="K399" s="722"/>
      <c r="L399" s="722"/>
      <c r="M399" s="722"/>
      <c r="N399" s="202"/>
      <c r="O399" s="353"/>
    </row>
    <row r="400" spans="1:15" ht="15.6">
      <c r="A400" s="509">
        <f>ROW()</f>
        <v>400</v>
      </c>
      <c r="B400" s="1059" t="s">
        <v>409</v>
      </c>
      <c r="C400" s="1060"/>
      <c r="D400" s="1059"/>
      <c r="E400" s="1059"/>
      <c r="F400" s="1059"/>
      <c r="G400" s="1061"/>
      <c r="H400" s="1062"/>
      <c r="I400" s="1062"/>
      <c r="J400" s="1062"/>
      <c r="K400" s="1062"/>
      <c r="L400" s="1062"/>
      <c r="M400" s="1062"/>
      <c r="N400" s="202"/>
      <c r="O400" s="353"/>
    </row>
    <row r="401" spans="1:15" ht="15.6">
      <c r="A401" s="509">
        <f>ROW()</f>
        <v>401</v>
      </c>
      <c r="B401" s="135" t="s">
        <v>509</v>
      </c>
      <c r="C401" s="184"/>
      <c r="D401" s="135"/>
      <c r="E401" s="132"/>
      <c r="F401" s="132"/>
      <c r="G401" s="674">
        <f t="shared" ref="G401:M401" si="92">IFERROR((G23*$C$58*((1+$C$68)^(G$10-$G$10))),0)</f>
        <v>2700</v>
      </c>
      <c r="H401" s="985">
        <f t="shared" si="92"/>
        <v>165240</v>
      </c>
      <c r="I401" s="674">
        <f t="shared" si="92"/>
        <v>220044.6</v>
      </c>
      <c r="J401" s="674">
        <f t="shared" si="92"/>
        <v>262648.98</v>
      </c>
      <c r="K401" s="674">
        <f t="shared" si="92"/>
        <v>292256.68319999997</v>
      </c>
      <c r="L401" s="674">
        <f t="shared" si="92"/>
        <v>308038.5440928</v>
      </c>
      <c r="M401" s="674">
        <f t="shared" si="92"/>
        <v>319267.04586134403</v>
      </c>
      <c r="N401" s="202"/>
      <c r="O401" s="353"/>
    </row>
    <row r="402" spans="1:15" ht="15.6">
      <c r="A402" s="509">
        <f>ROW()</f>
        <v>402</v>
      </c>
      <c r="B402" s="116"/>
      <c r="C402" s="140"/>
      <c r="D402" s="117"/>
      <c r="E402" s="116"/>
      <c r="F402" s="116"/>
      <c r="G402" s="107"/>
      <c r="H402" s="107"/>
      <c r="I402" s="107"/>
      <c r="J402" s="107"/>
      <c r="K402" s="107"/>
      <c r="L402" s="107"/>
      <c r="M402" s="107"/>
      <c r="N402" s="202"/>
      <c r="O402" s="353"/>
    </row>
    <row r="403" spans="1:15" ht="15.6">
      <c r="A403" s="509">
        <f>ROW()</f>
        <v>403</v>
      </c>
      <c r="B403" s="1059" t="s">
        <v>1273</v>
      </c>
      <c r="C403" s="1060"/>
      <c r="D403" s="1059"/>
      <c r="E403" s="1059"/>
      <c r="F403" s="1059"/>
      <c r="G403" s="1061"/>
      <c r="H403" s="1062"/>
      <c r="I403" s="1062"/>
      <c r="J403" s="1062"/>
      <c r="K403" s="1062"/>
      <c r="L403" s="1062"/>
      <c r="M403" s="1062"/>
      <c r="N403" s="202"/>
      <c r="O403" s="353"/>
    </row>
    <row r="404" spans="1:15" ht="15.6">
      <c r="A404" s="509">
        <f>ROW()</f>
        <v>404</v>
      </c>
      <c r="B404" s="185" t="s">
        <v>510</v>
      </c>
      <c r="C404" s="186"/>
      <c r="D404" s="185"/>
      <c r="E404" s="171"/>
      <c r="F404" s="171"/>
      <c r="G404" s="674">
        <f t="shared" ref="G404:M404" si="93">G396*$C$59</f>
        <v>953.95500000000004</v>
      </c>
      <c r="H404" s="674">
        <f t="shared" si="93"/>
        <v>26592.420000000002</v>
      </c>
      <c r="I404" s="674">
        <f t="shared" si="93"/>
        <v>34031.79</v>
      </c>
      <c r="J404" s="674">
        <f t="shared" si="93"/>
        <v>39725.94</v>
      </c>
      <c r="K404" s="674">
        <f t="shared" si="93"/>
        <v>43098.060000000005</v>
      </c>
      <c r="L404" s="674">
        <f t="shared" si="93"/>
        <v>44429.16</v>
      </c>
      <c r="M404" s="674">
        <f t="shared" si="93"/>
        <v>45094.71</v>
      </c>
      <c r="N404" s="202"/>
      <c r="O404" s="353"/>
    </row>
    <row r="405" spans="1:15" ht="15.6">
      <c r="A405" s="509">
        <f>ROW()</f>
        <v>405</v>
      </c>
      <c r="B405" s="116"/>
      <c r="C405" s="140"/>
      <c r="D405" s="117"/>
      <c r="E405" s="116"/>
      <c r="F405" s="116"/>
      <c r="G405" s="723"/>
      <c r="H405" s="723"/>
      <c r="I405" s="723"/>
      <c r="J405" s="723"/>
      <c r="K405" s="723"/>
      <c r="L405" s="723"/>
      <c r="M405" s="723"/>
      <c r="N405" s="202"/>
      <c r="O405" s="353"/>
    </row>
    <row r="406" spans="1:15" ht="15.6">
      <c r="A406" s="509">
        <f>ROW()</f>
        <v>406</v>
      </c>
      <c r="B406" s="1059" t="s">
        <v>511</v>
      </c>
      <c r="C406" s="1060"/>
      <c r="D406" s="1059"/>
      <c r="E406" s="1059"/>
      <c r="F406" s="1059"/>
      <c r="G406" s="1061"/>
      <c r="H406" s="1062"/>
      <c r="I406" s="1062"/>
      <c r="J406" s="1062"/>
      <c r="K406" s="1062"/>
      <c r="L406" s="1062"/>
      <c r="M406" s="1062"/>
      <c r="N406" s="202"/>
      <c r="O406" s="353"/>
    </row>
    <row r="407" spans="1:15" ht="15.6">
      <c r="A407" s="509">
        <f>ROW()</f>
        <v>407</v>
      </c>
      <c r="B407" s="185" t="s">
        <v>512</v>
      </c>
      <c r="C407" s="186"/>
      <c r="D407" s="185"/>
      <c r="E407" s="171"/>
      <c r="F407" s="171"/>
      <c r="G407" s="674">
        <f t="shared" ref="G407:M407" si="94">G396*$C$60</f>
        <v>10197.450000000001</v>
      </c>
      <c r="H407" s="674">
        <f t="shared" si="94"/>
        <v>284263.8</v>
      </c>
      <c r="I407" s="674">
        <f t="shared" si="94"/>
        <v>363788.1</v>
      </c>
      <c r="J407" s="674">
        <f t="shared" si="94"/>
        <v>424656.6</v>
      </c>
      <c r="K407" s="674">
        <f t="shared" si="94"/>
        <v>460703.4</v>
      </c>
      <c r="L407" s="674">
        <f t="shared" si="94"/>
        <v>474932.4</v>
      </c>
      <c r="M407" s="674">
        <f t="shared" si="94"/>
        <v>482046.9</v>
      </c>
      <c r="N407" s="202"/>
      <c r="O407" s="353"/>
    </row>
    <row r="408" spans="1:15" ht="15.6">
      <c r="A408" s="509">
        <f>ROW()</f>
        <v>408</v>
      </c>
      <c r="B408" s="116"/>
      <c r="C408" s="140"/>
      <c r="D408" s="117"/>
      <c r="E408" s="116"/>
      <c r="F408" s="116"/>
      <c r="G408" s="533"/>
      <c r="H408" s="107"/>
      <c r="I408" s="107"/>
      <c r="J408" s="107"/>
      <c r="K408" s="107"/>
      <c r="L408" s="107"/>
      <c r="M408" s="107"/>
      <c r="N408" s="202"/>
      <c r="O408" s="353"/>
    </row>
    <row r="409" spans="1:15" ht="15.6">
      <c r="A409" s="509">
        <f>ROW()</f>
        <v>409</v>
      </c>
      <c r="B409" s="1059" t="s">
        <v>432</v>
      </c>
      <c r="C409" s="1060"/>
      <c r="D409" s="1059"/>
      <c r="E409" s="1059"/>
      <c r="F409" s="1059"/>
      <c r="G409" s="1061"/>
      <c r="H409" s="1062"/>
      <c r="I409" s="1062"/>
      <c r="J409" s="1062"/>
      <c r="K409" s="1062"/>
      <c r="L409" s="1062"/>
      <c r="M409" s="1062"/>
      <c r="N409" s="202"/>
      <c r="O409" s="353"/>
    </row>
    <row r="410" spans="1:15" ht="15.6">
      <c r="A410" s="509">
        <f>ROW()</f>
        <v>410</v>
      </c>
      <c r="B410" s="185" t="s">
        <v>513</v>
      </c>
      <c r="C410" s="186"/>
      <c r="D410" s="185"/>
      <c r="E410" s="171"/>
      <c r="F410" s="171"/>
      <c r="G410" s="674">
        <f t="shared" ref="G410:M410" si="95">G396*$C$61</f>
        <v>0</v>
      </c>
      <c r="H410" s="674">
        <f t="shared" si="95"/>
        <v>0</v>
      </c>
      <c r="I410" s="674">
        <f t="shared" si="95"/>
        <v>0</v>
      </c>
      <c r="J410" s="674">
        <f t="shared" si="95"/>
        <v>0</v>
      </c>
      <c r="K410" s="674">
        <f t="shared" si="95"/>
        <v>0</v>
      </c>
      <c r="L410" s="674">
        <f t="shared" si="95"/>
        <v>0</v>
      </c>
      <c r="M410" s="674">
        <f t="shared" si="95"/>
        <v>0</v>
      </c>
      <c r="N410" s="202"/>
      <c r="O410" s="353"/>
    </row>
    <row r="411" spans="1:15" ht="15.6">
      <c r="A411" s="509">
        <f>ROW()</f>
        <v>411</v>
      </c>
      <c r="B411" s="33"/>
      <c r="C411" s="141"/>
      <c r="D411" s="33"/>
      <c r="G411" s="533"/>
      <c r="H411" s="537"/>
      <c r="I411" s="537"/>
      <c r="J411" s="537"/>
      <c r="K411" s="537"/>
      <c r="L411" s="537"/>
      <c r="M411" s="537"/>
      <c r="N411" s="202"/>
      <c r="O411" s="353"/>
    </row>
    <row r="412" spans="1:15" ht="15.6">
      <c r="A412" s="509">
        <f>ROW()</f>
        <v>412</v>
      </c>
      <c r="B412" s="1059" t="s">
        <v>514</v>
      </c>
      <c r="C412" s="1060"/>
      <c r="D412" s="1059"/>
      <c r="E412" s="1059"/>
      <c r="F412" s="1059"/>
      <c r="G412" s="1061"/>
      <c r="H412" s="1062"/>
      <c r="I412" s="1062"/>
      <c r="J412" s="1062"/>
      <c r="K412" s="1062"/>
      <c r="L412" s="1062"/>
      <c r="M412" s="1062"/>
      <c r="N412" s="202"/>
      <c r="O412" s="353"/>
    </row>
    <row r="413" spans="1:15" ht="15.6">
      <c r="A413" s="509">
        <f>ROW()</f>
        <v>413</v>
      </c>
      <c r="B413" s="183" t="s">
        <v>515</v>
      </c>
      <c r="C413" s="184"/>
      <c r="D413" s="135"/>
      <c r="E413" s="132"/>
      <c r="F413" s="132"/>
      <c r="G413" s="674">
        <f t="shared" ref="G413:M413" si="96">G23*$C$62</f>
        <v>0</v>
      </c>
      <c r="H413" s="674">
        <f t="shared" si="96"/>
        <v>0</v>
      </c>
      <c r="I413" s="674">
        <f t="shared" si="96"/>
        <v>0</v>
      </c>
      <c r="J413" s="674">
        <f t="shared" si="96"/>
        <v>0</v>
      </c>
      <c r="K413" s="674">
        <f t="shared" si="96"/>
        <v>0</v>
      </c>
      <c r="L413" s="674">
        <f t="shared" si="96"/>
        <v>0</v>
      </c>
      <c r="M413" s="674">
        <f t="shared" si="96"/>
        <v>0</v>
      </c>
      <c r="N413" s="202"/>
      <c r="O413" s="353"/>
    </row>
    <row r="414" spans="1:15" ht="15.6">
      <c r="A414" s="509">
        <f>ROW()</f>
        <v>414</v>
      </c>
      <c r="B414" s="33"/>
      <c r="C414" s="141"/>
      <c r="D414" s="33"/>
      <c r="G414" s="533"/>
      <c r="H414" s="537"/>
      <c r="I414" s="537"/>
      <c r="J414" s="537"/>
      <c r="K414" s="537"/>
      <c r="L414" s="537"/>
      <c r="M414" s="537"/>
      <c r="N414" s="202"/>
      <c r="O414" s="353"/>
    </row>
    <row r="415" spans="1:15" ht="15.6">
      <c r="A415" s="509">
        <f>ROW()</f>
        <v>415</v>
      </c>
      <c r="B415" s="1059" t="s">
        <v>516</v>
      </c>
      <c r="C415" s="1060"/>
      <c r="D415" s="1059"/>
      <c r="E415" s="1059"/>
      <c r="F415" s="1059"/>
      <c r="G415" s="1061"/>
      <c r="H415" s="1062"/>
      <c r="I415" s="1062"/>
      <c r="J415" s="1062"/>
      <c r="K415" s="1062"/>
      <c r="L415" s="1062"/>
      <c r="M415" s="1062"/>
      <c r="N415" s="202"/>
      <c r="O415" s="353"/>
    </row>
    <row r="416" spans="1:15" ht="15.6">
      <c r="A416" s="509">
        <f>ROW()</f>
        <v>416</v>
      </c>
      <c r="B416" s="135" t="s">
        <v>517</v>
      </c>
      <c r="C416" s="184"/>
      <c r="D416" s="135"/>
      <c r="E416" s="132"/>
      <c r="F416" s="132"/>
      <c r="G416" s="674">
        <f t="shared" ref="G416:M416" si="97">G23*$C$63</f>
        <v>575.4</v>
      </c>
      <c r="H416" s="674">
        <f t="shared" si="97"/>
        <v>34524</v>
      </c>
      <c r="I416" s="674">
        <f t="shared" si="97"/>
        <v>45073</v>
      </c>
      <c r="J416" s="674">
        <f t="shared" si="97"/>
        <v>52745</v>
      </c>
      <c r="K416" s="674">
        <f t="shared" si="97"/>
        <v>57540</v>
      </c>
      <c r="L416" s="674">
        <f t="shared" si="97"/>
        <v>59458</v>
      </c>
      <c r="M416" s="674">
        <f t="shared" si="97"/>
        <v>60417</v>
      </c>
      <c r="N416" s="202"/>
      <c r="O416" s="353"/>
    </row>
    <row r="417" spans="1:15">
      <c r="A417" s="509">
        <f>ROW()</f>
        <v>417</v>
      </c>
      <c r="B417" s="33"/>
      <c r="C417" s="141"/>
      <c r="D417" s="33"/>
      <c r="G417" s="537"/>
      <c r="H417" s="537"/>
      <c r="I417" s="537"/>
      <c r="J417" s="537"/>
      <c r="K417" s="537"/>
      <c r="L417" s="537"/>
      <c r="M417" s="537"/>
      <c r="O417" s="353"/>
    </row>
    <row r="418" spans="1:15" ht="15.6">
      <c r="A418" s="509">
        <f>ROW()</f>
        <v>418</v>
      </c>
      <c r="B418" s="1059" t="s">
        <v>518</v>
      </c>
      <c r="C418" s="1060"/>
      <c r="D418" s="1059"/>
      <c r="E418" s="1059"/>
      <c r="F418" s="1059"/>
      <c r="G418" s="1061"/>
      <c r="H418" s="1062"/>
      <c r="I418" s="1062"/>
      <c r="J418" s="1062"/>
      <c r="K418" s="1062"/>
      <c r="L418" s="1062"/>
      <c r="M418" s="1062"/>
      <c r="O418" s="353"/>
    </row>
    <row r="419" spans="1:15">
      <c r="A419" s="509">
        <f>ROW()</f>
        <v>419</v>
      </c>
      <c r="B419" s="135" t="s">
        <v>519</v>
      </c>
      <c r="C419" s="184"/>
      <c r="D419" s="135"/>
      <c r="E419" s="132"/>
      <c r="F419" s="132"/>
      <c r="G419" s="674">
        <f t="shared" ref="G419:M419" si="98">G23*$C$64</f>
        <v>300</v>
      </c>
      <c r="H419" s="674">
        <f t="shared" si="98"/>
        <v>18000</v>
      </c>
      <c r="I419" s="674">
        <f t="shared" si="98"/>
        <v>23500</v>
      </c>
      <c r="J419" s="674">
        <f t="shared" si="98"/>
        <v>27500</v>
      </c>
      <c r="K419" s="674">
        <f t="shared" si="98"/>
        <v>30000</v>
      </c>
      <c r="L419" s="674">
        <f t="shared" si="98"/>
        <v>31000</v>
      </c>
      <c r="M419" s="674">
        <f t="shared" si="98"/>
        <v>31500</v>
      </c>
      <c r="O419" s="353"/>
    </row>
    <row r="420" spans="1:15" ht="14.4" thickBot="1">
      <c r="A420" s="509">
        <f>ROW()</f>
        <v>420</v>
      </c>
      <c r="C420" s="138"/>
      <c r="E420" s="65"/>
      <c r="F420" s="65"/>
      <c r="G420" s="533"/>
      <c r="H420" s="146"/>
      <c r="I420" s="146"/>
      <c r="J420" s="146"/>
      <c r="K420" s="146"/>
      <c r="L420" s="146"/>
      <c r="M420" s="146"/>
      <c r="O420" s="353"/>
    </row>
    <row r="421" spans="1:15" ht="14.4" thickBot="1">
      <c r="A421" s="509">
        <f>ROW()</f>
        <v>421</v>
      </c>
      <c r="B421" s="1039" t="s">
        <v>520</v>
      </c>
      <c r="C421" s="1040"/>
      <c r="D421" s="1063"/>
      <c r="E421" s="1063"/>
      <c r="F421" s="1063"/>
      <c r="G421" s="1040">
        <f t="shared" ref="G421:M421" si="99">G416+G413+G410+G407+G404+G401+G419</f>
        <v>14726.805</v>
      </c>
      <c r="H421" s="1040">
        <f t="shared" si="99"/>
        <v>528620.22</v>
      </c>
      <c r="I421" s="1040">
        <f t="shared" si="99"/>
        <v>686437.49</v>
      </c>
      <c r="J421" s="1040">
        <f t="shared" si="99"/>
        <v>807276.52</v>
      </c>
      <c r="K421" s="1040">
        <f t="shared" si="99"/>
        <v>883598.14320000005</v>
      </c>
      <c r="L421" s="1040">
        <f t="shared" si="99"/>
        <v>917858.10409280006</v>
      </c>
      <c r="M421" s="1040">
        <f t="shared" si="99"/>
        <v>938325.65586134396</v>
      </c>
      <c r="O421" s="353"/>
    </row>
    <row r="422" spans="1:15">
      <c r="A422" s="509">
        <f>ROW()</f>
        <v>422</v>
      </c>
      <c r="B422" s="82" t="s">
        <v>521</v>
      </c>
      <c r="C422" s="142"/>
      <c r="D422" s="82"/>
      <c r="E422" s="82"/>
      <c r="F422" s="82"/>
      <c r="G422" s="724">
        <f>IFERROR(G421/G396,0)</f>
        <v>0.22384564523483813</v>
      </c>
      <c r="H422" s="724">
        <f t="shared" ref="H422:M422" si="100">IF(OR(H421=0,H396=0),0,H421/H396)</f>
        <v>0.28823977622194596</v>
      </c>
      <c r="I422" s="724">
        <f t="shared" si="100"/>
        <v>0.29247193888420209</v>
      </c>
      <c r="J422" s="724">
        <f t="shared" si="100"/>
        <v>0.29465657804447171</v>
      </c>
      <c r="K422" s="724">
        <f t="shared" si="100"/>
        <v>0.2972795776979289</v>
      </c>
      <c r="L422" s="724">
        <f t="shared" si="100"/>
        <v>0.29955422315761993</v>
      </c>
      <c r="M422" s="724">
        <f t="shared" si="100"/>
        <v>0.30171436982274613</v>
      </c>
      <c r="N422" s="82"/>
      <c r="O422" s="353"/>
    </row>
    <row r="423" spans="1:15">
      <c r="A423" s="509">
        <f>ROW()</f>
        <v>423</v>
      </c>
      <c r="C423" s="138"/>
      <c r="G423" s="52"/>
      <c r="H423" s="52"/>
      <c r="I423" s="52"/>
      <c r="J423" s="52"/>
      <c r="K423" s="52"/>
      <c r="L423" s="52"/>
      <c r="M423" s="52"/>
      <c r="O423" s="353"/>
    </row>
    <row r="424" spans="1:15">
      <c r="A424" s="509">
        <f>ROW()</f>
        <v>424</v>
      </c>
      <c r="B424" s="1506" t="s">
        <v>522</v>
      </c>
      <c r="C424" s="1507"/>
      <c r="D424" s="1508"/>
      <c r="E424" s="1508"/>
      <c r="F424" s="1508"/>
      <c r="G424" s="1509"/>
      <c r="H424" s="1509"/>
      <c r="I424" s="1509"/>
      <c r="J424" s="1509"/>
      <c r="K424" s="1509"/>
      <c r="L424" s="1509"/>
      <c r="M424" s="1509"/>
      <c r="O424" s="353"/>
    </row>
    <row r="425" spans="1:15">
      <c r="A425" s="509">
        <f>ROW()</f>
        <v>425</v>
      </c>
      <c r="C425" s="138" t="s">
        <v>1274</v>
      </c>
      <c r="G425" s="52"/>
      <c r="H425" s="52"/>
      <c r="I425" s="52"/>
      <c r="J425" s="52"/>
      <c r="K425" s="52"/>
      <c r="L425" s="52"/>
      <c r="M425" s="52"/>
      <c r="O425" s="353"/>
    </row>
    <row r="426" spans="1:15">
      <c r="A426" s="509">
        <f>ROW()</f>
        <v>426</v>
      </c>
      <c r="B426" s="35" t="s">
        <v>1292</v>
      </c>
      <c r="C426" s="1646"/>
      <c r="D426" s="317"/>
      <c r="E426" s="317"/>
      <c r="F426" s="317"/>
      <c r="G426" s="1625"/>
      <c r="H426" s="1625"/>
      <c r="I426" s="1625"/>
      <c r="J426" s="1625"/>
      <c r="K426" s="1625"/>
      <c r="L426" s="1625"/>
      <c r="M426" s="1625"/>
      <c r="O426" s="353"/>
    </row>
    <row r="427" spans="1:15">
      <c r="A427" s="509">
        <f>ROW()</f>
        <v>427</v>
      </c>
      <c r="B427" s="35" t="s">
        <v>1285</v>
      </c>
      <c r="C427" s="1646"/>
      <c r="D427" s="317"/>
      <c r="E427" s="317"/>
      <c r="F427" s="317"/>
      <c r="G427" s="719">
        <v>0</v>
      </c>
      <c r="H427" s="719">
        <v>0</v>
      </c>
      <c r="I427" s="719">
        <v>0</v>
      </c>
      <c r="J427" s="719">
        <v>0</v>
      </c>
      <c r="K427" s="719">
        <v>0</v>
      </c>
      <c r="L427" s="719">
        <v>0</v>
      </c>
      <c r="M427" s="719">
        <v>0</v>
      </c>
      <c r="O427" s="353"/>
    </row>
    <row r="428" spans="1:15">
      <c r="A428" s="509">
        <f>ROW()</f>
        <v>428</v>
      </c>
      <c r="B428" s="35" t="s">
        <v>523</v>
      </c>
      <c r="C428" s="143">
        <v>0</v>
      </c>
      <c r="D428" s="317"/>
      <c r="E428" s="317"/>
      <c r="F428" s="317"/>
      <c r="G428" s="1636">
        <f t="shared" ref="G428:M428" si="101">$C$428*G427</f>
        <v>0</v>
      </c>
      <c r="H428" s="1636">
        <f t="shared" si="101"/>
        <v>0</v>
      </c>
      <c r="I428" s="1636">
        <f t="shared" si="101"/>
        <v>0</v>
      </c>
      <c r="J428" s="1636">
        <f t="shared" si="101"/>
        <v>0</v>
      </c>
      <c r="K428" s="1636">
        <f t="shared" si="101"/>
        <v>0</v>
      </c>
      <c r="L428" s="1636">
        <f t="shared" si="101"/>
        <v>0</v>
      </c>
      <c r="M428" s="1636">
        <f t="shared" si="101"/>
        <v>0</v>
      </c>
      <c r="O428" s="353"/>
    </row>
    <row r="429" spans="1:15">
      <c r="A429" s="509">
        <f>ROW()</f>
        <v>429</v>
      </c>
      <c r="C429" s="1647"/>
      <c r="D429" s="1648"/>
      <c r="E429" s="317"/>
      <c r="F429" s="317"/>
      <c r="G429" s="1649"/>
      <c r="H429" s="1649"/>
      <c r="I429" s="1649"/>
      <c r="J429" s="1649"/>
      <c r="K429" s="1649"/>
      <c r="L429" s="1649"/>
      <c r="M429" s="1649"/>
      <c r="O429" s="353"/>
    </row>
    <row r="430" spans="1:15">
      <c r="A430" s="509">
        <f>ROW()</f>
        <v>430</v>
      </c>
      <c r="B430" s="35" t="s">
        <v>1293</v>
      </c>
      <c r="C430" s="1646"/>
      <c r="D430" s="317"/>
      <c r="E430" s="317"/>
      <c r="F430" s="317"/>
      <c r="G430" s="1649"/>
      <c r="H430" s="1649"/>
      <c r="I430" s="1649"/>
      <c r="J430" s="1649"/>
      <c r="K430" s="1649"/>
      <c r="L430" s="1649"/>
      <c r="M430" s="1649"/>
      <c r="O430" s="353"/>
    </row>
    <row r="431" spans="1:15">
      <c r="A431" s="509">
        <f>ROW()</f>
        <v>431</v>
      </c>
      <c r="B431" s="35" t="s">
        <v>524</v>
      </c>
      <c r="C431" s="1646"/>
      <c r="D431" s="317"/>
      <c r="E431" s="317"/>
      <c r="F431" s="317"/>
      <c r="G431" s="720">
        <v>0</v>
      </c>
      <c r="H431" s="720">
        <v>0</v>
      </c>
      <c r="I431" s="720">
        <v>0</v>
      </c>
      <c r="J431" s="720">
        <v>0</v>
      </c>
      <c r="K431" s="720">
        <v>0</v>
      </c>
      <c r="L431" s="720">
        <v>0</v>
      </c>
      <c r="M431" s="720">
        <v>0</v>
      </c>
      <c r="O431" s="353"/>
    </row>
    <row r="432" spans="1:15">
      <c r="A432" s="509">
        <f>ROW()</f>
        <v>432</v>
      </c>
      <c r="B432" s="35" t="s">
        <v>523</v>
      </c>
      <c r="C432" s="143">
        <v>0</v>
      </c>
      <c r="D432" s="317"/>
      <c r="E432" s="317"/>
      <c r="F432" s="317"/>
      <c r="G432" s="1636">
        <f t="shared" ref="G432:M432" si="102">$C$432*G431</f>
        <v>0</v>
      </c>
      <c r="H432" s="1636">
        <f t="shared" si="102"/>
        <v>0</v>
      </c>
      <c r="I432" s="1636">
        <f t="shared" si="102"/>
        <v>0</v>
      </c>
      <c r="J432" s="1636">
        <f t="shared" si="102"/>
        <v>0</v>
      </c>
      <c r="K432" s="1636">
        <f t="shared" si="102"/>
        <v>0</v>
      </c>
      <c r="L432" s="1636">
        <f t="shared" si="102"/>
        <v>0</v>
      </c>
      <c r="M432" s="1636">
        <f t="shared" si="102"/>
        <v>0</v>
      </c>
      <c r="O432" s="353"/>
    </row>
    <row r="433" spans="1:15">
      <c r="A433" s="509">
        <f>ROW()</f>
        <v>433</v>
      </c>
      <c r="C433" s="1646"/>
      <c r="D433" s="317"/>
      <c r="E433" s="317"/>
      <c r="F433" s="317"/>
      <c r="G433" s="1649"/>
      <c r="H433" s="1649"/>
      <c r="I433" s="1649"/>
      <c r="J433" s="1649"/>
      <c r="K433" s="1649"/>
      <c r="L433" s="1649"/>
      <c r="M433" s="1649"/>
      <c r="O433" s="353"/>
    </row>
    <row r="434" spans="1:15">
      <c r="A434" s="509">
        <f>ROW()</f>
        <v>434</v>
      </c>
      <c r="B434" s="35" t="s">
        <v>1294</v>
      </c>
      <c r="C434" s="1646"/>
      <c r="D434" s="317"/>
      <c r="E434" s="317"/>
      <c r="F434" s="317"/>
      <c r="G434" s="1649"/>
      <c r="H434" s="1649"/>
      <c r="I434" s="1649"/>
      <c r="J434" s="1649"/>
      <c r="K434" s="1649"/>
      <c r="L434" s="1649"/>
      <c r="M434" s="1649"/>
      <c r="O434" s="353"/>
    </row>
    <row r="435" spans="1:15">
      <c r="A435" s="509">
        <f>ROW()</f>
        <v>435</v>
      </c>
      <c r="B435" s="35" t="s">
        <v>524</v>
      </c>
      <c r="C435" s="1646"/>
      <c r="D435" s="317"/>
      <c r="E435" s="317"/>
      <c r="F435" s="317"/>
      <c r="G435" s="720">
        <v>0</v>
      </c>
      <c r="H435" s="720">
        <v>0</v>
      </c>
      <c r="I435" s="720">
        <v>0</v>
      </c>
      <c r="J435" s="720">
        <v>0</v>
      </c>
      <c r="K435" s="720">
        <v>0</v>
      </c>
      <c r="L435" s="720">
        <v>0</v>
      </c>
      <c r="M435" s="720">
        <v>0</v>
      </c>
      <c r="O435" s="353"/>
    </row>
    <row r="436" spans="1:15">
      <c r="A436" s="509">
        <f>ROW()</f>
        <v>436</v>
      </c>
      <c r="B436" s="35" t="s">
        <v>523</v>
      </c>
      <c r="C436" s="143">
        <v>0</v>
      </c>
      <c r="D436" s="317"/>
      <c r="E436" s="317"/>
      <c r="F436" s="317"/>
      <c r="G436" s="1636">
        <f>$C$436*G435</f>
        <v>0</v>
      </c>
      <c r="H436" s="1636">
        <f>$C$436*H435</f>
        <v>0</v>
      </c>
      <c r="I436" s="1636">
        <f>$C$436*I435</f>
        <v>0</v>
      </c>
      <c r="J436" s="1636">
        <f>I436*' Enrol &amp; Rev'!$C$91</f>
        <v>0</v>
      </c>
      <c r="K436" s="1636">
        <f>J436*' Enrol &amp; Rev'!$C$91</f>
        <v>0</v>
      </c>
      <c r="L436" s="1636">
        <f>K436*' Enrol &amp; Rev'!$C$91</f>
        <v>0</v>
      </c>
      <c r="M436" s="1636">
        <f>L436*' Enrol &amp; Rev'!$C$91</f>
        <v>0</v>
      </c>
      <c r="O436" s="353"/>
    </row>
    <row r="437" spans="1:15">
      <c r="A437" s="509">
        <f>ROW()</f>
        <v>437</v>
      </c>
      <c r="C437" s="1646"/>
      <c r="D437" s="317"/>
      <c r="E437" s="317"/>
      <c r="F437" s="317"/>
      <c r="G437" s="1649"/>
      <c r="H437" s="1649"/>
      <c r="I437" s="1649"/>
      <c r="J437" s="1649"/>
      <c r="K437" s="1649"/>
      <c r="L437" s="1649"/>
      <c r="M437" s="1649"/>
      <c r="O437" s="353"/>
    </row>
    <row r="438" spans="1:15">
      <c r="A438" s="509">
        <f>ROW()</f>
        <v>438</v>
      </c>
      <c r="B438" s="35" t="s">
        <v>1295</v>
      </c>
      <c r="C438" s="1646"/>
      <c r="D438" s="317"/>
      <c r="E438" s="317"/>
      <c r="F438" s="317"/>
      <c r="G438" s="1649"/>
      <c r="H438" s="1649"/>
      <c r="I438" s="1649"/>
      <c r="J438" s="1649"/>
      <c r="K438" s="1649"/>
      <c r="L438" s="1649"/>
      <c r="M438" s="1649"/>
      <c r="O438" s="353"/>
    </row>
    <row r="439" spans="1:15">
      <c r="A439" s="509">
        <f>ROW()</f>
        <v>439</v>
      </c>
      <c r="B439" s="35" t="s">
        <v>524</v>
      </c>
      <c r="C439" s="1646"/>
      <c r="D439" s="317"/>
      <c r="E439" s="317"/>
      <c r="F439" s="317"/>
      <c r="G439" s="720">
        <v>0</v>
      </c>
      <c r="H439" s="720">
        <v>0</v>
      </c>
      <c r="I439" s="720">
        <v>0</v>
      </c>
      <c r="J439" s="720">
        <v>0</v>
      </c>
      <c r="K439" s="720">
        <v>0</v>
      </c>
      <c r="L439" s="720">
        <v>0</v>
      </c>
      <c r="M439" s="720">
        <v>0</v>
      </c>
      <c r="O439" s="353"/>
    </row>
    <row r="440" spans="1:15">
      <c r="A440" s="509">
        <f>ROW()</f>
        <v>440</v>
      </c>
      <c r="B440" s="35" t="s">
        <v>523</v>
      </c>
      <c r="C440" s="143">
        <v>0</v>
      </c>
      <c r="D440" s="317"/>
      <c r="E440" s="317"/>
      <c r="F440" s="317"/>
      <c r="G440" s="1636">
        <f t="shared" ref="G440:M440" si="103">$C$440*G439</f>
        <v>0</v>
      </c>
      <c r="H440" s="1636">
        <f t="shared" si="103"/>
        <v>0</v>
      </c>
      <c r="I440" s="1636">
        <f t="shared" si="103"/>
        <v>0</v>
      </c>
      <c r="J440" s="1636">
        <f t="shared" si="103"/>
        <v>0</v>
      </c>
      <c r="K440" s="1636">
        <f t="shared" si="103"/>
        <v>0</v>
      </c>
      <c r="L440" s="1636">
        <f t="shared" si="103"/>
        <v>0</v>
      </c>
      <c r="M440" s="1636">
        <f t="shared" si="103"/>
        <v>0</v>
      </c>
      <c r="O440" s="353"/>
    </row>
    <row r="441" spans="1:15">
      <c r="A441" s="509">
        <f>ROW()</f>
        <v>441</v>
      </c>
      <c r="C441" s="1646"/>
      <c r="D441" s="317"/>
      <c r="E441" s="317"/>
      <c r="F441" s="317"/>
      <c r="G441" s="1649"/>
      <c r="H441" s="1649"/>
      <c r="I441" s="1649"/>
      <c r="J441" s="1649"/>
      <c r="K441" s="1649"/>
      <c r="L441" s="1649"/>
      <c r="M441" s="1649"/>
      <c r="O441" s="353"/>
    </row>
    <row r="442" spans="1:15">
      <c r="A442" s="509">
        <f>ROW()</f>
        <v>442</v>
      </c>
      <c r="B442" s="35" t="s">
        <v>1296</v>
      </c>
      <c r="C442" s="1646"/>
      <c r="D442" s="317"/>
      <c r="E442" s="317"/>
      <c r="F442" s="317"/>
      <c r="G442" s="1649"/>
      <c r="H442" s="1649"/>
      <c r="I442" s="1649"/>
      <c r="J442" s="1649"/>
      <c r="K442" s="1649"/>
      <c r="L442" s="1649"/>
      <c r="M442" s="1649"/>
      <c r="O442" s="353"/>
    </row>
    <row r="443" spans="1:15">
      <c r="A443" s="509">
        <f>ROW()</f>
        <v>443</v>
      </c>
      <c r="B443" s="35" t="s">
        <v>524</v>
      </c>
      <c r="C443" s="1646"/>
      <c r="D443" s="317"/>
      <c r="E443" s="317"/>
      <c r="F443" s="317"/>
      <c r="G443" s="720">
        <v>0</v>
      </c>
      <c r="H443" s="720">
        <v>0</v>
      </c>
      <c r="I443" s="720">
        <v>0</v>
      </c>
      <c r="J443" s="720">
        <v>0</v>
      </c>
      <c r="K443" s="720">
        <v>0</v>
      </c>
      <c r="L443" s="720">
        <v>0</v>
      </c>
      <c r="M443" s="720">
        <v>0</v>
      </c>
      <c r="O443" s="353"/>
    </row>
    <row r="444" spans="1:15">
      <c r="A444" s="509">
        <f>ROW()</f>
        <v>444</v>
      </c>
      <c r="B444" s="35" t="s">
        <v>523</v>
      </c>
      <c r="C444" s="143">
        <v>0</v>
      </c>
      <c r="D444" s="317"/>
      <c r="E444" s="317"/>
      <c r="F444" s="317"/>
      <c r="G444" s="1636">
        <f t="shared" ref="G444:M444" si="104">$C$444*G443</f>
        <v>0</v>
      </c>
      <c r="H444" s="1636">
        <f t="shared" si="104"/>
        <v>0</v>
      </c>
      <c r="I444" s="1636">
        <f t="shared" si="104"/>
        <v>0</v>
      </c>
      <c r="J444" s="1636">
        <f t="shared" si="104"/>
        <v>0</v>
      </c>
      <c r="K444" s="1636">
        <f t="shared" si="104"/>
        <v>0</v>
      </c>
      <c r="L444" s="1636">
        <f t="shared" si="104"/>
        <v>0</v>
      </c>
      <c r="M444" s="1636">
        <f t="shared" si="104"/>
        <v>0</v>
      </c>
      <c r="O444" s="353"/>
    </row>
    <row r="445" spans="1:15">
      <c r="A445" s="509">
        <f>ROW()</f>
        <v>445</v>
      </c>
      <c r="C445" s="138"/>
      <c r="G445" s="146"/>
      <c r="H445" s="146"/>
      <c r="I445" s="146"/>
      <c r="J445" s="146"/>
      <c r="K445" s="146"/>
      <c r="L445" s="146"/>
      <c r="M445" s="146"/>
      <c r="O445" s="353"/>
    </row>
    <row r="446" spans="1:15">
      <c r="A446" s="509">
        <f>ROW()</f>
        <v>446</v>
      </c>
      <c r="B446" s="35" t="s">
        <v>1275</v>
      </c>
      <c r="C446" s="138"/>
      <c r="G446" s="721">
        <f>G444+G440+G436+G432+G428</f>
        <v>0</v>
      </c>
      <c r="H446" s="721">
        <f>H444+H440+H436+H432+H428</f>
        <v>0</v>
      </c>
      <c r="I446" s="721">
        <f t="shared" ref="I446:M446" si="105">I444+I440+I436+I432+I428</f>
        <v>0</v>
      </c>
      <c r="J446" s="721">
        <f t="shared" si="105"/>
        <v>0</v>
      </c>
      <c r="K446" s="721">
        <f t="shared" si="105"/>
        <v>0</v>
      </c>
      <c r="L446" s="721">
        <f t="shared" si="105"/>
        <v>0</v>
      </c>
      <c r="M446" s="721">
        <f t="shared" si="105"/>
        <v>0</v>
      </c>
      <c r="O446" s="353"/>
    </row>
    <row r="447" spans="1:15">
      <c r="A447" s="509">
        <f>ROW()</f>
        <v>447</v>
      </c>
      <c r="C447" s="138"/>
      <c r="G447" s="146"/>
      <c r="H447" s="146"/>
      <c r="I447" s="146"/>
      <c r="J447" s="146"/>
      <c r="K447" s="146"/>
      <c r="L447" s="146"/>
      <c r="M447" s="146"/>
      <c r="O447" s="353"/>
    </row>
    <row r="448" spans="1:15">
      <c r="A448" s="509">
        <f>ROW()</f>
        <v>448</v>
      </c>
      <c r="B448" s="35" t="s">
        <v>1276</v>
      </c>
      <c r="C448" s="1505">
        <f>FICA_Rate</f>
        <v>1.4500000000000001E-2</v>
      </c>
      <c r="G448" s="146">
        <f>+$C$448*G446</f>
        <v>0</v>
      </c>
      <c r="H448" s="146">
        <f>+$C$448*H446</f>
        <v>0</v>
      </c>
      <c r="I448" s="146">
        <f t="shared" ref="I448:M448" si="106">+$C$448*I446</f>
        <v>0</v>
      </c>
      <c r="J448" s="146">
        <f t="shared" si="106"/>
        <v>0</v>
      </c>
      <c r="K448" s="146">
        <f t="shared" si="106"/>
        <v>0</v>
      </c>
      <c r="L448" s="146">
        <f t="shared" si="106"/>
        <v>0</v>
      </c>
      <c r="M448" s="146">
        <f t="shared" si="106"/>
        <v>0</v>
      </c>
      <c r="O448" s="353"/>
    </row>
    <row r="449" spans="1:15">
      <c r="A449" s="509"/>
      <c r="C449" s="138"/>
      <c r="G449" s="146"/>
      <c r="H449" s="146"/>
      <c r="I449" s="146"/>
      <c r="J449" s="146"/>
      <c r="K449" s="146"/>
      <c r="L449" s="146"/>
      <c r="M449" s="146"/>
      <c r="O449" s="353"/>
    </row>
    <row r="450" spans="1:15" ht="14.4" thickBot="1">
      <c r="A450" s="509"/>
      <c r="C450" s="138"/>
      <c r="G450" s="146"/>
      <c r="H450" s="146"/>
      <c r="I450" s="146"/>
      <c r="J450" s="146"/>
      <c r="K450" s="146"/>
      <c r="L450" s="146"/>
      <c r="M450" s="146"/>
      <c r="O450" s="353"/>
    </row>
    <row r="451" spans="1:15" ht="14.4" thickBot="1">
      <c r="A451" s="509">
        <f>ROW()</f>
        <v>451</v>
      </c>
      <c r="B451" s="1039" t="s">
        <v>525</v>
      </c>
      <c r="C451" s="1040">
        <f>SUM(G451:M451)</f>
        <v>0</v>
      </c>
      <c r="D451" s="1069"/>
      <c r="E451" s="1069"/>
      <c r="F451" s="1069"/>
      <c r="G451" s="1040">
        <f t="shared" ref="G451:M451" si="107">G444+G440+G436+G432+G428</f>
        <v>0</v>
      </c>
      <c r="H451" s="1040">
        <f t="shared" si="107"/>
        <v>0</v>
      </c>
      <c r="I451" s="1040">
        <f t="shared" si="107"/>
        <v>0</v>
      </c>
      <c r="J451" s="1040">
        <f t="shared" si="107"/>
        <v>0</v>
      </c>
      <c r="K451" s="1040">
        <f t="shared" si="107"/>
        <v>0</v>
      </c>
      <c r="L451" s="1040">
        <f t="shared" si="107"/>
        <v>0</v>
      </c>
      <c r="M451" s="1040">
        <f t="shared" si="107"/>
        <v>0</v>
      </c>
      <c r="O451" s="353"/>
    </row>
    <row r="452" spans="1:15">
      <c r="A452" s="509">
        <f>ROW()</f>
        <v>452</v>
      </c>
      <c r="B452" s="33"/>
      <c r="C452" s="141"/>
      <c r="D452" s="33"/>
      <c r="E452" s="33"/>
      <c r="F452" s="33"/>
      <c r="G452" s="537"/>
      <c r="H452" s="537"/>
      <c r="I452" s="537"/>
      <c r="J452" s="537"/>
      <c r="K452" s="537"/>
      <c r="L452" s="537"/>
      <c r="M452" s="537"/>
      <c r="O452" s="353"/>
    </row>
    <row r="453" spans="1:15" ht="14.4">
      <c r="A453" s="509">
        <f>ROW()</f>
        <v>453</v>
      </c>
      <c r="B453" s="1004" t="s">
        <v>526</v>
      </c>
      <c r="C453" s="184"/>
      <c r="D453" s="135"/>
      <c r="E453" s="135"/>
      <c r="F453" s="135"/>
      <c r="G453" s="729">
        <f t="shared" ref="G453:M453" si="108">SUM(G427,G431,G435,G439,G443)</f>
        <v>0</v>
      </c>
      <c r="H453" s="729">
        <f t="shared" si="108"/>
        <v>0</v>
      </c>
      <c r="I453" s="729">
        <f t="shared" si="108"/>
        <v>0</v>
      </c>
      <c r="J453" s="729">
        <f t="shared" si="108"/>
        <v>0</v>
      </c>
      <c r="K453" s="729">
        <f t="shared" si="108"/>
        <v>0</v>
      </c>
      <c r="L453" s="729">
        <f t="shared" si="108"/>
        <v>0</v>
      </c>
      <c r="M453" s="729">
        <f t="shared" si="108"/>
        <v>0</v>
      </c>
      <c r="O453" s="353"/>
    </row>
    <row r="454" spans="1:15" ht="14.4" thickBot="1">
      <c r="A454" s="509">
        <f>ROW()</f>
        <v>454</v>
      </c>
      <c r="B454" s="33"/>
      <c r="C454" s="141"/>
      <c r="D454" s="33"/>
      <c r="E454" s="33"/>
      <c r="F454" s="33"/>
      <c r="G454" s="537"/>
      <c r="H454" s="537"/>
      <c r="I454" s="537"/>
      <c r="J454" s="537"/>
      <c r="K454" s="537"/>
      <c r="L454" s="537"/>
      <c r="M454" s="537"/>
      <c r="O454" s="353"/>
    </row>
    <row r="455" spans="1:15" ht="14.4" thickBot="1">
      <c r="A455" s="509">
        <f>ROW()</f>
        <v>455</v>
      </c>
      <c r="B455" s="1039" t="s">
        <v>527</v>
      </c>
      <c r="C455" s="1040">
        <f>SUM(G455:M455)</f>
        <v>58248</v>
      </c>
      <c r="D455" s="1041"/>
      <c r="E455" s="1041"/>
      <c r="F455" s="1041"/>
      <c r="G455" s="1040">
        <f t="shared" ref="G455:M455" si="109">G23*$C$66*12</f>
        <v>108</v>
      </c>
      <c r="H455" s="1040">
        <f t="shared" si="109"/>
        <v>6480</v>
      </c>
      <c r="I455" s="1040">
        <f t="shared" si="109"/>
        <v>8460</v>
      </c>
      <c r="J455" s="1040">
        <f t="shared" si="109"/>
        <v>9900</v>
      </c>
      <c r="K455" s="1040">
        <f t="shared" si="109"/>
        <v>10800</v>
      </c>
      <c r="L455" s="1040">
        <f t="shared" si="109"/>
        <v>11160</v>
      </c>
      <c r="M455" s="1040">
        <f t="shared" si="109"/>
        <v>11340</v>
      </c>
      <c r="O455" s="353"/>
    </row>
    <row r="456" spans="1:15" ht="14.4" thickBot="1">
      <c r="A456" s="509">
        <f>ROW()</f>
        <v>456</v>
      </c>
      <c r="O456" s="353"/>
    </row>
    <row r="457" spans="1:15" ht="14.4" thickBot="1">
      <c r="A457" s="509">
        <f>ROW()</f>
        <v>457</v>
      </c>
      <c r="B457" s="472" t="s">
        <v>528</v>
      </c>
      <c r="C457" s="473">
        <f>SUM(G457:M457)</f>
        <v>20967920.938154142</v>
      </c>
      <c r="D457" s="474"/>
      <c r="E457" s="474"/>
      <c r="F457" s="474"/>
      <c r="G457" s="473">
        <f>Staff!G396+Staff!G421+Staff!G451+Staff!G455</f>
        <v>80624.804999999993</v>
      </c>
      <c r="H457" s="473">
        <f>Staff!H396+Staff!H421+Staff!H451+Staff!H455</f>
        <v>2369060.2199999997</v>
      </c>
      <c r="I457" s="473">
        <f>Staff!I396+Staff!I421+Staff!I451+Staff!I455</f>
        <v>3041917.49</v>
      </c>
      <c r="J457" s="473">
        <f>Staff!J396+Staff!J421+Staff!J451+Staff!J455</f>
        <v>3556896.52</v>
      </c>
      <c r="K457" s="473">
        <f>Staff!K396+Staff!K421+Staff!K451+Staff!K455</f>
        <v>3866678.1431999998</v>
      </c>
      <c r="L457" s="473">
        <f>Staff!L396+Staff!L421+Staff!L451+Staff!L455</f>
        <v>3993098.1040928001</v>
      </c>
      <c r="M457" s="473">
        <f>Staff!M396+Staff!M421+Staff!M451+Staff!M455</f>
        <v>4059645.6558613442</v>
      </c>
      <c r="O457" s="353"/>
    </row>
    <row r="460" spans="1:15">
      <c r="B460" s="33" t="s">
        <v>1278</v>
      </c>
    </row>
    <row r="461" spans="1:15">
      <c r="C461" s="533" t="s">
        <v>1288</v>
      </c>
      <c r="D461" s="533" t="s">
        <v>1289</v>
      </c>
      <c r="E461" s="533" t="s">
        <v>1290</v>
      </c>
      <c r="F461" s="533" t="s">
        <v>1291</v>
      </c>
      <c r="G461" s="533" t="s">
        <v>1297</v>
      </c>
    </row>
    <row r="462" spans="1:15">
      <c r="B462" s="35" t="s">
        <v>1277</v>
      </c>
      <c r="C462" s="1796">
        <v>0</v>
      </c>
      <c r="D462" s="1796">
        <v>0</v>
      </c>
      <c r="E462" s="1796">
        <v>0</v>
      </c>
      <c r="F462" s="1796">
        <v>0</v>
      </c>
      <c r="G462" s="1796">
        <v>0</v>
      </c>
    </row>
    <row r="463" spans="1:15">
      <c r="B463" s="35" t="s">
        <v>1286</v>
      </c>
      <c r="C463" s="1796">
        <v>0</v>
      </c>
      <c r="D463" s="1796">
        <v>0</v>
      </c>
      <c r="E463" s="1796">
        <v>0</v>
      </c>
      <c r="F463" s="1796">
        <v>0</v>
      </c>
      <c r="G463" s="1796">
        <v>0</v>
      </c>
    </row>
    <row r="464" spans="1:15">
      <c r="B464" s="35" t="s">
        <v>1287</v>
      </c>
      <c r="C464" s="1797">
        <f>+C462*C463</f>
        <v>0</v>
      </c>
      <c r="D464" s="1797">
        <f>+D462*D463</f>
        <v>0</v>
      </c>
      <c r="E464" s="1797">
        <f>+E462*E463</f>
        <v>0</v>
      </c>
      <c r="F464" s="1797">
        <f>+F462*F463</f>
        <v>0</v>
      </c>
      <c r="G464" s="1797">
        <f>+G462*G463</f>
        <v>0</v>
      </c>
    </row>
    <row r="465" spans="2:7">
      <c r="C465" s="1625"/>
      <c r="D465" s="1625"/>
      <c r="E465" s="1625"/>
      <c r="F465" s="1625"/>
      <c r="G465" s="1625"/>
    </row>
    <row r="466" spans="2:7">
      <c r="B466" s="35" t="s">
        <v>1279</v>
      </c>
      <c r="C466" s="1625">
        <v>2080</v>
      </c>
      <c r="D466" s="1625">
        <v>2080</v>
      </c>
      <c r="E466" s="1625">
        <v>2080</v>
      </c>
      <c r="F466" s="1625">
        <v>2080</v>
      </c>
      <c r="G466" s="1625">
        <v>2080</v>
      </c>
    </row>
    <row r="467" spans="2:7">
      <c r="B467" s="132" t="s">
        <v>1280</v>
      </c>
      <c r="C467" s="1798">
        <f>+C464/C466</f>
        <v>0</v>
      </c>
      <c r="D467" s="1798">
        <f>+D464/D466</f>
        <v>0</v>
      </c>
      <c r="E467" s="1798">
        <f>+E464/E466</f>
        <v>0</v>
      </c>
      <c r="F467" s="1798">
        <f>+F464/F466</f>
        <v>0</v>
      </c>
      <c r="G467" s="1798">
        <f>+G464/G466</f>
        <v>0</v>
      </c>
    </row>
    <row r="468" spans="2:7">
      <c r="C468" s="1625"/>
      <c r="D468" s="1625"/>
      <c r="E468" s="1625"/>
      <c r="F468" s="1625"/>
      <c r="G468" s="1625"/>
    </row>
    <row r="469" spans="2:7">
      <c r="B469" s="35" t="s">
        <v>1282</v>
      </c>
      <c r="C469" s="1796">
        <v>0</v>
      </c>
      <c r="D469" s="1796">
        <v>0</v>
      </c>
      <c r="E469" s="1796">
        <v>0</v>
      </c>
      <c r="F469" s="1796">
        <v>0</v>
      </c>
      <c r="G469" s="1796">
        <v>0</v>
      </c>
    </row>
    <row r="470" spans="2:7">
      <c r="B470" s="35" t="s">
        <v>1283</v>
      </c>
      <c r="C470" s="1796">
        <v>0</v>
      </c>
      <c r="D470" s="1796">
        <v>0</v>
      </c>
      <c r="E470" s="1796">
        <v>0</v>
      </c>
      <c r="F470" s="1796">
        <v>0</v>
      </c>
      <c r="G470" s="1796">
        <v>0</v>
      </c>
    </row>
    <row r="471" spans="2:7">
      <c r="B471" s="35" t="s">
        <v>1281</v>
      </c>
      <c r="C471" s="1800">
        <f>+C469*C470</f>
        <v>0</v>
      </c>
      <c r="D471" s="1800">
        <f>+D469*D470</f>
        <v>0</v>
      </c>
      <c r="E471" s="1800">
        <f>+E469*E470</f>
        <v>0</v>
      </c>
      <c r="F471" s="1800">
        <f>+F469*F470</f>
        <v>0</v>
      </c>
      <c r="G471" s="1800">
        <f>+G469*G470</f>
        <v>0</v>
      </c>
    </row>
    <row r="472" spans="2:7">
      <c r="B472" s="132" t="s">
        <v>1284</v>
      </c>
      <c r="C472" s="1799">
        <f>IFERROR(C464/C471,0)</f>
        <v>0</v>
      </c>
      <c r="D472" s="1799">
        <f t="shared" ref="D472:G472" si="110">IFERROR(D464/D471,0)</f>
        <v>0</v>
      </c>
      <c r="E472" s="1799">
        <f t="shared" si="110"/>
        <v>0</v>
      </c>
      <c r="F472" s="1799">
        <f t="shared" si="110"/>
        <v>0</v>
      </c>
      <c r="G472" s="1799">
        <f t="shared" si="110"/>
        <v>0</v>
      </c>
    </row>
  </sheetData>
  <sheetProtection algorithmName="SHA-512" hashValue="vCPtY5GrDgIeWyJFfxj8ryEpOc0ZqNYpjmhQyYO/0XKGbNidFEqFr6V0gR6jXKYxjI0EyfzMPEC+O4xCfapCaQ==" saltValue="bqHPMp7DE3aXn0lJABlfVg==" spinCount="100000" sheet="1" objects="1" scenarios="1"/>
  <conditionalFormatting sqref="G86:M86 G17:M19">
    <cfRule type="cellIs" dxfId="609" priority="28" stopIfTrue="1" operator="equal">
      <formula>0</formula>
    </cfRule>
  </conditionalFormatting>
  <conditionalFormatting sqref="G94:M94">
    <cfRule type="cellIs" dxfId="608" priority="29" stopIfTrue="1" operator="equal">
      <formula>0</formula>
    </cfRule>
  </conditionalFormatting>
  <conditionalFormatting sqref="G23:H23 G21:M22">
    <cfRule type="cellIs" dxfId="607" priority="15" stopIfTrue="1" operator="equal">
      <formula>0</formula>
    </cfRule>
  </conditionalFormatting>
  <conditionalFormatting sqref="G20:M20">
    <cfRule type="cellIs" dxfId="606" priority="14" stopIfTrue="1" operator="equal">
      <formula>0</formula>
    </cfRule>
  </conditionalFormatting>
  <conditionalFormatting sqref="I23:M23">
    <cfRule type="cellIs" dxfId="605" priority="12" stopIfTrue="1" operator="equal">
      <formula>0</formula>
    </cfRule>
  </conditionalFormatting>
  <conditionalFormatting sqref="G38:M40">
    <cfRule type="cellIs" dxfId="604" priority="11" stopIfTrue="1" operator="equal">
      <formula>0</formula>
    </cfRule>
  </conditionalFormatting>
  <conditionalFormatting sqref="D1">
    <cfRule type="expression" dxfId="603" priority="10" stopIfTrue="1">
      <formula>MOD(ROW(),2)=0</formula>
    </cfRule>
  </conditionalFormatting>
  <conditionalFormatting sqref="G106:M106">
    <cfRule type="cellIs" dxfId="602" priority="30" stopIfTrue="1" operator="equal">
      <formula>0</formula>
    </cfRule>
  </conditionalFormatting>
  <conditionalFormatting sqref="G120:M120">
    <cfRule type="cellIs" dxfId="601" priority="31" stopIfTrue="1" operator="equal">
      <formula>0</formula>
    </cfRule>
  </conditionalFormatting>
  <conditionalFormatting sqref="G132:M132">
    <cfRule type="cellIs" dxfId="600" priority="32" stopIfTrue="1" operator="equal">
      <formula>0</formula>
    </cfRule>
  </conditionalFormatting>
  <conditionalFormatting sqref="G134:M135">
    <cfRule type="cellIs" dxfId="599" priority="33" stopIfTrue="1" operator="equal">
      <formula>0</formula>
    </cfRule>
  </conditionalFormatting>
  <conditionalFormatting sqref="G43:M47">
    <cfRule type="cellIs" dxfId="598" priority="34" stopIfTrue="1" operator="equal">
      <formula>0</formula>
    </cfRule>
  </conditionalFormatting>
  <conditionalFormatting sqref="G30:M32 G34:M35">
    <cfRule type="cellIs" dxfId="597" priority="35" stopIfTrue="1" operator="equal">
      <formula>0</formula>
    </cfRule>
  </conditionalFormatting>
  <conditionalFormatting sqref="G37:M37">
    <cfRule type="cellIs" dxfId="596" priority="36" stopIfTrue="1" operator="equal">
      <formula>0</formula>
    </cfRule>
  </conditionalFormatting>
  <conditionalFormatting sqref="G42:M42">
    <cfRule type="cellIs" dxfId="595" priority="37" stopIfTrue="1" operator="equal">
      <formula>0</formula>
    </cfRule>
  </conditionalFormatting>
  <conditionalFormatting sqref="G27:M27">
    <cfRule type="cellIs" dxfId="594" priority="38" stopIfTrue="1" operator="equal">
      <formula>0</formula>
    </cfRule>
  </conditionalFormatting>
  <conditionalFormatting sqref="G25:M25">
    <cfRule type="cellIs" dxfId="593" priority="39" stopIfTrue="1" operator="equal">
      <formula>0</formula>
    </cfRule>
  </conditionalFormatting>
  <hyperlinks>
    <hyperlink ref="D1" location="HypLink1" display="HypLink1" xr:uid="{F704437E-DC3D-4C4E-8D8C-65242210DB0E}"/>
  </hyperlinks>
  <pageMargins left="0.25" right="0.25" top="0.5" bottom="0.45" header="0.25" footer="0.25"/>
  <pageSetup scale="55" fitToHeight="4" orientation="landscape" r:id="rId1"/>
  <headerFooter>
    <oddHeader xml:space="preserve">&amp;L &amp;C &amp;R </oddHeader>
    <oddFooter>&amp;L&amp;7&amp;D  at &amp;T Mike 702.854.0691&amp;C&amp;7&amp;F  &amp;A&amp;R&amp;7Page &amp;P of &amp;N</oddFooter>
  </headerFooter>
  <rowBreaks count="1" manualBreakCount="1">
    <brk id="48" max="1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28433-3DBF-4F1F-BAC6-C55D93C5DE87}">
  <sheetPr codeName="Sheet13">
    <tabColor rgb="FFFFFF00"/>
    <pageSetUpPr fitToPage="1"/>
  </sheetPr>
  <dimension ref="A1:Z104"/>
  <sheetViews>
    <sheetView topLeftCell="A31" workbookViewId="0">
      <selection activeCell="N23" sqref="N23"/>
    </sheetView>
  </sheetViews>
  <sheetFormatPr defaultColWidth="8.88671875" defaultRowHeight="13.8" outlineLevelRow="1"/>
  <cols>
    <col min="1" max="1" width="6.33203125" style="35" customWidth="1"/>
    <col min="2" max="2" width="40.44140625" style="35" customWidth="1"/>
    <col min="3" max="3" width="19.109375" style="35" customWidth="1"/>
    <col min="4" max="4" width="11.44140625" style="35" customWidth="1"/>
    <col min="5" max="5" width="17.6640625" style="35" customWidth="1"/>
    <col min="6" max="6" width="15.109375" style="35" bestFit="1" customWidth="1"/>
    <col min="7" max="10" width="16" style="35" bestFit="1" customWidth="1"/>
    <col min="11" max="11" width="13.88671875" style="35" bestFit="1" customWidth="1"/>
    <col min="12" max="12" width="15.6640625" style="35" bestFit="1" customWidth="1"/>
    <col min="13" max="13" width="7.33203125" style="35" customWidth="1"/>
    <col min="14" max="14" width="59.6640625" style="317" customWidth="1"/>
    <col min="15" max="15" width="8.88671875" style="35"/>
    <col min="16" max="16" width="9.44140625" style="35" customWidth="1"/>
    <col min="17" max="16384" width="8.88671875" style="35"/>
  </cols>
  <sheetData>
    <row r="1" spans="1:26" ht="15.6">
      <c r="A1" s="119" t="s">
        <v>105</v>
      </c>
      <c r="B1" s="331"/>
      <c r="D1" s="438" t="s">
        <v>2</v>
      </c>
      <c r="G1" s="179" t="s">
        <v>649</v>
      </c>
      <c r="H1" s="179"/>
      <c r="I1" s="179"/>
      <c r="J1" s="65"/>
      <c r="K1" s="65"/>
      <c r="Z1" s="7"/>
    </row>
    <row r="2" spans="1:26" ht="15.6">
      <c r="A2" s="39" t="str">
        <f>SchoolName</f>
        <v>Eagle Charter Schools of Nevada</v>
      </c>
      <c r="B2" s="40"/>
      <c r="G2" s="2212" t="str">
        <f>+Cover!C18</f>
        <v>2025 E. Sahara  Las Vegas, NV  89104</v>
      </c>
      <c r="H2" s="2212"/>
      <c r="I2" s="2212"/>
      <c r="J2" s="2212"/>
      <c r="K2" s="2212"/>
      <c r="Z2" s="7"/>
    </row>
    <row r="3" spans="1:26">
      <c r="A3" s="41" t="s">
        <v>1</v>
      </c>
      <c r="G3" s="2213" t="str">
        <f>+Cover!C19</f>
        <v>N/A</v>
      </c>
      <c r="H3" s="2213"/>
      <c r="I3" s="2213"/>
      <c r="J3" s="2213"/>
      <c r="K3" s="2213"/>
      <c r="Z3" s="7"/>
    </row>
    <row r="4" spans="1:26">
      <c r="A4" s="32" t="str">
        <f ca="1">CELL("filename")</f>
        <v>C:\Users\Nicho\Desktop\[Attachment 2.  Eagle NV RFA 12.16.22.xlsx]CF Y1 Mo</v>
      </c>
      <c r="Z4" s="7"/>
    </row>
    <row r="5" spans="1:26" ht="14.4" thickBot="1">
      <c r="Z5" s="7"/>
    </row>
    <row r="6" spans="1:26" s="33" customFormat="1" outlineLevel="1">
      <c r="B6" s="1791" t="s">
        <v>650</v>
      </c>
      <c r="C6" s="1795"/>
      <c r="D6" s="1794"/>
      <c r="F6" s="770" t="str">
        <f>' Enrol &amp; Rev'!F9</f>
        <v>SY 0/Incu</v>
      </c>
      <c r="G6" s="760">
        <f>' Enrol &amp; Rev'!G9</f>
        <v>1</v>
      </c>
      <c r="H6" s="760">
        <f>' Enrol &amp; Rev'!H9</f>
        <v>2</v>
      </c>
      <c r="I6" s="760">
        <f>' Enrol &amp; Rev'!I9</f>
        <v>3</v>
      </c>
      <c r="J6" s="760">
        <f>' Enrol &amp; Rev'!J9</f>
        <v>4</v>
      </c>
      <c r="K6" s="760">
        <f>' Enrol &amp; Rev'!K9</f>
        <v>5</v>
      </c>
      <c r="L6" s="1333">
        <f>' Enrol &amp; Rev'!L9</f>
        <v>6</v>
      </c>
      <c r="N6" s="1615" t="s">
        <v>95</v>
      </c>
      <c r="Z6" s="7"/>
    </row>
    <row r="7" spans="1:26" ht="14.4" outlineLevel="1" thickBot="1">
      <c r="B7" s="1792" t="s">
        <v>651</v>
      </c>
      <c r="C7" s="203" t="s">
        <v>652</v>
      </c>
      <c r="D7" s="1793"/>
      <c r="F7" s="761">
        <f>+G7-1</f>
        <v>2022</v>
      </c>
      <c r="G7" s="762">
        <f>' Enrol &amp; Rev'!G10</f>
        <v>2023</v>
      </c>
      <c r="H7" s="762">
        <f>' Enrol &amp; Rev'!H10</f>
        <v>2024</v>
      </c>
      <c r="I7" s="762">
        <f>' Enrol &amp; Rev'!I10</f>
        <v>2025</v>
      </c>
      <c r="J7" s="762">
        <f>' Enrol &amp; Rev'!J10</f>
        <v>2026</v>
      </c>
      <c r="K7" s="762">
        <f>' Enrol &amp; Rev'!K10</f>
        <v>2027</v>
      </c>
      <c r="L7" s="763">
        <f>' Enrol &amp; Rev'!L10</f>
        <v>2028</v>
      </c>
      <c r="M7" s="43"/>
      <c r="N7" s="491"/>
    </row>
    <row r="8" spans="1:26" outlineLevel="1">
      <c r="C8" s="33"/>
      <c r="F8" s="764">
        <f>+G8-1</f>
        <v>2023</v>
      </c>
      <c r="G8" s="765">
        <f>' Enrol &amp; Rev'!G11</f>
        <v>2024</v>
      </c>
      <c r="H8" s="765">
        <f>' Enrol &amp; Rev'!H11</f>
        <v>2025</v>
      </c>
      <c r="I8" s="765">
        <f>' Enrol &amp; Rev'!I11</f>
        <v>2026</v>
      </c>
      <c r="J8" s="765">
        <f>' Enrol &amp; Rev'!J11</f>
        <v>2027</v>
      </c>
      <c r="K8" s="765">
        <f>' Enrol &amp; Rev'!K11</f>
        <v>2028</v>
      </c>
      <c r="L8" s="766">
        <f>' Enrol &amp; Rev'!L11</f>
        <v>2029</v>
      </c>
      <c r="M8" s="43"/>
      <c r="N8" s="353"/>
    </row>
    <row r="9" spans="1:26" outlineLevel="1">
      <c r="A9" s="356">
        <f>ROW()</f>
        <v>9</v>
      </c>
      <c r="B9" s="245" t="s">
        <v>653</v>
      </c>
      <c r="C9" s="246"/>
      <c r="D9" s="246"/>
      <c r="E9" s="65"/>
      <c r="F9" s="1411" t="s">
        <v>405</v>
      </c>
      <c r="G9" s="686">
        <f>' Enrol &amp; Rev'!G35</f>
        <v>540</v>
      </c>
      <c r="H9" s="686">
        <f>' Enrol &amp; Rev'!H35</f>
        <v>648</v>
      </c>
      <c r="I9" s="686">
        <f>' Enrol &amp; Rev'!I35</f>
        <v>756</v>
      </c>
      <c r="J9" s="686">
        <f>' Enrol &amp; Rev'!J35</f>
        <v>864</v>
      </c>
      <c r="K9" s="686">
        <f>' Enrol &amp; Rev'!K35</f>
        <v>891</v>
      </c>
      <c r="L9" s="1352">
        <f>' Enrol &amp; Rev'!L35</f>
        <v>918</v>
      </c>
      <c r="M9" s="43"/>
      <c r="N9" s="353"/>
    </row>
    <row r="10" spans="1:26" outlineLevel="1">
      <c r="A10" s="356">
        <f>ROW()</f>
        <v>10</v>
      </c>
      <c r="B10" s="35" t="s">
        <v>654</v>
      </c>
      <c r="C10" s="33"/>
      <c r="G10" s="540">
        <f>IFERROR(+G11/' Enrol &amp; Rev'!G35,0)</f>
        <v>64.81481481481481</v>
      </c>
      <c r="H10" s="540">
        <f>IFERROR(+H11/' Enrol &amp; Rev'!H35,0)</f>
        <v>54.012345679012348</v>
      </c>
      <c r="I10" s="540">
        <f>IFERROR(+I11/' Enrol &amp; Rev'!I35,0)</f>
        <v>50.867724867724867</v>
      </c>
      <c r="J10" s="540">
        <f>IFERROR(+J11/' Enrol &amp; Rev'!J35,0)</f>
        <v>48.50925925925926</v>
      </c>
      <c r="K10" s="540">
        <f>IFERROR(+K11/' Enrol &amp; Rev'!K35,0)</f>
        <v>47.039281705948376</v>
      </c>
      <c r="L10" s="540">
        <f>IFERROR(+L11/' Enrol &amp; Rev'!L35,0)</f>
        <v>45.655773420479299</v>
      </c>
      <c r="M10" s="43"/>
      <c r="N10" s="353"/>
    </row>
    <row r="11" spans="1:26" outlineLevel="1">
      <c r="A11" s="356">
        <f>ROW()</f>
        <v>11</v>
      </c>
      <c r="B11" s="35" t="s">
        <v>655</v>
      </c>
      <c r="F11" s="541">
        <v>200</v>
      </c>
      <c r="G11" s="541">
        <f>'Lease rate calculations'!C18</f>
        <v>35000</v>
      </c>
      <c r="H11" s="541">
        <f>'Lease rate calculations'!D18</f>
        <v>35000</v>
      </c>
      <c r="I11" s="541">
        <f>'Lease rate calculations'!E18</f>
        <v>38456</v>
      </c>
      <c r="J11" s="541">
        <f>'Lease rate calculations'!F18</f>
        <v>41912</v>
      </c>
      <c r="K11" s="541">
        <f>'Lease rate calculations'!G18</f>
        <v>41912</v>
      </c>
      <c r="L11" s="541">
        <f>'Lease rate calculations'!H18</f>
        <v>41912</v>
      </c>
      <c r="M11" s="43"/>
      <c r="N11" s="353"/>
    </row>
    <row r="12" spans="1:26" outlineLevel="1">
      <c r="A12" s="356"/>
      <c r="M12" s="43"/>
      <c r="N12" s="353"/>
    </row>
    <row r="13" spans="1:26" outlineLevel="1">
      <c r="A13" s="356">
        <f>ROW()</f>
        <v>13</v>
      </c>
      <c r="B13" s="35" t="s">
        <v>1229</v>
      </c>
      <c r="F13" s="1543"/>
      <c r="G13" s="1543"/>
      <c r="H13" s="1543"/>
      <c r="I13" s="1543"/>
      <c r="J13" s="1543"/>
      <c r="K13" s="1543"/>
      <c r="L13" s="1543"/>
      <c r="M13" s="43"/>
      <c r="N13" s="353" t="s">
        <v>656</v>
      </c>
    </row>
    <row r="14" spans="1:26" outlineLevel="1">
      <c r="A14" s="356">
        <f>ROW()</f>
        <v>14</v>
      </c>
      <c r="B14" s="35" t="s">
        <v>1230</v>
      </c>
      <c r="F14" s="1790">
        <f>+F13*12</f>
        <v>0</v>
      </c>
      <c r="G14" s="1790">
        <f>+G13*12</f>
        <v>0</v>
      </c>
      <c r="H14" s="1790">
        <f t="shared" ref="H14:L17" si="0">+H13*12</f>
        <v>0</v>
      </c>
      <c r="I14" s="1790">
        <f t="shared" si="0"/>
        <v>0</v>
      </c>
      <c r="J14" s="1790">
        <f t="shared" si="0"/>
        <v>0</v>
      </c>
      <c r="K14" s="1790">
        <f t="shared" si="0"/>
        <v>0</v>
      </c>
      <c r="L14" s="1790">
        <f t="shared" si="0"/>
        <v>0</v>
      </c>
      <c r="M14" s="43"/>
      <c r="N14" s="353" t="s">
        <v>657</v>
      </c>
    </row>
    <row r="15" spans="1:26" outlineLevel="1">
      <c r="A15" s="356"/>
      <c r="F15" s="542"/>
      <c r="G15" s="542"/>
      <c r="H15" s="542"/>
      <c r="I15" s="542"/>
      <c r="J15" s="542"/>
      <c r="K15" s="542"/>
      <c r="L15" s="542"/>
      <c r="M15" s="43"/>
      <c r="N15" s="353"/>
    </row>
    <row r="16" spans="1:26" outlineLevel="1">
      <c r="A16" s="356">
        <f>ROW()</f>
        <v>16</v>
      </c>
      <c r="B16" s="35" t="s">
        <v>1365</v>
      </c>
      <c r="C16" s="34"/>
      <c r="F16" s="1543">
        <v>1.2</v>
      </c>
      <c r="G16" s="1543">
        <f>'Lease rate calculations'!C20/12</f>
        <v>1.3367833333333332</v>
      </c>
      <c r="H16" s="1543">
        <f>'Lease rate calculations'!D20/12</f>
        <v>2.9218333333333333</v>
      </c>
      <c r="I16" s="1543">
        <f>'Lease rate calculations'!E20/12</f>
        <v>3.4480523195340127</v>
      </c>
      <c r="J16" s="1543">
        <f>'Lease rate calculations'!F20/12</f>
        <v>3.4112812082458484</v>
      </c>
      <c r="K16" s="1543">
        <f>'Lease rate calculations'!G20/12</f>
        <v>3.4831569035121213</v>
      </c>
      <c r="L16" s="1543">
        <f>'Lease rate calculations'!H20/12</f>
        <v>3.556579614816759</v>
      </c>
      <c r="M16" s="43"/>
      <c r="N16" s="353" t="s">
        <v>658</v>
      </c>
    </row>
    <row r="17" spans="1:14" outlineLevel="1">
      <c r="A17" s="356">
        <f>ROW()</f>
        <v>17</v>
      </c>
      <c r="B17" s="35" t="s">
        <v>1232</v>
      </c>
      <c r="C17" s="34"/>
      <c r="F17" s="1790">
        <f>+F16*12</f>
        <v>14.399999999999999</v>
      </c>
      <c r="G17" s="1790">
        <f>+G16*12</f>
        <v>16.041399999999999</v>
      </c>
      <c r="H17" s="1790">
        <f t="shared" si="0"/>
        <v>35.061999999999998</v>
      </c>
      <c r="I17" s="1790">
        <f t="shared" si="0"/>
        <v>41.376627834408154</v>
      </c>
      <c r="J17" s="1790">
        <f t="shared" si="0"/>
        <v>40.935374498950182</v>
      </c>
      <c r="K17" s="1790">
        <f t="shared" si="0"/>
        <v>41.797882842145455</v>
      </c>
      <c r="L17" s="1790">
        <f t="shared" si="0"/>
        <v>42.67895537780111</v>
      </c>
      <c r="M17" s="43"/>
      <c r="N17" s="353" t="s">
        <v>659</v>
      </c>
    </row>
    <row r="18" spans="1:14" outlineLevel="1">
      <c r="A18" s="356">
        <f>ROW()</f>
        <v>18</v>
      </c>
      <c r="F18" s="542"/>
      <c r="G18" s="542"/>
      <c r="H18" s="542"/>
      <c r="I18" s="542"/>
      <c r="J18" s="542"/>
      <c r="K18" s="542"/>
      <c r="L18" s="542"/>
      <c r="M18" s="43"/>
      <c r="N18" s="353"/>
    </row>
    <row r="19" spans="1:14" outlineLevel="1">
      <c r="A19" s="356">
        <f>ROW()</f>
        <v>19</v>
      </c>
      <c r="B19" s="45" t="s">
        <v>660</v>
      </c>
      <c r="F19" s="1057"/>
      <c r="G19" s="1057"/>
      <c r="H19" s="543">
        <v>0.03</v>
      </c>
      <c r="I19" s="543">
        <v>0.03</v>
      </c>
      <c r="J19" s="543">
        <v>0.03</v>
      </c>
      <c r="K19" s="543">
        <v>0.03</v>
      </c>
      <c r="L19" s="543">
        <v>0.03</v>
      </c>
      <c r="M19" s="43"/>
      <c r="N19" s="353"/>
    </row>
    <row r="20" spans="1:14" outlineLevel="1">
      <c r="A20" s="356">
        <f>ROW()</f>
        <v>20</v>
      </c>
      <c r="B20" s="45" t="s">
        <v>661</v>
      </c>
      <c r="F20" s="544">
        <f t="shared" ref="F20:L20" si="1">+F21/12</f>
        <v>1.2</v>
      </c>
      <c r="G20" s="544">
        <f t="shared" si="1"/>
        <v>1.3367833333333332</v>
      </c>
      <c r="H20" s="544">
        <f t="shared" si="1"/>
        <v>1.3768868333333335</v>
      </c>
      <c r="I20" s="544">
        <f t="shared" si="1"/>
        <v>1.4181934383333334</v>
      </c>
      <c r="J20" s="544">
        <f t="shared" si="1"/>
        <v>1.4607392414833333</v>
      </c>
      <c r="K20" s="544">
        <f t="shared" si="1"/>
        <v>1.5045614187278336</v>
      </c>
      <c r="L20" s="544">
        <f t="shared" si="1"/>
        <v>1.5496982612896686</v>
      </c>
      <c r="M20" s="43"/>
      <c r="N20" s="353"/>
    </row>
    <row r="21" spans="1:14" outlineLevel="1">
      <c r="A21" s="356">
        <f>ROW()</f>
        <v>21</v>
      </c>
      <c r="B21" s="45" t="s">
        <v>662</v>
      </c>
      <c r="F21" s="542">
        <f>+F17*(1+F19)</f>
        <v>14.399999999999999</v>
      </c>
      <c r="G21" s="542">
        <f>+G17*(1+G19)</f>
        <v>16.041399999999999</v>
      </c>
      <c r="H21" s="542">
        <f>+G21*(1+H19)</f>
        <v>16.522642000000001</v>
      </c>
      <c r="I21" s="542">
        <f>+H21*(1+I19)</f>
        <v>17.01832126</v>
      </c>
      <c r="J21" s="542">
        <f>+I21*(1+J19)</f>
        <v>17.528870897800001</v>
      </c>
      <c r="K21" s="542">
        <f>+J21*(1+K19)</f>
        <v>18.054737024734003</v>
      </c>
      <c r="L21" s="542">
        <f>+K21*(1+L19)</f>
        <v>18.596379135476024</v>
      </c>
      <c r="M21" s="43"/>
      <c r="N21" s="353"/>
    </row>
    <row r="22" spans="1:14" outlineLevel="1">
      <c r="A22" s="356">
        <f>ROW()</f>
        <v>22</v>
      </c>
      <c r="B22" s="33"/>
      <c r="G22" s="533"/>
      <c r="H22" s="533"/>
      <c r="I22" s="533"/>
      <c r="J22" s="533"/>
      <c r="K22" s="533"/>
      <c r="L22" s="533"/>
      <c r="M22" s="43"/>
      <c r="N22" s="353"/>
    </row>
    <row r="23" spans="1:14" outlineLevel="1">
      <c r="A23" s="356">
        <f>ROW()</f>
        <v>23</v>
      </c>
      <c r="B23" s="984" t="s">
        <v>663</v>
      </c>
      <c r="C23" s="167"/>
      <c r="D23" s="132"/>
      <c r="E23" s="359">
        <f t="shared" ref="E23:E41" si="2">SUM(F23:L23)</f>
        <v>4067869.6499498771</v>
      </c>
      <c r="F23" s="1058">
        <f t="shared" ref="F23:L23" si="3">F11*(F21)</f>
        <v>2879.9999999999995</v>
      </c>
      <c r="G23" s="360">
        <f t="shared" si="3"/>
        <v>561449</v>
      </c>
      <c r="H23" s="361">
        <f t="shared" si="3"/>
        <v>578292.47000000009</v>
      </c>
      <c r="I23" s="361">
        <f t="shared" si="3"/>
        <v>654456.56237456005</v>
      </c>
      <c r="J23" s="361">
        <f t="shared" si="3"/>
        <v>734670.03706859367</v>
      </c>
      <c r="K23" s="361">
        <f t="shared" si="3"/>
        <v>756710.13818065147</v>
      </c>
      <c r="L23" s="361">
        <f t="shared" si="3"/>
        <v>779411.44232607109</v>
      </c>
      <c r="M23" s="43"/>
      <c r="N23" s="353" t="s">
        <v>1548</v>
      </c>
    </row>
    <row r="24" spans="1:14" outlineLevel="1">
      <c r="A24" s="356">
        <f>ROW()</f>
        <v>24</v>
      </c>
      <c r="B24" s="46"/>
      <c r="C24" s="34" t="s">
        <v>664</v>
      </c>
      <c r="E24" s="688"/>
      <c r="F24" s="688"/>
      <c r="G24" s="138"/>
      <c r="H24" s="146"/>
      <c r="I24" s="146"/>
      <c r="J24" s="146"/>
      <c r="K24" s="146"/>
      <c r="L24" s="146"/>
      <c r="M24" s="43"/>
      <c r="N24" s="353"/>
    </row>
    <row r="25" spans="1:14" outlineLevel="1">
      <c r="A25" s="356">
        <f>ROW()</f>
        <v>25</v>
      </c>
      <c r="B25" s="35" t="s">
        <v>665</v>
      </c>
      <c r="C25" s="858">
        <v>1.75</v>
      </c>
      <c r="D25" s="1698" t="s">
        <v>666</v>
      </c>
      <c r="E25" s="1699">
        <f t="shared" si="2"/>
        <v>442115.94000000006</v>
      </c>
      <c r="F25" s="290"/>
      <c r="G25" s="693">
        <f>G$11*$C25</f>
        <v>61250</v>
      </c>
      <c r="H25" s="693">
        <f>H$11*$C25*1.03</f>
        <v>63087.5</v>
      </c>
      <c r="I25" s="693">
        <f>I$11*$C25*1.06</f>
        <v>71335.88</v>
      </c>
      <c r="J25" s="693">
        <f>J$11*$C25*1.09</f>
        <v>79947.14</v>
      </c>
      <c r="K25" s="693">
        <f>K$11*$C25*1.12</f>
        <v>82147.520000000004</v>
      </c>
      <c r="L25" s="693">
        <f>L$11*$C25*1.15</f>
        <v>84347.9</v>
      </c>
      <c r="M25" s="43"/>
      <c r="N25" s="353" t="s">
        <v>1547</v>
      </c>
    </row>
    <row r="26" spans="1:14" outlineLevel="1">
      <c r="A26" s="356">
        <f>ROW()</f>
        <v>26</v>
      </c>
      <c r="B26" s="35" t="s">
        <v>667</v>
      </c>
      <c r="C26" s="859">
        <v>2</v>
      </c>
      <c r="D26" s="1698" t="s">
        <v>666</v>
      </c>
      <c r="E26" s="1699">
        <f t="shared" si="2"/>
        <v>505275.36</v>
      </c>
      <c r="F26" s="290">
        <v>0</v>
      </c>
      <c r="G26" s="694">
        <f t="shared" ref="G26" si="4">G11*$C$26</f>
        <v>70000</v>
      </c>
      <c r="H26" s="694">
        <f>H11*$C$26*1.03</f>
        <v>72100</v>
      </c>
      <c r="I26" s="694">
        <f>I11*$C$26*1.06</f>
        <v>81526.720000000001</v>
      </c>
      <c r="J26" s="694">
        <f>J11*$C$26*1.09</f>
        <v>91368.16</v>
      </c>
      <c r="K26" s="694">
        <f>K11*$C$26*1.12</f>
        <v>93882.880000000005</v>
      </c>
      <c r="L26" s="694">
        <f>L11*$C$26*1.15</f>
        <v>96397.599999999991</v>
      </c>
      <c r="M26" s="47"/>
      <c r="N26" s="353" t="s">
        <v>1547</v>
      </c>
    </row>
    <row r="27" spans="1:14" outlineLevel="1">
      <c r="A27" s="356">
        <f>ROW()</f>
        <v>27</v>
      </c>
      <c r="B27" s="35" t="s">
        <v>668</v>
      </c>
      <c r="C27" s="858">
        <v>0</v>
      </c>
      <c r="D27" s="1698" t="s">
        <v>666</v>
      </c>
      <c r="E27" s="1699">
        <f t="shared" si="2"/>
        <v>0</v>
      </c>
      <c r="F27" s="290"/>
      <c r="G27" s="694">
        <f t="shared" ref="G27:L27" si="5">G11*$C27</f>
        <v>0</v>
      </c>
      <c r="H27" s="694">
        <f t="shared" si="5"/>
        <v>0</v>
      </c>
      <c r="I27" s="694">
        <f t="shared" si="5"/>
        <v>0</v>
      </c>
      <c r="J27" s="694">
        <f t="shared" si="5"/>
        <v>0</v>
      </c>
      <c r="K27" s="694">
        <f t="shared" si="5"/>
        <v>0</v>
      </c>
      <c r="L27" s="694">
        <f t="shared" si="5"/>
        <v>0</v>
      </c>
      <c r="M27" s="43"/>
      <c r="N27" s="353"/>
    </row>
    <row r="28" spans="1:14" outlineLevel="1">
      <c r="A28" s="356">
        <f>ROW()</f>
        <v>28</v>
      </c>
      <c r="B28" s="35" t="s">
        <v>669</v>
      </c>
      <c r="C28" s="858">
        <v>0</v>
      </c>
      <c r="D28" s="1698" t="s">
        <v>670</v>
      </c>
      <c r="E28" s="1699">
        <f t="shared" si="2"/>
        <v>330000</v>
      </c>
      <c r="F28" s="290"/>
      <c r="G28" s="694">
        <f t="shared" ref="G28" si="6">+C28</f>
        <v>0</v>
      </c>
      <c r="H28" s="694">
        <v>60000</v>
      </c>
      <c r="I28" s="694">
        <f>$H$28*1.05</f>
        <v>63000</v>
      </c>
      <c r="J28" s="694">
        <f>$H$28*1.1</f>
        <v>66000</v>
      </c>
      <c r="K28" s="694">
        <f>$H$28*1.15</f>
        <v>69000</v>
      </c>
      <c r="L28" s="694">
        <f>$H$28*1.2</f>
        <v>72000</v>
      </c>
      <c r="M28" s="43"/>
      <c r="N28" s="353" t="s">
        <v>1546</v>
      </c>
    </row>
    <row r="29" spans="1:14" outlineLevel="1">
      <c r="A29" s="356">
        <f>ROW()</f>
        <v>29</v>
      </c>
      <c r="B29" s="35" t="s">
        <v>671</v>
      </c>
      <c r="C29" s="858">
        <v>0</v>
      </c>
      <c r="D29" s="1698" t="s">
        <v>670</v>
      </c>
      <c r="E29" s="1699">
        <f t="shared" si="2"/>
        <v>0</v>
      </c>
      <c r="F29" s="290"/>
      <c r="G29" s="694">
        <f t="shared" ref="G29" si="7">+C29</f>
        <v>0</v>
      </c>
      <c r="H29" s="694">
        <f t="shared" ref="H29:L29" si="8">+G29</f>
        <v>0</v>
      </c>
      <c r="I29" s="694">
        <f t="shared" si="8"/>
        <v>0</v>
      </c>
      <c r="J29" s="694">
        <f t="shared" si="8"/>
        <v>0</v>
      </c>
      <c r="K29" s="694">
        <f t="shared" si="8"/>
        <v>0</v>
      </c>
      <c r="L29" s="694">
        <f t="shared" si="8"/>
        <v>0</v>
      </c>
      <c r="M29" s="43"/>
      <c r="N29" s="353"/>
    </row>
    <row r="30" spans="1:14" outlineLevel="1">
      <c r="A30" s="356">
        <f>ROW()</f>
        <v>30</v>
      </c>
      <c r="B30" s="35" t="s">
        <v>672</v>
      </c>
      <c r="C30" s="858">
        <v>0</v>
      </c>
      <c r="D30" s="1698" t="s">
        <v>666</v>
      </c>
      <c r="E30" s="1699">
        <f t="shared" ref="E30" si="9">SUM(F30:L30)</f>
        <v>0</v>
      </c>
      <c r="F30" s="290"/>
      <c r="G30" s="694">
        <f>G$11*$C30</f>
        <v>0</v>
      </c>
      <c r="H30" s="694">
        <f t="shared" ref="H30:L30" si="10">H$11*$C30</f>
        <v>0</v>
      </c>
      <c r="I30" s="694">
        <f t="shared" si="10"/>
        <v>0</v>
      </c>
      <c r="J30" s="694">
        <f t="shared" si="10"/>
        <v>0</v>
      </c>
      <c r="K30" s="694">
        <f t="shared" si="10"/>
        <v>0</v>
      </c>
      <c r="L30" s="694">
        <f t="shared" si="10"/>
        <v>0</v>
      </c>
      <c r="M30" s="43"/>
      <c r="N30" s="353"/>
    </row>
    <row r="31" spans="1:14" outlineLevel="1">
      <c r="A31" s="356">
        <f>ROW()</f>
        <v>31</v>
      </c>
      <c r="B31" s="35" t="s">
        <v>673</v>
      </c>
      <c r="C31" s="858">
        <v>1.3</v>
      </c>
      <c r="D31" s="1698" t="s">
        <v>666</v>
      </c>
      <c r="E31" s="1699">
        <f t="shared" ref="E31" si="11">SUM(F31:L31)</f>
        <v>344415.24</v>
      </c>
      <c r="F31" s="290"/>
      <c r="G31" s="694">
        <f>G$11*$C31</f>
        <v>45500</v>
      </c>
      <c r="H31" s="694">
        <f>H$11*$C31*1.05</f>
        <v>47775</v>
      </c>
      <c r="I31" s="694">
        <f>I$11*$C31*1.1</f>
        <v>54992.080000000009</v>
      </c>
      <c r="J31" s="694">
        <f>J$11*$C31*1.15</f>
        <v>62658.439999999995</v>
      </c>
      <c r="K31" s="694">
        <f>K$11*$C31*1.2</f>
        <v>65382.719999999994</v>
      </c>
      <c r="L31" s="694">
        <f>L$11*$C31*1.25</f>
        <v>68107</v>
      </c>
      <c r="M31" s="43"/>
      <c r="N31" s="353" t="s">
        <v>1546</v>
      </c>
    </row>
    <row r="32" spans="1:14" outlineLevel="1">
      <c r="A32" s="356">
        <f>ROW()</f>
        <v>32</v>
      </c>
      <c r="B32" s="35" t="s">
        <v>674</v>
      </c>
      <c r="C32" s="858">
        <v>0</v>
      </c>
      <c r="D32" s="1698" t="s">
        <v>666</v>
      </c>
      <c r="E32" s="1699">
        <f t="shared" ref="E32" si="12">SUM(F32:L32)</f>
        <v>4571085.6095245238</v>
      </c>
      <c r="F32" s="689"/>
      <c r="G32" s="695">
        <f>G$11*$C32</f>
        <v>0</v>
      </c>
      <c r="H32" s="695">
        <f>'Lease rate calculations'!D19-Facilities!H23</f>
        <v>648877.52999999991</v>
      </c>
      <c r="I32" s="695">
        <f>'Lease rate calculations'!E19-Facilities!I23</f>
        <v>936723.03762544005</v>
      </c>
      <c r="J32" s="695">
        <f>'Lease rate calculations'!F19-Facilities!J23</f>
        <v>981013.3789314063</v>
      </c>
      <c r="K32" s="695">
        <f>'Lease rate calculations'!G19-Facilities!K23</f>
        <v>995122.72749934881</v>
      </c>
      <c r="L32" s="695">
        <f>'Lease rate calculations'!H19-Facilities!L23</f>
        <v>1009348.935468329</v>
      </c>
      <c r="M32" s="43"/>
      <c r="N32" s="353" t="s">
        <v>1544</v>
      </c>
    </row>
    <row r="33" spans="1:14" outlineLevel="1">
      <c r="A33" s="356">
        <f>ROW()</f>
        <v>33</v>
      </c>
      <c r="B33" s="132" t="s">
        <v>675</v>
      </c>
      <c r="C33" s="690">
        <v>0</v>
      </c>
      <c r="D33" s="1700" t="s">
        <v>676</v>
      </c>
      <c r="E33" s="1701">
        <f t="shared" si="2"/>
        <v>6192892.1495245239</v>
      </c>
      <c r="F33" s="691"/>
      <c r="G33" s="687">
        <f>SUM(G25:G32)*((1+$C$33)^G6)</f>
        <v>176750</v>
      </c>
      <c r="H33" s="737">
        <f t="shared" ref="H33:L33" si="13">SUM(H25:H32)*((1+$C$33)^H6)</f>
        <v>891840.02999999991</v>
      </c>
      <c r="I33" s="737">
        <f t="shared" si="13"/>
        <v>1207577.7176254401</v>
      </c>
      <c r="J33" s="737">
        <f t="shared" si="13"/>
        <v>1280987.1189314062</v>
      </c>
      <c r="K33" s="737">
        <f t="shared" si="13"/>
        <v>1305535.8474993487</v>
      </c>
      <c r="L33" s="737">
        <f t="shared" si="13"/>
        <v>1330201.4354683291</v>
      </c>
      <c r="M33" s="43"/>
      <c r="N33" s="353" t="s">
        <v>1545</v>
      </c>
    </row>
    <row r="34" spans="1:14" outlineLevel="1">
      <c r="A34" s="356">
        <f>ROW()</f>
        <v>34</v>
      </c>
      <c r="B34" s="33" t="s">
        <v>677</v>
      </c>
      <c r="C34" s="858">
        <v>0</v>
      </c>
      <c r="D34" s="317" t="s">
        <v>678</v>
      </c>
      <c r="E34" s="1699">
        <f t="shared" si="2"/>
        <v>0</v>
      </c>
      <c r="F34" s="290">
        <v>0</v>
      </c>
      <c r="G34" s="290">
        <f>+C34</f>
        <v>0</v>
      </c>
      <c r="H34" s="694"/>
      <c r="I34" s="694"/>
      <c r="J34" s="694"/>
      <c r="K34" s="694"/>
      <c r="L34" s="694"/>
      <c r="M34" s="43"/>
      <c r="N34" s="353"/>
    </row>
    <row r="35" spans="1:14" outlineLevel="1">
      <c r="A35" s="356">
        <f>ROW()</f>
        <v>35</v>
      </c>
      <c r="B35" s="1702" t="s">
        <v>1231</v>
      </c>
      <c r="C35" s="536"/>
      <c r="D35" s="317"/>
      <c r="E35" s="1699">
        <f t="shared" si="2"/>
        <v>0</v>
      </c>
      <c r="F35" s="1442"/>
      <c r="G35" s="1442"/>
      <c r="H35" s="1443"/>
      <c r="I35" s="1443"/>
      <c r="J35" s="1443"/>
      <c r="K35" s="1443"/>
      <c r="L35" s="1443"/>
      <c r="M35" s="43"/>
      <c r="N35" s="353"/>
    </row>
    <row r="36" spans="1:14" outlineLevel="1">
      <c r="A36" s="356">
        <f>ROW()</f>
        <v>36</v>
      </c>
      <c r="B36" s="104" t="s">
        <v>1394</v>
      </c>
      <c r="C36" s="536"/>
      <c r="D36" s="317"/>
      <c r="E36" s="1699"/>
      <c r="F36" s="290"/>
      <c r="G36" s="290"/>
      <c r="H36" s="694"/>
      <c r="I36" s="694"/>
      <c r="J36" s="694"/>
      <c r="K36" s="694"/>
      <c r="L36" s="694"/>
      <c r="M36" s="43"/>
      <c r="N36" s="353"/>
    </row>
    <row r="37" spans="1:14" outlineLevel="1">
      <c r="A37" s="356">
        <f>ROW()</f>
        <v>37</v>
      </c>
      <c r="B37" s="104" t="s">
        <v>1395</v>
      </c>
      <c r="C37" s="536"/>
      <c r="D37" s="317"/>
      <c r="E37" s="1699"/>
      <c r="F37" s="290"/>
      <c r="G37" s="290"/>
      <c r="H37" s="694"/>
      <c r="I37" s="694"/>
      <c r="J37" s="694"/>
      <c r="K37" s="694"/>
      <c r="L37" s="694"/>
      <c r="M37" s="43"/>
      <c r="N37" s="353"/>
    </row>
    <row r="38" spans="1:14" outlineLevel="1">
      <c r="A38" s="356">
        <f>ROW()</f>
        <v>38</v>
      </c>
      <c r="B38" s="104"/>
      <c r="C38" s="536"/>
      <c r="D38" s="317"/>
      <c r="E38" s="1699"/>
      <c r="F38" s="290"/>
      <c r="G38" s="290"/>
      <c r="H38" s="290"/>
      <c r="I38" s="290"/>
      <c r="J38" s="290"/>
      <c r="K38" s="290"/>
      <c r="L38" s="290"/>
      <c r="M38" s="43"/>
      <c r="N38" s="353"/>
    </row>
    <row r="39" spans="1:14" outlineLevel="1">
      <c r="A39" s="356">
        <f>ROW()</f>
        <v>39</v>
      </c>
      <c r="B39" s="104" t="s">
        <v>1397</v>
      </c>
      <c r="C39" s="536"/>
      <c r="D39" s="317"/>
      <c r="E39" s="1699"/>
      <c r="F39" s="290"/>
      <c r="G39" s="290"/>
      <c r="H39" s="694"/>
      <c r="I39" s="694"/>
      <c r="J39" s="694"/>
      <c r="K39" s="694"/>
      <c r="L39" s="694"/>
      <c r="M39" s="43"/>
      <c r="N39" s="353"/>
    </row>
    <row r="40" spans="1:14" outlineLevel="1">
      <c r="A40" s="356">
        <f>ROW()</f>
        <v>40</v>
      </c>
      <c r="B40" s="104" t="s">
        <v>679</v>
      </c>
      <c r="C40" s="317"/>
      <c r="D40" s="317"/>
      <c r="E40" s="1699">
        <f t="shared" si="2"/>
        <v>0</v>
      </c>
      <c r="F40" s="291">
        <f>F35/15</f>
        <v>0</v>
      </c>
      <c r="G40" s="291">
        <f t="shared" ref="G40:L40" si="14">F40+(G35/15)</f>
        <v>0</v>
      </c>
      <c r="H40" s="292">
        <f t="shared" si="14"/>
        <v>0</v>
      </c>
      <c r="I40" s="292">
        <f t="shared" si="14"/>
        <v>0</v>
      </c>
      <c r="J40" s="292">
        <f t="shared" si="14"/>
        <v>0</v>
      </c>
      <c r="K40" s="292">
        <f t="shared" si="14"/>
        <v>0</v>
      </c>
      <c r="L40" s="292">
        <f t="shared" si="14"/>
        <v>0</v>
      </c>
      <c r="M40" s="43"/>
      <c r="N40" s="353"/>
    </row>
    <row r="41" spans="1:14" outlineLevel="1">
      <c r="A41" s="356">
        <f>ROW()</f>
        <v>41</v>
      </c>
      <c r="B41" s="135" t="s">
        <v>680</v>
      </c>
      <c r="C41" s="132"/>
      <c r="D41" s="132"/>
      <c r="E41" s="692">
        <f t="shared" si="2"/>
        <v>10260761.799474401</v>
      </c>
      <c r="F41" s="1703">
        <f>SUM(F23,F33,F34,F35:F39)</f>
        <v>2879.9999999999995</v>
      </c>
      <c r="G41" s="1703">
        <f>SUM(G23,G33,G34,G35:G39)</f>
        <v>738199</v>
      </c>
      <c r="H41" s="1703">
        <f t="shared" ref="H41:L41" si="15">SUM(H23,H33,H34,H35:H39)</f>
        <v>1470132.5</v>
      </c>
      <c r="I41" s="1703">
        <f t="shared" si="15"/>
        <v>1862034.2800000003</v>
      </c>
      <c r="J41" s="1703">
        <f t="shared" si="15"/>
        <v>2015657.156</v>
      </c>
      <c r="K41" s="1703">
        <f t="shared" si="15"/>
        <v>2062245.9856800002</v>
      </c>
      <c r="L41" s="1703">
        <f t="shared" si="15"/>
        <v>2109612.8777944003</v>
      </c>
      <c r="M41" s="43"/>
      <c r="N41" s="353"/>
    </row>
    <row r="42" spans="1:14" outlineLevel="1">
      <c r="A42" s="356">
        <f>ROW()</f>
        <v>42</v>
      </c>
      <c r="B42" s="33" t="s">
        <v>681</v>
      </c>
      <c r="E42" s="33"/>
      <c r="F42" s="782">
        <f t="shared" ref="F42" si="16">SUM(F23,F33)+F40</f>
        <v>2879.9999999999995</v>
      </c>
      <c r="G42" s="782">
        <f>SUM(G23,G33)+G40</f>
        <v>738199</v>
      </c>
      <c r="H42" s="782">
        <f t="shared" ref="H42:L42" si="17">SUM(H23,H33)+H40</f>
        <v>1470132.5</v>
      </c>
      <c r="I42" s="782">
        <f t="shared" si="17"/>
        <v>1862034.2800000003</v>
      </c>
      <c r="J42" s="782">
        <f t="shared" si="17"/>
        <v>2015657.156</v>
      </c>
      <c r="K42" s="782">
        <f t="shared" si="17"/>
        <v>2062245.9856800002</v>
      </c>
      <c r="L42" s="782">
        <f t="shared" si="17"/>
        <v>2109612.8777944003</v>
      </c>
      <c r="M42" s="43"/>
      <c r="N42" s="353"/>
    </row>
    <row r="43" spans="1:14" s="33" customFormat="1" ht="14.4" outlineLevel="1">
      <c r="A43" s="356">
        <f>ROW()</f>
        <v>43</v>
      </c>
      <c r="B43" s="192" t="s">
        <v>682</v>
      </c>
      <c r="F43" s="138">
        <f>+F42-F41</f>
        <v>0</v>
      </c>
      <c r="G43" s="138">
        <f>+G42-G41</f>
        <v>0</v>
      </c>
      <c r="H43" s="138">
        <f t="shared" ref="H43:L43" si="18">+H42-H41</f>
        <v>0</v>
      </c>
      <c r="I43" s="138">
        <f t="shared" si="18"/>
        <v>0</v>
      </c>
      <c r="J43" s="138">
        <f t="shared" si="18"/>
        <v>0</v>
      </c>
      <c r="K43" s="138">
        <f t="shared" si="18"/>
        <v>0</v>
      </c>
      <c r="L43" s="138">
        <f t="shared" si="18"/>
        <v>0</v>
      </c>
      <c r="M43" s="48"/>
      <c r="N43" s="353"/>
    </row>
    <row r="44" spans="1:14" s="33" customFormat="1" outlineLevel="1">
      <c r="A44" s="356">
        <f>ROW()</f>
        <v>44</v>
      </c>
      <c r="F44" s="138"/>
      <c r="G44" s="138"/>
      <c r="H44" s="138"/>
      <c r="I44" s="138"/>
      <c r="J44" s="138"/>
      <c r="K44" s="138"/>
      <c r="L44" s="138"/>
      <c r="M44" s="48"/>
      <c r="N44" s="353"/>
    </row>
    <row r="45" spans="1:14" s="33" customFormat="1" outlineLevel="1">
      <c r="A45" s="356">
        <f>ROW()</f>
        <v>45</v>
      </c>
      <c r="B45" s="488" t="s">
        <v>683</v>
      </c>
      <c r="C45" s="35"/>
      <c r="D45" s="35"/>
      <c r="E45" s="35"/>
      <c r="F45" s="35"/>
      <c r="G45" s="57">
        <f t="shared" ref="G45:L45" si="19">+G23/12</f>
        <v>46787.416666666664</v>
      </c>
      <c r="H45" s="57">
        <f t="shared" si="19"/>
        <v>48191.039166666676</v>
      </c>
      <c r="I45" s="57">
        <f t="shared" si="19"/>
        <v>54538.046864546668</v>
      </c>
      <c r="J45" s="57">
        <f t="shared" si="19"/>
        <v>61222.503089049475</v>
      </c>
      <c r="K45" s="57">
        <f t="shared" si="19"/>
        <v>63059.178181720956</v>
      </c>
      <c r="L45" s="57">
        <f t="shared" si="19"/>
        <v>64950.953527172591</v>
      </c>
      <c r="M45" s="48"/>
      <c r="N45" s="353"/>
    </row>
    <row r="46" spans="1:14" s="33" customFormat="1" outlineLevel="1">
      <c r="A46" s="356">
        <f>ROW()</f>
        <v>46</v>
      </c>
      <c r="B46" s="46" t="s">
        <v>684</v>
      </c>
      <c r="C46" s="35"/>
      <c r="D46" s="35"/>
      <c r="E46" s="35"/>
      <c r="F46" s="35"/>
      <c r="G46" s="52">
        <f t="shared" ref="G46:L48" si="20">+G25/12</f>
        <v>5104.166666666667</v>
      </c>
      <c r="H46" s="52">
        <f t="shared" si="20"/>
        <v>5257.291666666667</v>
      </c>
      <c r="I46" s="52">
        <f t="shared" si="20"/>
        <v>5944.6566666666668</v>
      </c>
      <c r="J46" s="52">
        <f t="shared" si="20"/>
        <v>6662.2616666666663</v>
      </c>
      <c r="K46" s="52">
        <f t="shared" si="20"/>
        <v>6845.626666666667</v>
      </c>
      <c r="L46" s="52">
        <f t="shared" si="20"/>
        <v>7028.9916666666659</v>
      </c>
      <c r="M46" s="48"/>
      <c r="N46" s="353"/>
    </row>
    <row r="47" spans="1:14" s="33" customFormat="1" outlineLevel="1">
      <c r="A47" s="356">
        <f>ROW()</f>
        <v>47</v>
      </c>
      <c r="B47" s="46" t="s">
        <v>685</v>
      </c>
      <c r="C47" s="35"/>
      <c r="D47" s="35"/>
      <c r="E47" s="35"/>
      <c r="F47" s="35"/>
      <c r="G47" s="52">
        <f t="shared" si="20"/>
        <v>5833.333333333333</v>
      </c>
      <c r="H47" s="52">
        <f t="shared" si="20"/>
        <v>6008.333333333333</v>
      </c>
      <c r="I47" s="52">
        <f t="shared" si="20"/>
        <v>6793.8933333333334</v>
      </c>
      <c r="J47" s="52">
        <f t="shared" si="20"/>
        <v>7614.0133333333333</v>
      </c>
      <c r="K47" s="52">
        <f t="shared" si="20"/>
        <v>7823.5733333333337</v>
      </c>
      <c r="L47" s="52">
        <f t="shared" si="20"/>
        <v>8033.1333333333323</v>
      </c>
      <c r="M47" s="48"/>
      <c r="N47" s="353"/>
    </row>
    <row r="48" spans="1:14" s="33" customFormat="1" outlineLevel="1">
      <c r="A48" s="356">
        <f>ROW()</f>
        <v>48</v>
      </c>
      <c r="B48" s="46" t="s">
        <v>686</v>
      </c>
      <c r="C48" s="35"/>
      <c r="D48" s="35"/>
      <c r="E48" s="35"/>
      <c r="F48" s="35"/>
      <c r="G48" s="52">
        <f t="shared" si="20"/>
        <v>0</v>
      </c>
      <c r="H48" s="52">
        <f t="shared" si="20"/>
        <v>0</v>
      </c>
      <c r="I48" s="52">
        <f t="shared" si="20"/>
        <v>0</v>
      </c>
      <c r="J48" s="52">
        <f t="shared" si="20"/>
        <v>0</v>
      </c>
      <c r="K48" s="52">
        <f t="shared" si="20"/>
        <v>0</v>
      </c>
      <c r="L48" s="52">
        <f t="shared" si="20"/>
        <v>0</v>
      </c>
      <c r="M48" s="48"/>
      <c r="N48" s="353"/>
    </row>
    <row r="49" spans="1:14" s="33" customFormat="1" outlineLevel="1">
      <c r="A49" s="356">
        <f>ROW()</f>
        <v>49</v>
      </c>
      <c r="B49" s="46" t="s">
        <v>669</v>
      </c>
      <c r="C49" s="35"/>
      <c r="D49" s="35"/>
      <c r="E49" s="35"/>
      <c r="F49" s="35"/>
      <c r="G49" s="52">
        <f t="shared" ref="G49:L49" si="21">+G29/12</f>
        <v>0</v>
      </c>
      <c r="H49" s="52">
        <f t="shared" si="21"/>
        <v>0</v>
      </c>
      <c r="I49" s="52">
        <f t="shared" si="21"/>
        <v>0</v>
      </c>
      <c r="J49" s="52">
        <f t="shared" si="21"/>
        <v>0</v>
      </c>
      <c r="K49" s="52">
        <f t="shared" si="21"/>
        <v>0</v>
      </c>
      <c r="L49" s="52">
        <f t="shared" si="21"/>
        <v>0</v>
      </c>
      <c r="M49" s="48"/>
      <c r="N49" s="353"/>
    </row>
    <row r="50" spans="1:14" s="33" customFormat="1" outlineLevel="1">
      <c r="A50" s="356">
        <f>ROW()</f>
        <v>50</v>
      </c>
      <c r="M50" s="48"/>
      <c r="N50" s="353"/>
    </row>
    <row r="51" spans="1:14" s="33" customFormat="1" outlineLevel="1">
      <c r="A51" s="356">
        <f>ROW()</f>
        <v>51</v>
      </c>
      <c r="B51" s="35" t="s">
        <v>687</v>
      </c>
      <c r="C51" s="33" t="s">
        <v>688</v>
      </c>
      <c r="G51" s="49"/>
      <c r="H51" s="49"/>
      <c r="I51" s="49"/>
      <c r="J51" s="49"/>
      <c r="K51" s="49"/>
      <c r="L51" s="49"/>
      <c r="M51" s="48"/>
      <c r="N51" s="353"/>
    </row>
    <row r="52" spans="1:14" s="33" customFormat="1" outlineLevel="1">
      <c r="A52" s="356">
        <f>ROW()</f>
        <v>52</v>
      </c>
      <c r="B52" s="33" t="s">
        <v>689</v>
      </c>
      <c r="G52" s="49"/>
      <c r="H52" s="49"/>
      <c r="I52" s="49"/>
      <c r="J52" s="49"/>
      <c r="K52" s="49"/>
      <c r="L52" s="49"/>
      <c r="M52" s="48"/>
      <c r="N52" s="353"/>
    </row>
    <row r="53" spans="1:14" s="33" customFormat="1" outlineLevel="1">
      <c r="A53" s="356">
        <f>ROW()</f>
        <v>53</v>
      </c>
      <c r="G53" s="49"/>
      <c r="H53" s="49"/>
      <c r="I53" s="49"/>
      <c r="J53" s="49"/>
      <c r="K53" s="49"/>
      <c r="L53" s="49"/>
      <c r="M53" s="48"/>
      <c r="N53" s="353"/>
    </row>
    <row r="54" spans="1:14" ht="15" customHeight="1" outlineLevel="1">
      <c r="A54" s="356">
        <f>ROW()</f>
        <v>54</v>
      </c>
      <c r="B54" s="245" t="s">
        <v>690</v>
      </c>
      <c r="C54" s="247"/>
      <c r="D54" s="246"/>
      <c r="E54" s="33"/>
      <c r="G54" s="50"/>
      <c r="H54" s="34"/>
      <c r="I54" s="34"/>
      <c r="J54" s="34"/>
      <c r="K54" s="34"/>
      <c r="L54" s="34"/>
      <c r="M54" s="43"/>
      <c r="N54" s="353"/>
    </row>
    <row r="55" spans="1:14" ht="15" customHeight="1" outlineLevel="1">
      <c r="A55" s="356">
        <f>ROW()</f>
        <v>55</v>
      </c>
      <c r="B55" s="35" t="s">
        <v>691</v>
      </c>
      <c r="C55" s="863">
        <v>2.5</v>
      </c>
      <c r="D55" s="317"/>
      <c r="E55" s="317" t="s">
        <v>692</v>
      </c>
      <c r="F55" s="317"/>
      <c r="G55" s="860">
        <v>0</v>
      </c>
      <c r="H55" s="35" t="s">
        <v>693</v>
      </c>
      <c r="M55" s="43"/>
      <c r="N55" s="353"/>
    </row>
    <row r="56" spans="1:14" ht="15" customHeight="1" outlineLevel="1">
      <c r="A56" s="356">
        <f>ROW()</f>
        <v>56</v>
      </c>
      <c r="B56" s="35" t="s">
        <v>694</v>
      </c>
      <c r="C56" s="858">
        <v>0</v>
      </c>
      <c r="D56" s="317" t="s">
        <v>664</v>
      </c>
      <c r="E56" s="317" t="s">
        <v>695</v>
      </c>
      <c r="F56" s="317"/>
      <c r="G56" s="1691">
        <f>C60*(1-G55)</f>
        <v>0</v>
      </c>
      <c r="I56" s="51"/>
      <c r="J56" s="51"/>
      <c r="K56" s="51"/>
      <c r="L56" s="51"/>
      <c r="M56" s="43"/>
      <c r="N56" s="353"/>
    </row>
    <row r="57" spans="1:14" ht="15" customHeight="1" outlineLevel="1">
      <c r="A57" s="356">
        <f>ROW()</f>
        <v>57</v>
      </c>
      <c r="B57" s="35" t="s">
        <v>696</v>
      </c>
      <c r="C57" s="1692">
        <f>C55*C56</f>
        <v>0</v>
      </c>
      <c r="D57" s="317"/>
      <c r="E57" s="317" t="s">
        <v>697</v>
      </c>
      <c r="F57" s="317"/>
      <c r="G57" s="862">
        <v>0</v>
      </c>
      <c r="H57" s="44"/>
      <c r="M57" s="43"/>
      <c r="N57" s="353"/>
    </row>
    <row r="58" spans="1:14" ht="15" customHeight="1" outlineLevel="1">
      <c r="A58" s="356">
        <f>ROW()</f>
        <v>58</v>
      </c>
      <c r="B58" s="35" t="s">
        <v>698</v>
      </c>
      <c r="C58" s="858">
        <v>0</v>
      </c>
      <c r="D58" s="317" t="s">
        <v>664</v>
      </c>
      <c r="E58" s="317" t="s">
        <v>699</v>
      </c>
      <c r="F58" s="317"/>
      <c r="G58" s="862">
        <v>0</v>
      </c>
      <c r="H58" s="44"/>
      <c r="M58" s="43"/>
      <c r="N58" s="353"/>
    </row>
    <row r="59" spans="1:14" ht="15" customHeight="1" outlineLevel="1">
      <c r="A59" s="356">
        <f>ROW()</f>
        <v>59</v>
      </c>
      <c r="B59" s="35" t="s">
        <v>700</v>
      </c>
      <c r="C59" s="1693">
        <f>C55*C58</f>
        <v>0</v>
      </c>
      <c r="D59" s="317"/>
      <c r="E59" s="317" t="s">
        <v>701</v>
      </c>
      <c r="F59" s="317"/>
      <c r="G59" s="861">
        <v>0</v>
      </c>
      <c r="M59" s="43"/>
      <c r="N59" s="353"/>
    </row>
    <row r="60" spans="1:14" ht="15" customHeight="1" outlineLevel="1">
      <c r="A60" s="356">
        <f>ROW()</f>
        <v>60</v>
      </c>
      <c r="B60" s="33" t="s">
        <v>702</v>
      </c>
      <c r="C60" s="1691">
        <f>C57+C59</f>
        <v>0</v>
      </c>
      <c r="D60" s="317"/>
      <c r="E60" s="317"/>
      <c r="F60" s="317"/>
      <c r="G60" s="317"/>
      <c r="M60" s="43"/>
      <c r="N60" s="353"/>
    </row>
    <row r="61" spans="1:14" ht="15" customHeight="1" outlineLevel="1">
      <c r="A61" s="356">
        <f>ROW()</f>
        <v>61</v>
      </c>
      <c r="B61" s="35" t="s">
        <v>703</v>
      </c>
      <c r="C61" s="317"/>
      <c r="D61" s="1694">
        <f>IFERROR(-PMT(G59/12,G57*12,G56,0,1),0)</f>
        <v>0</v>
      </c>
      <c r="E61" s="317"/>
      <c r="F61" s="317"/>
      <c r="G61" s="317"/>
      <c r="H61" s="44"/>
      <c r="I61" s="44"/>
      <c r="J61" s="44"/>
      <c r="K61" s="44"/>
      <c r="L61" s="44"/>
      <c r="M61" s="43"/>
      <c r="N61" s="353"/>
    </row>
    <row r="62" spans="1:14" ht="15" customHeight="1" outlineLevel="1">
      <c r="A62" s="356">
        <f>ROW()</f>
        <v>62</v>
      </c>
      <c r="B62" s="35" t="s">
        <v>704</v>
      </c>
      <c r="C62" s="317"/>
      <c r="D62" s="1691">
        <f>D61*12</f>
        <v>0</v>
      </c>
      <c r="E62" s="1695"/>
      <c r="F62" s="1695"/>
      <c r="G62" s="1696">
        <f>+D62</f>
        <v>0</v>
      </c>
      <c r="H62" s="250">
        <f>IF(H7-$G$7&lt;$G$57,$D$62,0)</f>
        <v>0</v>
      </c>
      <c r="I62" s="250">
        <f>IF(I7-$G$7&lt;$G$57,$D$62,0)</f>
        <v>0</v>
      </c>
      <c r="J62" s="250">
        <f>IF(J7-$G$7&lt;$G$57,$D$62,0)</f>
        <v>0</v>
      </c>
      <c r="K62" s="250">
        <f>IF(K7-$G$7&lt;$G$57,$D$62,0)</f>
        <v>0</v>
      </c>
      <c r="L62" s="250">
        <f>IF(L7-$G$7&lt;$G$57,$D$62,0)</f>
        <v>0</v>
      </c>
      <c r="M62" s="43"/>
      <c r="N62" s="353"/>
    </row>
    <row r="63" spans="1:14" ht="15" customHeight="1" outlineLevel="1">
      <c r="A63" s="356">
        <f>ROW()</f>
        <v>63</v>
      </c>
      <c r="B63" s="35" t="s">
        <v>705</v>
      </c>
      <c r="C63" s="317"/>
      <c r="D63" s="1691">
        <f>IFERROR((-PV(0.02,G57,0,((D62*G57)-G56),0))/G57,0)</f>
        <v>0</v>
      </c>
      <c r="E63" s="1695"/>
      <c r="F63" s="1695"/>
      <c r="G63" s="1697">
        <f>$D$63</f>
        <v>0</v>
      </c>
      <c r="H63" s="251">
        <f>IF(H7-$G$7&lt;$G$57,$D$63,0)</f>
        <v>0</v>
      </c>
      <c r="I63" s="251">
        <f>IF(I7-$G$7&lt;$G$57,$D$63,0)</f>
        <v>0</v>
      </c>
      <c r="J63" s="251">
        <f>IF(J7-$G$7&lt;$G$57,$D$63,0)</f>
        <v>0</v>
      </c>
      <c r="K63" s="251">
        <f>IF(K7-$G$7&lt;$G$57,$D$63,0)</f>
        <v>0</v>
      </c>
      <c r="L63" s="251">
        <f>IF(L7-$G$7&lt;$G$57,$D$63,0)</f>
        <v>0</v>
      </c>
      <c r="M63" s="43"/>
      <c r="N63" s="353"/>
    </row>
    <row r="64" spans="1:14" ht="15" customHeight="1" outlineLevel="1">
      <c r="A64" s="356">
        <f>ROW()</f>
        <v>64</v>
      </c>
      <c r="B64" s="35" t="s">
        <v>706</v>
      </c>
      <c r="C64" s="317"/>
      <c r="D64" s="317"/>
      <c r="E64" s="317"/>
      <c r="F64" s="317"/>
      <c r="G64" s="1625"/>
      <c r="H64" s="53"/>
      <c r="I64" s="53"/>
      <c r="J64" s="53"/>
      <c r="K64" s="53"/>
      <c r="L64" s="53"/>
      <c r="M64" s="43"/>
      <c r="N64" s="353"/>
    </row>
    <row r="65" spans="1:14" ht="15" customHeight="1" outlineLevel="1">
      <c r="A65" s="356">
        <f>ROW()</f>
        <v>65</v>
      </c>
      <c r="B65" s="35" t="s">
        <v>707</v>
      </c>
      <c r="C65" s="858">
        <v>0</v>
      </c>
      <c r="D65" s="317" t="s">
        <v>664</v>
      </c>
      <c r="E65" s="317"/>
      <c r="F65" s="317"/>
      <c r="G65" s="1649">
        <f t="shared" ref="G65:L65" si="22">$C$65*$C$55</f>
        <v>0</v>
      </c>
      <c r="H65" s="146">
        <f t="shared" si="22"/>
        <v>0</v>
      </c>
      <c r="I65" s="146">
        <f t="shared" si="22"/>
        <v>0</v>
      </c>
      <c r="J65" s="146">
        <f t="shared" si="22"/>
        <v>0</v>
      </c>
      <c r="K65" s="146">
        <f t="shared" si="22"/>
        <v>0</v>
      </c>
      <c r="L65" s="146">
        <f t="shared" si="22"/>
        <v>0</v>
      </c>
      <c r="M65" s="43"/>
      <c r="N65" s="353"/>
    </row>
    <row r="66" spans="1:14" ht="15" customHeight="1" outlineLevel="1">
      <c r="A66" s="356">
        <f>ROW()</f>
        <v>66</v>
      </c>
      <c r="B66" s="35" t="s">
        <v>381</v>
      </c>
      <c r="C66" s="858">
        <v>0</v>
      </c>
      <c r="D66" s="317" t="s">
        <v>664</v>
      </c>
      <c r="E66" s="317"/>
      <c r="F66" s="317"/>
      <c r="G66" s="1649">
        <f t="shared" ref="G66:L66" si="23">$C$66*$C$55</f>
        <v>0</v>
      </c>
      <c r="H66" s="146">
        <f t="shared" si="23"/>
        <v>0</v>
      </c>
      <c r="I66" s="146">
        <f t="shared" si="23"/>
        <v>0</v>
      </c>
      <c r="J66" s="146">
        <f t="shared" si="23"/>
        <v>0</v>
      </c>
      <c r="K66" s="146">
        <f t="shared" si="23"/>
        <v>0</v>
      </c>
      <c r="L66" s="146">
        <f t="shared" si="23"/>
        <v>0</v>
      </c>
      <c r="M66" s="43"/>
      <c r="N66" s="353"/>
    </row>
    <row r="67" spans="1:14" ht="15" customHeight="1" outlineLevel="1">
      <c r="A67" s="356">
        <f>ROW()</f>
        <v>67</v>
      </c>
      <c r="B67" s="35" t="s">
        <v>673</v>
      </c>
      <c r="C67" s="858">
        <v>0</v>
      </c>
      <c r="D67" s="317" t="s">
        <v>664</v>
      </c>
      <c r="E67" s="317"/>
      <c r="F67" s="317"/>
      <c r="G67" s="1649">
        <f t="shared" ref="G67:L67" si="24">$C$67*$C$55</f>
        <v>0</v>
      </c>
      <c r="H67" s="146">
        <f t="shared" si="24"/>
        <v>0</v>
      </c>
      <c r="I67" s="146">
        <f t="shared" si="24"/>
        <v>0</v>
      </c>
      <c r="J67" s="146">
        <f t="shared" si="24"/>
        <v>0</v>
      </c>
      <c r="K67" s="146">
        <f t="shared" si="24"/>
        <v>0</v>
      </c>
      <c r="L67" s="146">
        <f t="shared" si="24"/>
        <v>0</v>
      </c>
      <c r="M67" s="43"/>
      <c r="N67" s="353"/>
    </row>
    <row r="68" spans="1:14" ht="15" customHeight="1" outlineLevel="1">
      <c r="A68" s="356">
        <f>ROW()</f>
        <v>68</v>
      </c>
      <c r="B68" s="35" t="s">
        <v>669</v>
      </c>
      <c r="C68" s="858">
        <v>0</v>
      </c>
      <c r="D68" s="317" t="s">
        <v>423</v>
      </c>
      <c r="E68" s="317"/>
      <c r="F68" s="317"/>
      <c r="G68" s="1649">
        <f t="shared" ref="G68:L68" si="25">$C$68</f>
        <v>0</v>
      </c>
      <c r="H68" s="146">
        <f t="shared" si="25"/>
        <v>0</v>
      </c>
      <c r="I68" s="146">
        <f t="shared" si="25"/>
        <v>0</v>
      </c>
      <c r="J68" s="146">
        <f t="shared" si="25"/>
        <v>0</v>
      </c>
      <c r="K68" s="146">
        <f t="shared" si="25"/>
        <v>0</v>
      </c>
      <c r="L68" s="146">
        <f t="shared" si="25"/>
        <v>0</v>
      </c>
      <c r="M68" s="43"/>
      <c r="N68" s="353"/>
    </row>
    <row r="69" spans="1:14" ht="15" customHeight="1" outlineLevel="1">
      <c r="A69" s="356">
        <f>ROW()</f>
        <v>69</v>
      </c>
      <c r="B69" s="35" t="s">
        <v>708</v>
      </c>
      <c r="G69" s="146">
        <f>C57*G55</f>
        <v>0</v>
      </c>
      <c r="H69" s="146"/>
      <c r="I69" s="146"/>
      <c r="J69" s="146"/>
      <c r="K69" s="146"/>
      <c r="L69" s="146"/>
      <c r="M69" s="43"/>
      <c r="N69" s="353"/>
    </row>
    <row r="70" spans="1:14" ht="15" customHeight="1" outlineLevel="1">
      <c r="A70" s="356">
        <f>ROW()</f>
        <v>70</v>
      </c>
      <c r="B70" s="35" t="s">
        <v>709</v>
      </c>
      <c r="G70" s="146"/>
      <c r="H70" s="146"/>
      <c r="I70" s="146"/>
      <c r="J70" s="146"/>
      <c r="K70" s="146"/>
      <c r="L70" s="146"/>
      <c r="M70" s="43"/>
      <c r="N70" s="353"/>
    </row>
    <row r="71" spans="1:14" ht="15" customHeight="1" outlineLevel="1">
      <c r="A71" s="356">
        <f>ROW()</f>
        <v>71</v>
      </c>
      <c r="B71" s="135" t="s">
        <v>710</v>
      </c>
      <c r="C71" s="135"/>
      <c r="D71" s="135"/>
      <c r="E71" s="135"/>
      <c r="F71" s="1353"/>
      <c r="G71" s="674">
        <f t="shared" ref="G71:L71" si="26">SUM(G62:G70)-G63</f>
        <v>0</v>
      </c>
      <c r="H71" s="674">
        <f t="shared" si="26"/>
        <v>0</v>
      </c>
      <c r="I71" s="674">
        <f t="shared" si="26"/>
        <v>0</v>
      </c>
      <c r="J71" s="674">
        <f t="shared" si="26"/>
        <v>0</v>
      </c>
      <c r="K71" s="674">
        <f t="shared" si="26"/>
        <v>0</v>
      </c>
      <c r="L71" s="674">
        <f t="shared" si="26"/>
        <v>0</v>
      </c>
      <c r="M71" s="43"/>
      <c r="N71" s="353"/>
    </row>
    <row r="72" spans="1:14" ht="15" customHeight="1" outlineLevel="1">
      <c r="A72" s="356">
        <f>ROW()</f>
        <v>72</v>
      </c>
      <c r="B72" s="33" t="s">
        <v>711</v>
      </c>
      <c r="C72" s="33"/>
      <c r="D72" s="33"/>
      <c r="E72" s="33"/>
      <c r="F72" s="163"/>
      <c r="G72" s="537">
        <f t="shared" ref="G72:L72" si="27">(($C$57+$C$59)/50)+G65+G66+G67+G68</f>
        <v>0</v>
      </c>
      <c r="H72" s="537">
        <f t="shared" si="27"/>
        <v>0</v>
      </c>
      <c r="I72" s="537">
        <f t="shared" si="27"/>
        <v>0</v>
      </c>
      <c r="J72" s="537">
        <f t="shared" si="27"/>
        <v>0</v>
      </c>
      <c r="K72" s="537">
        <f t="shared" si="27"/>
        <v>0</v>
      </c>
      <c r="L72" s="537">
        <f t="shared" si="27"/>
        <v>0</v>
      </c>
      <c r="M72" s="43"/>
      <c r="N72" s="353"/>
    </row>
    <row r="73" spans="1:14" outlineLevel="1">
      <c r="A73" s="356">
        <f>ROW()</f>
        <v>73</v>
      </c>
      <c r="G73" s="533"/>
      <c r="H73" s="538"/>
      <c r="I73" s="538"/>
      <c r="J73" s="538"/>
      <c r="K73" s="538"/>
      <c r="L73" s="538"/>
      <c r="M73" s="43"/>
      <c r="N73" s="353"/>
    </row>
    <row r="74" spans="1:14" outlineLevel="1">
      <c r="A74" s="356">
        <f>ROW()</f>
        <v>74</v>
      </c>
      <c r="B74" s="553" t="s">
        <v>712</v>
      </c>
      <c r="C74" s="554"/>
      <c r="D74" s="554"/>
      <c r="E74" s="555">
        <f>SUM(F74:L74)</f>
        <v>10260761.799474401</v>
      </c>
      <c r="F74" s="556">
        <f t="shared" ref="F74:L75" si="28">IF($C$7="Lease",F41,F71)</f>
        <v>2879.9999999999995</v>
      </c>
      <c r="G74" s="556">
        <f t="shared" si="28"/>
        <v>738199</v>
      </c>
      <c r="H74" s="556">
        <f t="shared" si="28"/>
        <v>1470132.5</v>
      </c>
      <c r="I74" s="556">
        <f t="shared" si="28"/>
        <v>1862034.2800000003</v>
      </c>
      <c r="J74" s="556">
        <f t="shared" si="28"/>
        <v>2015657.156</v>
      </c>
      <c r="K74" s="556">
        <f t="shared" si="28"/>
        <v>2062245.9856800002</v>
      </c>
      <c r="L74" s="556">
        <f t="shared" si="28"/>
        <v>2109612.8777944003</v>
      </c>
      <c r="M74" s="43"/>
      <c r="N74" s="353"/>
    </row>
    <row r="75" spans="1:14" outlineLevel="1">
      <c r="A75" s="356">
        <f>ROW()</f>
        <v>75</v>
      </c>
      <c r="B75" s="548" t="s">
        <v>713</v>
      </c>
      <c r="C75" s="549"/>
      <c r="D75" s="549"/>
      <c r="E75" s="550">
        <f>SUM(F75:L75)</f>
        <v>10260761.799474401</v>
      </c>
      <c r="F75" s="552">
        <f t="shared" si="28"/>
        <v>2879.9999999999995</v>
      </c>
      <c r="G75" s="552">
        <f t="shared" si="28"/>
        <v>738199</v>
      </c>
      <c r="H75" s="551">
        <f t="shared" si="28"/>
        <v>1470132.5</v>
      </c>
      <c r="I75" s="551">
        <f t="shared" si="28"/>
        <v>1862034.2800000003</v>
      </c>
      <c r="J75" s="551">
        <f t="shared" si="28"/>
        <v>2015657.156</v>
      </c>
      <c r="K75" s="551">
        <f t="shared" si="28"/>
        <v>2062245.9856800002</v>
      </c>
      <c r="L75" s="551">
        <f t="shared" si="28"/>
        <v>2109612.8777944003</v>
      </c>
      <c r="M75" s="43"/>
      <c r="N75" s="353"/>
    </row>
    <row r="76" spans="1:14">
      <c r="A76" s="356">
        <f>ROW()</f>
        <v>76</v>
      </c>
      <c r="B76" s="553" t="str">
        <f>IF(C7="Lease",$B$42,B75)</f>
        <v>Total lease book expense (shown on Summary tab)</v>
      </c>
      <c r="C76" s="554"/>
      <c r="D76" s="554"/>
      <c r="E76" s="771">
        <f>SUM(F76:L76)</f>
        <v>10260761.799474401</v>
      </c>
      <c r="F76" s="556">
        <f t="shared" ref="F76:L76" si="29">IF($C$7="Lease",F42,F72)</f>
        <v>2879.9999999999995</v>
      </c>
      <c r="G76" s="556">
        <f t="shared" si="29"/>
        <v>738199</v>
      </c>
      <c r="H76" s="556">
        <f t="shared" si="29"/>
        <v>1470132.5</v>
      </c>
      <c r="I76" s="556">
        <f t="shared" si="29"/>
        <v>1862034.2800000003</v>
      </c>
      <c r="J76" s="556">
        <f t="shared" si="29"/>
        <v>2015657.156</v>
      </c>
      <c r="K76" s="556">
        <f t="shared" si="29"/>
        <v>2062245.9856800002</v>
      </c>
      <c r="L76" s="556">
        <f t="shared" si="29"/>
        <v>2109612.8777944003</v>
      </c>
      <c r="M76" s="43"/>
      <c r="N76" s="353"/>
    </row>
    <row r="77" spans="1:14">
      <c r="A77" s="356">
        <f>ROW()</f>
        <v>77</v>
      </c>
      <c r="B77" s="35" t="s">
        <v>714</v>
      </c>
      <c r="E77" s="533"/>
      <c r="F77" s="539">
        <f t="shared" ref="F77:L77" si="30">+F76-F74</f>
        <v>0</v>
      </c>
      <c r="G77" s="539">
        <f t="shared" si="30"/>
        <v>0</v>
      </c>
      <c r="H77" s="539">
        <f t="shared" si="30"/>
        <v>0</v>
      </c>
      <c r="I77" s="539">
        <f t="shared" si="30"/>
        <v>0</v>
      </c>
      <c r="J77" s="539">
        <f t="shared" si="30"/>
        <v>0</v>
      </c>
      <c r="K77" s="539">
        <f t="shared" si="30"/>
        <v>0</v>
      </c>
      <c r="L77" s="539">
        <f t="shared" si="30"/>
        <v>0</v>
      </c>
      <c r="N77" s="353"/>
    </row>
    <row r="78" spans="1:14">
      <c r="A78" s="356">
        <f>ROW()</f>
        <v>78</v>
      </c>
      <c r="F78" s="188"/>
      <c r="G78" s="188"/>
      <c r="H78" s="188"/>
      <c r="I78" s="188"/>
      <c r="J78" s="188"/>
      <c r="K78" s="188"/>
      <c r="L78" s="188"/>
      <c r="N78" s="353"/>
    </row>
    <row r="79" spans="1:14">
      <c r="A79" s="356">
        <f>ROW()</f>
        <v>79</v>
      </c>
      <c r="F79" s="59" t="str">
        <f>Levers!C6</f>
        <v>SY 0/Incu</v>
      </c>
      <c r="G79" s="546">
        <f>Levers!D6</f>
        <v>1</v>
      </c>
      <c r="H79" s="546">
        <f>Levers!E6</f>
        <v>2</v>
      </c>
      <c r="I79" s="546">
        <f>Levers!F6</f>
        <v>3</v>
      </c>
      <c r="J79" s="546">
        <f>Levers!G6</f>
        <v>4</v>
      </c>
      <c r="K79" s="546">
        <f>Levers!H6</f>
        <v>5</v>
      </c>
      <c r="L79" s="546">
        <f>Levers!I6</f>
        <v>6</v>
      </c>
      <c r="N79" s="353"/>
    </row>
    <row r="80" spans="1:14" ht="15.6">
      <c r="A80" s="356">
        <f>ROW()</f>
        <v>80</v>
      </c>
      <c r="F80" s="772">
        <f>Levers!C7</f>
        <v>2022</v>
      </c>
      <c r="G80" s="773">
        <f>Levers!D7</f>
        <v>2023</v>
      </c>
      <c r="H80" s="774">
        <f>Levers!E7</f>
        <v>2024</v>
      </c>
      <c r="I80" s="774">
        <f>Levers!F7</f>
        <v>2025</v>
      </c>
      <c r="J80" s="774">
        <f>Levers!G7</f>
        <v>2026</v>
      </c>
      <c r="K80" s="774">
        <f>Levers!H7</f>
        <v>2027</v>
      </c>
      <c r="L80" s="775">
        <f>Levers!I7</f>
        <v>2028</v>
      </c>
      <c r="N80" s="353"/>
    </row>
    <row r="81" spans="1:14" ht="15.6">
      <c r="A81" s="356">
        <f>ROW()</f>
        <v>81</v>
      </c>
      <c r="B81" s="302"/>
      <c r="E81" s="545" t="str">
        <f>Levers!B8</f>
        <v>Totals</v>
      </c>
      <c r="F81" s="776">
        <f>Levers!C8</f>
        <v>2023</v>
      </c>
      <c r="G81" s="777">
        <f>Levers!D8</f>
        <v>2024</v>
      </c>
      <c r="H81" s="778">
        <f>Levers!E8</f>
        <v>2025</v>
      </c>
      <c r="I81" s="778">
        <f>Levers!F8</f>
        <v>2026</v>
      </c>
      <c r="J81" s="778">
        <f>Levers!G8</f>
        <v>2027</v>
      </c>
      <c r="K81" s="778">
        <f>Levers!H8</f>
        <v>2028</v>
      </c>
      <c r="L81" s="779">
        <f>Levers!I8</f>
        <v>2029</v>
      </c>
      <c r="N81" s="353"/>
    </row>
    <row r="82" spans="1:14" ht="15.6">
      <c r="A82" s="356">
        <f>ROW()</f>
        <v>82</v>
      </c>
      <c r="B82" s="511" t="str">
        <f>Levers!A9</f>
        <v>Total Enrollment</v>
      </c>
      <c r="E82" s="780">
        <f>Levers!B9</f>
        <v>4617</v>
      </c>
      <c r="F82" s="781" t="str">
        <f>Levers!C9</f>
        <v xml:space="preserve"> </v>
      </c>
      <c r="G82" s="780">
        <f>Levers!D9</f>
        <v>540</v>
      </c>
      <c r="H82" s="780">
        <f>Levers!E9</f>
        <v>648</v>
      </c>
      <c r="I82" s="780">
        <f>Levers!F9</f>
        <v>756</v>
      </c>
      <c r="J82" s="780">
        <f>Levers!G9</f>
        <v>864</v>
      </c>
      <c r="K82" s="780">
        <f>Levers!H9</f>
        <v>891</v>
      </c>
      <c r="L82" s="780">
        <f>Levers!I9</f>
        <v>918</v>
      </c>
      <c r="N82" s="353"/>
    </row>
    <row r="83" spans="1:14" ht="15.6">
      <c r="A83" s="356">
        <f>ROW()</f>
        <v>83</v>
      </c>
      <c r="B83" s="512" t="str">
        <f>Levers!A10</f>
        <v>Total Revenue</v>
      </c>
      <c r="E83" s="494">
        <f>Levers!B10</f>
        <v>50808735.680071488</v>
      </c>
      <c r="F83" s="494">
        <f>Levers!C10</f>
        <v>150000</v>
      </c>
      <c r="G83" s="494">
        <f>Levers!D10</f>
        <v>5253734.6500000004</v>
      </c>
      <c r="H83" s="494">
        <f>Levers!E10</f>
        <v>7196317.5757038658</v>
      </c>
      <c r="I83" s="494">
        <f>Levers!F10</f>
        <v>8318281.1288446411</v>
      </c>
      <c r="J83" s="494">
        <f>Levers!G10</f>
        <v>9540244.6819854137</v>
      </c>
      <c r="K83" s="494">
        <f>Levers!H10</f>
        <v>10022333.377626188</v>
      </c>
      <c r="L83" s="494">
        <f>Levers!I10</f>
        <v>10327824.26591138</v>
      </c>
      <c r="N83" s="353"/>
    </row>
    <row r="84" spans="1:14" ht="15.6">
      <c r="A84" s="356">
        <f>ROW()</f>
        <v>84</v>
      </c>
      <c r="B84" s="512" t="str">
        <f>Levers!A11</f>
        <v>Rev per student</v>
      </c>
      <c r="E84" s="494">
        <f>Levers!B11</f>
        <v>11004.707749636449</v>
      </c>
      <c r="F84" s="494"/>
      <c r="G84" s="494">
        <f>Levers!D11</f>
        <v>9729.1382407407418</v>
      </c>
      <c r="H84" s="494">
        <f>Levers!E11</f>
        <v>11105.428357567695</v>
      </c>
      <c r="I84" s="494">
        <f>Levers!F11</f>
        <v>11003.017366196615</v>
      </c>
      <c r="J84" s="494">
        <f>Levers!G11</f>
        <v>11041.949863409043</v>
      </c>
      <c r="K84" s="494">
        <f>Levers!H11</f>
        <v>11248.410075899201</v>
      </c>
      <c r="L84" s="494">
        <f>Levers!I11</f>
        <v>11250.353230840283</v>
      </c>
      <c r="N84" s="353"/>
    </row>
    <row r="85" spans="1:14" ht="15.6">
      <c r="A85" s="356">
        <f>ROW()</f>
        <v>85</v>
      </c>
      <c r="B85" s="512" t="str">
        <f>Levers!A20</f>
        <v>Total Facilities</v>
      </c>
      <c r="E85" s="494">
        <f>Levers!B20</f>
        <v>10260761.799474401</v>
      </c>
      <c r="F85" s="494">
        <f>Levers!C20</f>
        <v>2879.9999999999995</v>
      </c>
      <c r="G85" s="494">
        <f>Levers!D20</f>
        <v>738199</v>
      </c>
      <c r="H85" s="494">
        <f>Levers!E20</f>
        <v>1470132.5</v>
      </c>
      <c r="I85" s="494">
        <f>Levers!F20</f>
        <v>1862034.2800000003</v>
      </c>
      <c r="J85" s="494">
        <f>Levers!G20</f>
        <v>2015657.156</v>
      </c>
      <c r="K85" s="494">
        <f>Levers!H20</f>
        <v>2062245.9856800002</v>
      </c>
      <c r="L85" s="494">
        <f>Levers!I20</f>
        <v>2109612.8777944003</v>
      </c>
      <c r="N85" s="353"/>
    </row>
    <row r="86" spans="1:14" ht="15.6">
      <c r="A86" s="356">
        <f>ROW()</f>
        <v>86</v>
      </c>
      <c r="B86" s="512" t="str">
        <f>Levers!A21</f>
        <v>Facilities per Student</v>
      </c>
      <c r="E86" s="494">
        <f>Levers!B21</f>
        <v>2222.3872210254281</v>
      </c>
      <c r="F86" s="494"/>
      <c r="G86" s="494">
        <f>Levers!D21</f>
        <v>1367.0351851851851</v>
      </c>
      <c r="H86" s="494">
        <f>Levers!E21</f>
        <v>2268.7229938271603</v>
      </c>
      <c r="I86" s="494">
        <f>Levers!F21</f>
        <v>2463.0083068783074</v>
      </c>
      <c r="J86" s="494">
        <f>Levers!G21</f>
        <v>2332.9365231481479</v>
      </c>
      <c r="K86" s="494">
        <f>Levers!H21</f>
        <v>2314.5297257912462</v>
      </c>
      <c r="L86" s="494">
        <f>Levers!I21</f>
        <v>2298.0532437847496</v>
      </c>
      <c r="N86" s="353"/>
    </row>
    <row r="87" spans="1:14" ht="15.6">
      <c r="A87" s="356">
        <f>ROW()</f>
        <v>87</v>
      </c>
      <c r="B87" s="512" t="str">
        <f>Levers!A22</f>
        <v>Net Surplus after Facilities</v>
      </c>
      <c r="E87" s="494">
        <f>Levers!B22</f>
        <v>40547973.880597085</v>
      </c>
      <c r="F87" s="494">
        <f>Levers!C22</f>
        <v>147120</v>
      </c>
      <c r="G87" s="494">
        <f>Levers!D22</f>
        <v>4515535.6500000004</v>
      </c>
      <c r="H87" s="494">
        <f>Levers!E22</f>
        <v>5726185.0757038658</v>
      </c>
      <c r="I87" s="494">
        <f>Levers!F22</f>
        <v>6456246.8488446409</v>
      </c>
      <c r="J87" s="494">
        <f>Levers!G22</f>
        <v>7524587.5259854142</v>
      </c>
      <c r="K87" s="494">
        <f>Levers!H22</f>
        <v>7960087.3919461882</v>
      </c>
      <c r="L87" s="494">
        <f>Levers!I22</f>
        <v>8218211.38811698</v>
      </c>
      <c r="N87" s="353"/>
    </row>
    <row r="88" spans="1:14">
      <c r="A88" s="356">
        <f>ROW()</f>
        <v>88</v>
      </c>
      <c r="B88" s="35" t="str">
        <f>Levers!A23</f>
        <v>Net Surplus after Facilities per Student</v>
      </c>
      <c r="E88" s="495">
        <f>Levers!B23</f>
        <v>8782.3205286110206</v>
      </c>
      <c r="F88" s="495"/>
      <c r="G88" s="495">
        <f>Levers!D23</f>
        <v>8362.1030555555571</v>
      </c>
      <c r="H88" s="495">
        <f>Levers!E23</f>
        <v>8836.7053637405334</v>
      </c>
      <c r="I88" s="495">
        <f>Levers!F23</f>
        <v>8540.0090593183086</v>
      </c>
      <c r="J88" s="495">
        <f>Levers!G23</f>
        <v>8709.0133402608953</v>
      </c>
      <c r="K88" s="495">
        <f>Levers!H23</f>
        <v>8933.8803501079547</v>
      </c>
      <c r="L88" s="495">
        <f>Levers!I23</f>
        <v>8952.2999870555341</v>
      </c>
      <c r="N88" s="353"/>
    </row>
    <row r="89" spans="1:14">
      <c r="A89" s="356">
        <f>ROW()</f>
        <v>89</v>
      </c>
      <c r="B89" s="35" t="s">
        <v>416</v>
      </c>
      <c r="E89" s="495">
        <f>Levers!B38</f>
        <v>7701988.8619042775</v>
      </c>
      <c r="F89" s="495">
        <f>Levers!C38</f>
        <v>1495.195000000007</v>
      </c>
      <c r="G89" s="495">
        <f>Levers!D38</f>
        <v>408864.40679680783</v>
      </c>
      <c r="H89" s="495">
        <f>Levers!E38</f>
        <v>1018956.9745006727</v>
      </c>
      <c r="I89" s="495">
        <f>Levers!F38</f>
        <v>1035416.9928292485</v>
      </c>
      <c r="J89" s="495">
        <f>Levers!G38</f>
        <v>1589581.608885807</v>
      </c>
      <c r="K89" s="495">
        <f>Levers!H38</f>
        <v>1877911.2805726153</v>
      </c>
      <c r="L89" s="495">
        <f>Levers!I38</f>
        <v>1769762.4033191246</v>
      </c>
      <c r="N89" s="353"/>
    </row>
    <row r="90" spans="1:14">
      <c r="A90" s="356">
        <f>ROW()</f>
        <v>90</v>
      </c>
      <c r="B90" s="45" t="s">
        <v>417</v>
      </c>
      <c r="E90" s="495">
        <f>Levers!B39</f>
        <v>1668.1803902759968</v>
      </c>
      <c r="F90" s="495"/>
      <c r="G90" s="495">
        <f>Levers!D39</f>
        <v>757.15630888297744</v>
      </c>
      <c r="H90" s="495">
        <f>Levers!E39</f>
        <v>1572.4644668220258</v>
      </c>
      <c r="I90" s="495">
        <f>Levers!F39</f>
        <v>1369.5991968640853</v>
      </c>
      <c r="J90" s="495">
        <f>Levers!G39</f>
        <v>1839.7935288030174</v>
      </c>
      <c r="K90" s="495">
        <f>Levers!H39</f>
        <v>2107.6445348738666</v>
      </c>
      <c r="L90" s="495">
        <f>Levers!I39</f>
        <v>1927.8457552495911</v>
      </c>
      <c r="N90" s="353"/>
    </row>
    <row r="91" spans="1:14">
      <c r="A91" s="356">
        <f>ROW()</f>
        <v>91</v>
      </c>
      <c r="N91" s="353"/>
    </row>
    <row r="92" spans="1:14">
      <c r="A92" s="356">
        <f>ROW()</f>
        <v>92</v>
      </c>
      <c r="B92" s="65" t="s">
        <v>715</v>
      </c>
      <c r="C92" s="65"/>
      <c r="D92" s="65"/>
      <c r="E92" s="65"/>
      <c r="F92" s="65" t="s">
        <v>530</v>
      </c>
      <c r="G92" s="547" t="s">
        <v>716</v>
      </c>
      <c r="H92" s="547" t="s">
        <v>717</v>
      </c>
      <c r="I92" s="547" t="s">
        <v>718</v>
      </c>
      <c r="J92" s="547" t="s">
        <v>719</v>
      </c>
      <c r="K92" s="547" t="s">
        <v>720</v>
      </c>
      <c r="L92" s="547" t="s">
        <v>721</v>
      </c>
      <c r="N92" s="353"/>
    </row>
    <row r="93" spans="1:14">
      <c r="A93" s="356">
        <f>ROW()</f>
        <v>93</v>
      </c>
      <c r="B93" s="35" t="s">
        <v>722</v>
      </c>
      <c r="G93" s="52">
        <f t="shared" ref="G93:L93" si="31">IF($C$7="lease",G11,$C$55)</f>
        <v>35000</v>
      </c>
      <c r="H93" s="52">
        <f t="shared" si="31"/>
        <v>35000</v>
      </c>
      <c r="I93" s="52">
        <f t="shared" si="31"/>
        <v>38456</v>
      </c>
      <c r="J93" s="52">
        <f t="shared" si="31"/>
        <v>41912</v>
      </c>
      <c r="K93" s="52">
        <f t="shared" si="31"/>
        <v>41912</v>
      </c>
      <c r="L93" s="52">
        <f t="shared" si="31"/>
        <v>41912</v>
      </c>
      <c r="N93" s="353"/>
    </row>
    <row r="94" spans="1:14">
      <c r="A94" s="356">
        <f>ROW()</f>
        <v>94</v>
      </c>
      <c r="B94" s="12" t="s">
        <v>379</v>
      </c>
      <c r="G94" s="52">
        <f t="shared" ref="G94:L94" si="32">IF($C$7="lease",G23,G62)</f>
        <v>561449</v>
      </c>
      <c r="H94" s="52">
        <f t="shared" si="32"/>
        <v>578292.47000000009</v>
      </c>
      <c r="I94" s="52">
        <f t="shared" si="32"/>
        <v>654456.56237456005</v>
      </c>
      <c r="J94" s="52">
        <f t="shared" si="32"/>
        <v>734670.03706859367</v>
      </c>
      <c r="K94" s="52">
        <f t="shared" si="32"/>
        <v>756710.13818065147</v>
      </c>
      <c r="L94" s="52">
        <f t="shared" si="32"/>
        <v>779411.44232607109</v>
      </c>
      <c r="N94" s="353"/>
    </row>
    <row r="95" spans="1:14">
      <c r="A95" s="356">
        <f>ROW()</f>
        <v>95</v>
      </c>
      <c r="B95" s="12" t="s">
        <v>380</v>
      </c>
      <c r="G95" s="52">
        <f t="shared" ref="G95:L97" si="33">IF($C$7="lease",G25,G65)</f>
        <v>61250</v>
      </c>
      <c r="H95" s="52">
        <f t="shared" si="33"/>
        <v>63087.5</v>
      </c>
      <c r="I95" s="52">
        <f t="shared" si="33"/>
        <v>71335.88</v>
      </c>
      <c r="J95" s="52">
        <f t="shared" si="33"/>
        <v>79947.14</v>
      </c>
      <c r="K95" s="52">
        <f t="shared" si="33"/>
        <v>82147.520000000004</v>
      </c>
      <c r="L95" s="52">
        <f t="shared" si="33"/>
        <v>84347.9</v>
      </c>
      <c r="N95" s="353"/>
    </row>
    <row r="96" spans="1:14">
      <c r="A96" s="356">
        <f>ROW()</f>
        <v>96</v>
      </c>
      <c r="B96" s="12" t="s">
        <v>381</v>
      </c>
      <c r="G96" s="52">
        <f t="shared" si="33"/>
        <v>70000</v>
      </c>
      <c r="H96" s="52">
        <f t="shared" si="33"/>
        <v>72100</v>
      </c>
      <c r="I96" s="52">
        <f t="shared" si="33"/>
        <v>81526.720000000001</v>
      </c>
      <c r="J96" s="52">
        <f t="shared" si="33"/>
        <v>91368.16</v>
      </c>
      <c r="K96" s="52">
        <f t="shared" si="33"/>
        <v>93882.880000000005</v>
      </c>
      <c r="L96" s="52">
        <f t="shared" si="33"/>
        <v>96397.599999999991</v>
      </c>
      <c r="N96" s="353"/>
    </row>
    <row r="97" spans="1:14">
      <c r="A97" s="356">
        <f>ROW()</f>
        <v>97</v>
      </c>
      <c r="B97" s="123" t="s">
        <v>382</v>
      </c>
      <c r="G97" s="52">
        <f t="shared" si="33"/>
        <v>0</v>
      </c>
      <c r="H97" s="52">
        <f t="shared" si="33"/>
        <v>0</v>
      </c>
      <c r="I97" s="52">
        <f t="shared" si="33"/>
        <v>0</v>
      </c>
      <c r="J97" s="52">
        <f t="shared" si="33"/>
        <v>0</v>
      </c>
      <c r="K97" s="52">
        <f t="shared" si="33"/>
        <v>0</v>
      </c>
      <c r="L97" s="52">
        <f t="shared" si="33"/>
        <v>0</v>
      </c>
      <c r="N97" s="353"/>
    </row>
    <row r="98" spans="1:14">
      <c r="A98" s="356">
        <f>ROW()</f>
        <v>98</v>
      </c>
      <c r="B98" s="123" t="s">
        <v>383</v>
      </c>
      <c r="G98" s="52">
        <f t="shared" ref="G98:L98" si="34">IF($C$7="lease",G29,G68)</f>
        <v>0</v>
      </c>
      <c r="H98" s="52">
        <f t="shared" si="34"/>
        <v>0</v>
      </c>
      <c r="I98" s="52">
        <f t="shared" si="34"/>
        <v>0</v>
      </c>
      <c r="J98" s="52">
        <f t="shared" si="34"/>
        <v>0</v>
      </c>
      <c r="K98" s="52">
        <f t="shared" si="34"/>
        <v>0</v>
      </c>
      <c r="L98" s="52">
        <f t="shared" si="34"/>
        <v>0</v>
      </c>
      <c r="N98" s="353"/>
    </row>
    <row r="99" spans="1:14">
      <c r="A99" s="356">
        <f>ROW()</f>
        <v>99</v>
      </c>
      <c r="B99" s="123" t="s">
        <v>384</v>
      </c>
      <c r="G99" s="52">
        <f t="shared" ref="G99:L99" si="35">IF($C$7="lease",G35,0)</f>
        <v>0</v>
      </c>
      <c r="H99" s="52">
        <f t="shared" si="35"/>
        <v>0</v>
      </c>
      <c r="I99" s="52">
        <f t="shared" si="35"/>
        <v>0</v>
      </c>
      <c r="J99" s="52">
        <f t="shared" si="35"/>
        <v>0</v>
      </c>
      <c r="K99" s="52">
        <f t="shared" si="35"/>
        <v>0</v>
      </c>
      <c r="L99" s="52">
        <f t="shared" si="35"/>
        <v>0</v>
      </c>
      <c r="N99" s="353"/>
    </row>
    <row r="100" spans="1:14">
      <c r="A100" s="356">
        <f>ROW()</f>
        <v>100</v>
      </c>
      <c r="B100" s="123" t="s">
        <v>346</v>
      </c>
      <c r="G100" s="52">
        <f t="shared" ref="G100:L100" si="36">IF($C$7="lease",G34,0)</f>
        <v>0</v>
      </c>
      <c r="H100" s="52">
        <f t="shared" si="36"/>
        <v>0</v>
      </c>
      <c r="I100" s="52">
        <f t="shared" si="36"/>
        <v>0</v>
      </c>
      <c r="J100" s="52">
        <f t="shared" si="36"/>
        <v>0</v>
      </c>
      <c r="K100" s="52">
        <f t="shared" si="36"/>
        <v>0</v>
      </c>
      <c r="L100" s="52">
        <f t="shared" si="36"/>
        <v>0</v>
      </c>
      <c r="N100" s="353"/>
    </row>
    <row r="101" spans="1:14">
      <c r="A101" s="356"/>
      <c r="B101" s="123"/>
      <c r="N101" s="353"/>
    </row>
    <row r="103" spans="1:14" ht="14.4">
      <c r="M103"/>
    </row>
    <row r="104" spans="1:14" ht="14.4">
      <c r="M104" s="2"/>
    </row>
  </sheetData>
  <sheetProtection algorithmName="SHA-512" hashValue="4wEYIilHTvzQHk2r6X7X5WR5V62Nbb9e2LnfzWBopU9U56IQjGkjnVFe/wiPl1fuvhlJzHSHZbgJPKE51VyHUA==" saltValue="OgsvkzoiWtDNGUUzxMJiMg==" spinCount="100000" sheet="1" objects="1" scenarios="1"/>
  <mergeCells count="2">
    <mergeCell ref="G2:K2"/>
    <mergeCell ref="G3:K3"/>
  </mergeCells>
  <conditionalFormatting sqref="G57">
    <cfRule type="expression" dxfId="592" priority="6">
      <formula>"'=or(&lt;0.95*Facilities!$I$16,&gt;1.05*Facilities!$I$16,&lt;0.95*Facilities!$I$51,&gt;1.05*Facilities!$I$51)"</formula>
    </cfRule>
    <cfRule type="expression" priority="7">
      <formula>"'=or(&lt;.95*Facilities!$I$16,&gt;1.05*Facilities!$I$16,&lt;.95*Facilities!$I$51,&gt;1.05*Facilities!$I$51)"</formula>
    </cfRule>
  </conditionalFormatting>
  <conditionalFormatting sqref="F71:F72">
    <cfRule type="cellIs" dxfId="591" priority="8" stopIfTrue="1" operator="equal">
      <formula>0</formula>
    </cfRule>
  </conditionalFormatting>
  <conditionalFormatting sqref="D1">
    <cfRule type="expression" dxfId="590" priority="3" stopIfTrue="1">
      <formula>MOD(ROW(),2)=0</formula>
    </cfRule>
  </conditionalFormatting>
  <conditionalFormatting sqref="Z1:Z6">
    <cfRule type="cellIs" dxfId="589" priority="2" stopIfTrue="1" operator="equal">
      <formula>0</formula>
    </cfRule>
  </conditionalFormatting>
  <hyperlinks>
    <hyperlink ref="D1" location="HypLink1" display="HypLink1" xr:uid="{BFB53349-EB52-4EAC-873C-1948591BA618}"/>
  </hyperlinks>
  <pageMargins left="0.25" right="0.25" top="0.5" bottom="0.45" header="0.25" footer="0.25"/>
  <pageSetup scale="49" fitToWidth="2" orientation="landscape" r:id="rId1"/>
  <headerFooter>
    <oddHeader xml:space="preserve">&amp;L &amp;C &amp;R </oddHeader>
    <oddFooter>&amp;L&amp;7&amp;D  at &amp;T Mike 702.486.8879&amp;C&amp;7&amp;F  &amp;A&amp;R&amp;7Page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7996-F215-40F2-8028-B50CD1B7968C}">
  <sheetPr codeName="Sheet18">
    <tabColor rgb="FFFFFF00"/>
    <pageSetUpPr fitToPage="1"/>
  </sheetPr>
  <dimension ref="A1:R198"/>
  <sheetViews>
    <sheetView showGridLines="0" topLeftCell="A7" zoomScaleNormal="100" workbookViewId="0">
      <pane xSplit="5" ySplit="5" topLeftCell="F88" activePane="bottomRight" state="frozen"/>
      <selection activeCell="A7" sqref="A7"/>
      <selection pane="topRight" activeCell="F7" sqref="F7"/>
      <selection pane="bottomLeft" activeCell="A12" sqref="A12"/>
      <selection pane="bottomRight" activeCell="H109" sqref="H109:H141"/>
    </sheetView>
  </sheetViews>
  <sheetFormatPr defaultColWidth="8.88671875" defaultRowHeight="13.8"/>
  <cols>
    <col min="1" max="1" width="8.109375" style="35" customWidth="1"/>
    <col min="2" max="2" width="47.88671875" style="35" customWidth="1"/>
    <col min="3" max="3" width="17.6640625" style="35" customWidth="1"/>
    <col min="4" max="4" width="9" style="35" customWidth="1"/>
    <col min="5" max="5" width="8.6640625" style="35" customWidth="1"/>
    <col min="6" max="6" width="15.33203125" style="35" customWidth="1"/>
    <col min="7" max="7" width="16.109375" style="35" customWidth="1"/>
    <col min="8" max="9" width="21" style="35" customWidth="1"/>
    <col min="10" max="12" width="17" style="35" customWidth="1"/>
    <col min="13" max="16" width="1.33203125" style="35" customWidth="1"/>
    <col min="17" max="17" width="0.44140625" style="35" customWidth="1"/>
    <col min="18" max="18" width="88.88671875" style="317" customWidth="1"/>
    <col min="19" max="19" width="10.88671875" style="35" customWidth="1"/>
    <col min="20" max="20" width="3.6640625" style="35" customWidth="1"/>
    <col min="21" max="21" width="6.33203125" style="35" customWidth="1"/>
    <col min="22" max="22" width="6" style="35" customWidth="1"/>
    <col min="23" max="23" width="5.109375" style="35" customWidth="1"/>
    <col min="24" max="24" width="6.5546875" style="35" customWidth="1"/>
    <col min="25" max="25" width="17.109375" style="35" customWidth="1"/>
    <col min="26" max="16384" width="8.88671875" style="35"/>
  </cols>
  <sheetData>
    <row r="1" spans="1:18" ht="17.399999999999999">
      <c r="A1" s="130" t="s">
        <v>529</v>
      </c>
      <c r="B1" s="37"/>
      <c r="D1" s="438" t="s">
        <v>2</v>
      </c>
      <c r="P1" s="38"/>
    </row>
    <row r="2" spans="1:18" ht="15.6">
      <c r="A2" s="121" t="str">
        <f>SchoolName</f>
        <v>Eagle Charter Schools of Nevada</v>
      </c>
      <c r="B2" s="40"/>
    </row>
    <row r="3" spans="1:18">
      <c r="A3" s="41" t="s">
        <v>72</v>
      </c>
      <c r="K3" s="33"/>
    </row>
    <row r="4" spans="1:18">
      <c r="A4" s="42" t="s">
        <v>73</v>
      </c>
    </row>
    <row r="5" spans="1:18">
      <c r="A5" s="32" t="str">
        <f ca="1">CELL("filename")</f>
        <v>C:\Users\Nicho\Desktop\[Attachment 2.  Eagle NV RFA 12.16.22.xlsx]CF Y1 Mo</v>
      </c>
    </row>
    <row r="6" spans="1:18" ht="15.6">
      <c r="A6" s="66"/>
      <c r="D6" s="67" t="s">
        <v>242</v>
      </c>
      <c r="E6" s="67"/>
      <c r="G6" s="270">
        <f>Cover!E11</f>
        <v>2023</v>
      </c>
      <c r="J6" s="67"/>
    </row>
    <row r="7" spans="1:18">
      <c r="A7" s="66"/>
      <c r="D7" s="34" t="s">
        <v>243</v>
      </c>
      <c r="E7" s="34"/>
      <c r="G7" s="34">
        <f>+G6+1</f>
        <v>2024</v>
      </c>
      <c r="J7" s="34"/>
    </row>
    <row r="8" spans="1:18">
      <c r="A8" s="66"/>
      <c r="F8" s="34"/>
      <c r="G8" s="33"/>
    </row>
    <row r="9" spans="1:18">
      <c r="A9" s="66"/>
      <c r="B9" s="33"/>
      <c r="F9" s="770" t="s">
        <v>530</v>
      </c>
      <c r="G9" s="760">
        <v>1</v>
      </c>
      <c r="H9" s="760">
        <f>1+G9</f>
        <v>2</v>
      </c>
      <c r="I9" s="760">
        <f t="shared" ref="I9:L9" si="0">1+H9</f>
        <v>3</v>
      </c>
      <c r="J9" s="760">
        <f t="shared" si="0"/>
        <v>4</v>
      </c>
      <c r="K9" s="760">
        <f t="shared" si="0"/>
        <v>5</v>
      </c>
      <c r="L9" s="1333">
        <f t="shared" si="0"/>
        <v>6</v>
      </c>
    </row>
    <row r="10" spans="1:18">
      <c r="A10" s="66"/>
      <c r="D10" s="2214" t="s">
        <v>531</v>
      </c>
      <c r="E10" s="2215"/>
      <c r="F10" s="761">
        <f>+G10-1</f>
        <v>2022</v>
      </c>
      <c r="G10" s="762">
        <f>+G6</f>
        <v>2023</v>
      </c>
      <c r="H10" s="762">
        <f>+G11</f>
        <v>2024</v>
      </c>
      <c r="I10" s="762">
        <f>+H11</f>
        <v>2025</v>
      </c>
      <c r="J10" s="762">
        <f>+I11</f>
        <v>2026</v>
      </c>
      <c r="K10" s="762">
        <f>+J11</f>
        <v>2027</v>
      </c>
      <c r="L10" s="763">
        <f>+K11</f>
        <v>2028</v>
      </c>
    </row>
    <row r="11" spans="1:18" ht="15.6">
      <c r="A11" s="66"/>
      <c r="B11" s="69"/>
      <c r="C11" s="634" t="s">
        <v>244</v>
      </c>
      <c r="D11" s="635"/>
      <c r="E11" s="635"/>
      <c r="F11" s="764">
        <f>+G11-1</f>
        <v>2023</v>
      </c>
      <c r="G11" s="765">
        <f t="shared" ref="G11:L11" si="1">+G10+1</f>
        <v>2024</v>
      </c>
      <c r="H11" s="765">
        <f t="shared" si="1"/>
        <v>2025</v>
      </c>
      <c r="I11" s="765">
        <f t="shared" si="1"/>
        <v>2026</v>
      </c>
      <c r="J11" s="765">
        <f t="shared" si="1"/>
        <v>2027</v>
      </c>
      <c r="K11" s="765">
        <f t="shared" si="1"/>
        <v>2028</v>
      </c>
      <c r="L11" s="766">
        <f t="shared" si="1"/>
        <v>2029</v>
      </c>
    </row>
    <row r="12" spans="1:18" ht="15.6">
      <c r="A12" s="66"/>
      <c r="B12" s="192" t="s">
        <v>532</v>
      </c>
      <c r="D12" s="293"/>
      <c r="E12" s="293"/>
      <c r="F12" s="1349"/>
      <c r="G12" s="1350"/>
      <c r="H12" s="1350"/>
      <c r="I12" s="1350"/>
      <c r="J12" s="1350"/>
      <c r="K12" s="1350"/>
      <c r="L12" s="1350"/>
    </row>
    <row r="13" spans="1:18" ht="15.6">
      <c r="A13" s="356">
        <f>ROW()</f>
        <v>13</v>
      </c>
      <c r="B13" s="463" t="s">
        <v>122</v>
      </c>
      <c r="C13" s="64"/>
      <c r="D13" s="64"/>
      <c r="E13" s="64"/>
      <c r="F13" s="616"/>
      <c r="G13" s="617"/>
      <c r="H13" s="617"/>
      <c r="I13" s="617"/>
      <c r="J13" s="617"/>
      <c r="K13" s="617"/>
      <c r="L13" s="617"/>
      <c r="R13" s="1615" t="s">
        <v>95</v>
      </c>
    </row>
    <row r="14" spans="1:18" ht="15.6">
      <c r="A14" s="356">
        <f>ROW()</f>
        <v>14</v>
      </c>
      <c r="B14" s="33" t="s">
        <v>208</v>
      </c>
      <c r="F14" s="618"/>
      <c r="G14" s="649"/>
      <c r="H14" s="649"/>
      <c r="I14" s="649"/>
      <c r="J14" s="649"/>
      <c r="K14" s="649"/>
      <c r="L14" s="649"/>
      <c r="R14" s="491"/>
    </row>
    <row r="15" spans="1:18">
      <c r="A15" s="356">
        <f>ROW()</f>
        <v>15</v>
      </c>
      <c r="B15" s="151" t="s">
        <v>209</v>
      </c>
      <c r="C15" s="132"/>
      <c r="D15" s="132"/>
      <c r="E15" s="132"/>
      <c r="F15" s="650">
        <f>' Enrol &amp; Rev'!F16</f>
        <v>0</v>
      </c>
      <c r="G15" s="1783">
        <f>' Enrol &amp; Rev'!G16</f>
        <v>6</v>
      </c>
      <c r="H15" s="1783">
        <f>' Enrol &amp; Rev'!H16</f>
        <v>7</v>
      </c>
      <c r="I15" s="1783">
        <f>' Enrol &amp; Rev'!I16</f>
        <v>8</v>
      </c>
      <c r="J15" s="1783">
        <f>' Enrol &amp; Rev'!J16</f>
        <v>9</v>
      </c>
      <c r="K15" s="1783">
        <f>' Enrol &amp; Rev'!K16</f>
        <v>9</v>
      </c>
      <c r="L15" s="1783">
        <f>' Enrol &amp; Rev'!L16</f>
        <v>9</v>
      </c>
      <c r="R15" s="353" t="s">
        <v>1489</v>
      </c>
    </row>
    <row r="16" spans="1:18">
      <c r="A16" s="356">
        <f>ROW()</f>
        <v>16</v>
      </c>
      <c r="B16" s="71" t="s">
        <v>210</v>
      </c>
      <c r="F16" s="701">
        <f>' Enrol &amp; Rev'!F18</f>
        <v>0</v>
      </c>
      <c r="G16" s="702">
        <f>' Enrol &amp; Rev'!G18</f>
        <v>20</v>
      </c>
      <c r="H16" s="702">
        <f>' Enrol &amp; Rev'!H18</f>
        <v>24</v>
      </c>
      <c r="I16" s="702">
        <f>' Enrol &amp; Rev'!I18</f>
        <v>28</v>
      </c>
      <c r="J16" s="702">
        <f>' Enrol &amp; Rev'!J18</f>
        <v>32</v>
      </c>
      <c r="K16" s="702">
        <f>' Enrol &amp; Rev'!K18</f>
        <v>33</v>
      </c>
      <c r="L16" s="702">
        <f>' Enrol &amp; Rev'!L18</f>
        <v>34</v>
      </c>
      <c r="R16" s="353"/>
    </row>
    <row r="17" spans="1:18" hidden="1">
      <c r="A17" s="356">
        <f>ROW()</f>
        <v>17</v>
      </c>
      <c r="B17" s="43"/>
      <c r="C17" s="316"/>
      <c r="D17" s="316"/>
      <c r="E17" s="316"/>
      <c r="F17" s="629"/>
      <c r="G17" s="629"/>
      <c r="H17" s="629"/>
      <c r="I17" s="629"/>
      <c r="J17" s="629"/>
      <c r="K17" s="629"/>
      <c r="L17" s="629"/>
      <c r="R17" s="353"/>
    </row>
    <row r="18" spans="1:18" hidden="1">
      <c r="A18" s="356">
        <f>ROW()</f>
        <v>18</v>
      </c>
      <c r="B18" s="1351" t="s">
        <v>211</v>
      </c>
      <c r="C18" s="376"/>
      <c r="D18" s="376"/>
      <c r="E18" s="376"/>
      <c r="F18" s="619">
        <f>' Enrol &amp; Rev'!F22</f>
        <v>0</v>
      </c>
      <c r="G18" s="619">
        <f>' Enrol &amp; Rev'!G22</f>
        <v>108</v>
      </c>
      <c r="H18" s="619">
        <f>' Enrol &amp; Rev'!H22</f>
        <v>108</v>
      </c>
      <c r="I18" s="619">
        <f>' Enrol &amp; Rev'!I22</f>
        <v>108</v>
      </c>
      <c r="J18" s="619">
        <f>' Enrol &amp; Rev'!J22</f>
        <v>108</v>
      </c>
      <c r="K18" s="619">
        <f>' Enrol &amp; Rev'!K22</f>
        <v>108</v>
      </c>
      <c r="L18" s="619">
        <f>' Enrol &amp; Rev'!L22</f>
        <v>108</v>
      </c>
      <c r="R18" s="353"/>
    </row>
    <row r="19" spans="1:18" hidden="1">
      <c r="A19" s="356">
        <f>ROW()</f>
        <v>19</v>
      </c>
      <c r="B19" s="377" t="s">
        <v>212</v>
      </c>
      <c r="C19" s="376"/>
      <c r="D19" s="376"/>
      <c r="E19" s="376"/>
      <c r="F19" s="620">
        <f>' Enrol &amp; Rev'!F23</f>
        <v>0</v>
      </c>
      <c r="G19" s="620">
        <f>' Enrol &amp; Rev'!G23</f>
        <v>108</v>
      </c>
      <c r="H19" s="620">
        <f>' Enrol &amp; Rev'!H23</f>
        <v>108</v>
      </c>
      <c r="I19" s="620">
        <f>' Enrol &amp; Rev'!I23</f>
        <v>108</v>
      </c>
      <c r="J19" s="620">
        <f>' Enrol &amp; Rev'!J23</f>
        <v>108</v>
      </c>
      <c r="K19" s="620">
        <f>' Enrol &amp; Rev'!K23</f>
        <v>108</v>
      </c>
      <c r="L19" s="620">
        <f>' Enrol &amp; Rev'!L23</f>
        <v>108</v>
      </c>
      <c r="R19" s="353"/>
    </row>
    <row r="20" spans="1:18" hidden="1">
      <c r="A20" s="356">
        <f>ROW()</f>
        <v>20</v>
      </c>
      <c r="B20" s="377" t="s">
        <v>213</v>
      </c>
      <c r="C20" s="376"/>
      <c r="D20" s="376"/>
      <c r="E20" s="376"/>
      <c r="F20" s="620">
        <f>' Enrol &amp; Rev'!F24</f>
        <v>0</v>
      </c>
      <c r="G20" s="621">
        <f>' Enrol &amp; Rev'!G24</f>
        <v>81</v>
      </c>
      <c r="H20" s="621">
        <f>' Enrol &amp; Rev'!H24</f>
        <v>108</v>
      </c>
      <c r="I20" s="621">
        <f>' Enrol &amp; Rev'!I24</f>
        <v>108</v>
      </c>
      <c r="J20" s="621">
        <f>' Enrol &amp; Rev'!J24</f>
        <v>108</v>
      </c>
      <c r="K20" s="621">
        <f>' Enrol &amp; Rev'!K24</f>
        <v>108</v>
      </c>
      <c r="L20" s="621">
        <f>' Enrol &amp; Rev'!L24</f>
        <v>108</v>
      </c>
      <c r="R20" s="353"/>
    </row>
    <row r="21" spans="1:18" hidden="1">
      <c r="A21" s="356">
        <f>ROW()</f>
        <v>21</v>
      </c>
      <c r="B21" s="377" t="s">
        <v>214</v>
      </c>
      <c r="C21" s="376"/>
      <c r="D21" s="376"/>
      <c r="E21" s="376"/>
      <c r="F21" s="622">
        <f>' Enrol &amp; Rev'!F25</f>
        <v>0</v>
      </c>
      <c r="G21" s="623">
        <f>' Enrol &amp; Rev'!G25</f>
        <v>81</v>
      </c>
      <c r="H21" s="623">
        <f>' Enrol &amp; Rev'!H25</f>
        <v>81</v>
      </c>
      <c r="I21" s="623">
        <f>' Enrol &amp; Rev'!I25</f>
        <v>108</v>
      </c>
      <c r="J21" s="623">
        <f>' Enrol &amp; Rev'!J25</f>
        <v>108</v>
      </c>
      <c r="K21" s="623">
        <f>' Enrol &amp; Rev'!K25</f>
        <v>108</v>
      </c>
      <c r="L21" s="623">
        <f>' Enrol &amp; Rev'!L25</f>
        <v>108</v>
      </c>
      <c r="R21" s="353"/>
    </row>
    <row r="22" spans="1:18" hidden="1">
      <c r="A22" s="356">
        <f>ROW()</f>
        <v>22</v>
      </c>
      <c r="B22" s="377" t="s">
        <v>215</v>
      </c>
      <c r="C22" s="376"/>
      <c r="D22" s="376"/>
      <c r="E22" s="376"/>
      <c r="F22" s="622">
        <f>' Enrol &amp; Rev'!F26</f>
        <v>0</v>
      </c>
      <c r="G22" s="623">
        <f>' Enrol &amp; Rev'!G26</f>
        <v>81</v>
      </c>
      <c r="H22" s="623">
        <f>' Enrol &amp; Rev'!H26</f>
        <v>81</v>
      </c>
      <c r="I22" s="623">
        <f>' Enrol &amp; Rev'!I26</f>
        <v>81</v>
      </c>
      <c r="J22" s="623">
        <f>' Enrol &amp; Rev'!J26</f>
        <v>108</v>
      </c>
      <c r="K22" s="623">
        <f>' Enrol &amp; Rev'!K26</f>
        <v>108</v>
      </c>
      <c r="L22" s="623">
        <f>' Enrol &amp; Rev'!L26</f>
        <v>108</v>
      </c>
    </row>
    <row r="23" spans="1:18" hidden="1">
      <c r="A23" s="356">
        <f>ROW()</f>
        <v>23</v>
      </c>
      <c r="B23" s="377" t="s">
        <v>216</v>
      </c>
      <c r="C23" s="376"/>
      <c r="D23" s="376"/>
      <c r="E23" s="376"/>
      <c r="F23" s="622">
        <f>' Enrol &amp; Rev'!F27</f>
        <v>0</v>
      </c>
      <c r="G23" s="622">
        <f>' Enrol &amp; Rev'!G27</f>
        <v>81</v>
      </c>
      <c r="H23" s="622">
        <f>' Enrol &amp; Rev'!H27</f>
        <v>81</v>
      </c>
      <c r="I23" s="622">
        <f>' Enrol &amp; Rev'!I27</f>
        <v>81</v>
      </c>
      <c r="J23" s="622">
        <f>' Enrol &amp; Rev'!J27</f>
        <v>81</v>
      </c>
      <c r="K23" s="622">
        <f>' Enrol &amp; Rev'!K27</f>
        <v>108</v>
      </c>
      <c r="L23" s="622">
        <f>' Enrol &amp; Rev'!L27</f>
        <v>108</v>
      </c>
    </row>
    <row r="24" spans="1:18" hidden="1">
      <c r="A24" s="356">
        <f>ROW()</f>
        <v>24</v>
      </c>
      <c r="B24" s="377" t="s">
        <v>217</v>
      </c>
      <c r="C24" s="376"/>
      <c r="D24" s="376"/>
      <c r="E24" s="376"/>
      <c r="F24" s="622">
        <f>' Enrol &amp; Rev'!F28</f>
        <v>0</v>
      </c>
      <c r="G24" s="622">
        <f>' Enrol &amp; Rev'!G28</f>
        <v>0</v>
      </c>
      <c r="H24" s="624">
        <f>' Enrol &amp; Rev'!H28</f>
        <v>81</v>
      </c>
      <c r="I24" s="624">
        <f>' Enrol &amp; Rev'!I28</f>
        <v>81</v>
      </c>
      <c r="J24" s="624">
        <f>' Enrol &amp; Rev'!J28</f>
        <v>81</v>
      </c>
      <c r="K24" s="624">
        <f>' Enrol &amp; Rev'!K28</f>
        <v>81</v>
      </c>
      <c r="L24" s="624">
        <f>' Enrol &amp; Rev'!L28</f>
        <v>108</v>
      </c>
    </row>
    <row r="25" spans="1:18" hidden="1">
      <c r="A25" s="356">
        <f>ROW()</f>
        <v>25</v>
      </c>
      <c r="B25" s="377" t="s">
        <v>218</v>
      </c>
      <c r="C25" s="376"/>
      <c r="D25" s="376"/>
      <c r="E25" s="376"/>
      <c r="F25" s="622">
        <f>' Enrol &amp; Rev'!F29</f>
        <v>0</v>
      </c>
      <c r="G25" s="622">
        <f>' Enrol &amp; Rev'!G29</f>
        <v>0</v>
      </c>
      <c r="H25" s="624">
        <f>' Enrol &amp; Rev'!H29</f>
        <v>0</v>
      </c>
      <c r="I25" s="624">
        <f>' Enrol &amp; Rev'!I29</f>
        <v>81</v>
      </c>
      <c r="J25" s="624">
        <f>' Enrol &amp; Rev'!J29</f>
        <v>81</v>
      </c>
      <c r="K25" s="624">
        <f>' Enrol &amp; Rev'!K29</f>
        <v>81</v>
      </c>
      <c r="L25" s="624">
        <f>' Enrol &amp; Rev'!L29</f>
        <v>81</v>
      </c>
    </row>
    <row r="26" spans="1:18" hidden="1">
      <c r="A26" s="356">
        <f>ROW()</f>
        <v>26</v>
      </c>
      <c r="B26" s="377" t="s">
        <v>219</v>
      </c>
      <c r="C26" s="376"/>
      <c r="D26" s="376"/>
      <c r="E26" s="376"/>
      <c r="F26" s="622">
        <f>' Enrol &amp; Rev'!F30</f>
        <v>0</v>
      </c>
      <c r="G26" s="622">
        <f>' Enrol &amp; Rev'!G30</f>
        <v>0</v>
      </c>
      <c r="H26" s="624">
        <f>' Enrol &amp; Rev'!H30</f>
        <v>0</v>
      </c>
      <c r="I26" s="624">
        <f>' Enrol &amp; Rev'!I30</f>
        <v>0</v>
      </c>
      <c r="J26" s="624">
        <f>' Enrol &amp; Rev'!J30</f>
        <v>81</v>
      </c>
      <c r="K26" s="624">
        <f>' Enrol &amp; Rev'!K30</f>
        <v>81</v>
      </c>
      <c r="L26" s="624">
        <f>' Enrol &amp; Rev'!L30</f>
        <v>81</v>
      </c>
    </row>
    <row r="27" spans="1:18" hidden="1">
      <c r="A27" s="356">
        <f>ROW()</f>
        <v>27</v>
      </c>
      <c r="B27" s="377" t="s">
        <v>220</v>
      </c>
      <c r="C27" s="376"/>
      <c r="D27" s="376"/>
      <c r="E27" s="376"/>
      <c r="F27" s="622">
        <f>' Enrol &amp; Rev'!F31</f>
        <v>0</v>
      </c>
      <c r="G27" s="622">
        <f>' Enrol &amp; Rev'!G31</f>
        <v>0</v>
      </c>
      <c r="H27" s="624">
        <f>' Enrol &amp; Rev'!H31</f>
        <v>0</v>
      </c>
      <c r="I27" s="624">
        <f>' Enrol &amp; Rev'!I31</f>
        <v>0</v>
      </c>
      <c r="J27" s="624">
        <f>' Enrol &amp; Rev'!J31</f>
        <v>0</v>
      </c>
      <c r="K27" s="624">
        <f>' Enrol &amp; Rev'!K31</f>
        <v>0</v>
      </c>
      <c r="L27" s="624">
        <f>' Enrol &amp; Rev'!L31</f>
        <v>0</v>
      </c>
    </row>
    <row r="28" spans="1:18" hidden="1">
      <c r="A28" s="356">
        <f>ROW()</f>
        <v>28</v>
      </c>
      <c r="B28" s="377" t="s">
        <v>221</v>
      </c>
      <c r="C28" s="376"/>
      <c r="D28" s="376"/>
      <c r="E28" s="376"/>
      <c r="F28" s="622">
        <f>' Enrol &amp; Rev'!F32</f>
        <v>0</v>
      </c>
      <c r="G28" s="622">
        <f>' Enrol &amp; Rev'!G32</f>
        <v>0</v>
      </c>
      <c r="H28" s="624">
        <f>' Enrol &amp; Rev'!H32</f>
        <v>0</v>
      </c>
      <c r="I28" s="624">
        <f>' Enrol &amp; Rev'!I32</f>
        <v>0</v>
      </c>
      <c r="J28" s="624">
        <f>' Enrol &amp; Rev'!J32</f>
        <v>0</v>
      </c>
      <c r="K28" s="624">
        <f>' Enrol &amp; Rev'!K32</f>
        <v>0</v>
      </c>
      <c r="L28" s="624">
        <f>' Enrol &amp; Rev'!L32</f>
        <v>0</v>
      </c>
    </row>
    <row r="29" spans="1:18" hidden="1">
      <c r="A29" s="356">
        <f>ROW()</f>
        <v>29</v>
      </c>
      <c r="B29" s="377" t="s">
        <v>222</v>
      </c>
      <c r="C29" s="376"/>
      <c r="D29" s="376"/>
      <c r="E29" s="376"/>
      <c r="F29" s="622">
        <f>' Enrol &amp; Rev'!F33</f>
        <v>0</v>
      </c>
      <c r="G29" s="622">
        <f>' Enrol &amp; Rev'!G33</f>
        <v>0</v>
      </c>
      <c r="H29" s="624">
        <f>' Enrol &amp; Rev'!H33</f>
        <v>0</v>
      </c>
      <c r="I29" s="624">
        <f>' Enrol &amp; Rev'!I33</f>
        <v>0</v>
      </c>
      <c r="J29" s="624">
        <f>' Enrol &amp; Rev'!J33</f>
        <v>0</v>
      </c>
      <c r="K29" s="624">
        <f>' Enrol &amp; Rev'!K33</f>
        <v>0</v>
      </c>
      <c r="L29" s="624">
        <f>' Enrol &amp; Rev'!L33</f>
        <v>0</v>
      </c>
    </row>
    <row r="30" spans="1:18" hidden="1">
      <c r="A30" s="356">
        <f>ROW()</f>
        <v>30</v>
      </c>
      <c r="B30" s="377" t="s">
        <v>223</v>
      </c>
      <c r="C30" s="376"/>
      <c r="D30" s="376"/>
      <c r="E30" s="376"/>
      <c r="F30" s="625">
        <f>' Enrol &amp; Rev'!F34</f>
        <v>0</v>
      </c>
      <c r="G30" s="625">
        <f>' Enrol &amp; Rev'!G34</f>
        <v>0</v>
      </c>
      <c r="H30" s="626">
        <f>' Enrol &amp; Rev'!H34</f>
        <v>0</v>
      </c>
      <c r="I30" s="626">
        <f>' Enrol &amp; Rev'!I34</f>
        <v>0</v>
      </c>
      <c r="J30" s="626">
        <f>' Enrol &amp; Rev'!J34</f>
        <v>0</v>
      </c>
      <c r="K30" s="626">
        <f>' Enrol &amp; Rev'!K34</f>
        <v>0</v>
      </c>
      <c r="L30" s="626">
        <f>' Enrol &amp; Rev'!L34</f>
        <v>0</v>
      </c>
    </row>
    <row r="31" spans="1:18" ht="15.6">
      <c r="A31" s="356">
        <f>ROW()</f>
        <v>31</v>
      </c>
      <c r="B31" s="651" t="s">
        <v>224</v>
      </c>
      <c r="C31" s="492"/>
      <c r="D31" s="492"/>
      <c r="E31" s="492"/>
      <c r="F31" s="476"/>
      <c r="G31" s="1782">
        <f t="shared" ref="G31:L31" si="2">SUM(G18:G30)</f>
        <v>540</v>
      </c>
      <c r="H31" s="1782">
        <f t="shared" si="2"/>
        <v>648</v>
      </c>
      <c r="I31" s="1782">
        <f t="shared" si="2"/>
        <v>756</v>
      </c>
      <c r="J31" s="1782">
        <f t="shared" si="2"/>
        <v>864</v>
      </c>
      <c r="K31" s="1782">
        <f t="shared" si="2"/>
        <v>891</v>
      </c>
      <c r="L31" s="1782">
        <f t="shared" si="2"/>
        <v>918</v>
      </c>
      <c r="R31" s="353"/>
    </row>
    <row r="32" spans="1:18">
      <c r="A32" s="356">
        <f>ROW()</f>
        <v>32</v>
      </c>
      <c r="B32" s="74" t="s">
        <v>533</v>
      </c>
      <c r="C32" s="74"/>
      <c r="D32" s="74"/>
      <c r="E32" s="74"/>
      <c r="F32" s="477"/>
      <c r="G32" s="1812">
        <f>IFERROR(G31/G16,0)</f>
        <v>27</v>
      </c>
      <c r="H32" s="1812">
        <f t="shared" ref="H32:L32" si="3">IFERROR(H31/H16,0)</f>
        <v>27</v>
      </c>
      <c r="I32" s="1812">
        <f t="shared" si="3"/>
        <v>27</v>
      </c>
      <c r="J32" s="1812">
        <f t="shared" si="3"/>
        <v>27</v>
      </c>
      <c r="K32" s="1812">
        <f t="shared" si="3"/>
        <v>27</v>
      </c>
      <c r="L32" s="1812">
        <f t="shared" si="3"/>
        <v>27</v>
      </c>
      <c r="R32" s="353"/>
    </row>
    <row r="33" spans="1:18">
      <c r="A33" s="356">
        <f>ROW()</f>
        <v>33</v>
      </c>
      <c r="B33" s="469" t="s">
        <v>250</v>
      </c>
      <c r="C33" s="74"/>
      <c r="D33" s="74"/>
      <c r="E33" s="74"/>
      <c r="F33" s="1809">
        <f>' Enrol &amp; Rev'!F37</f>
        <v>0</v>
      </c>
      <c r="G33" s="1814">
        <f>' Enrol &amp; Rev'!G37</f>
        <v>0.8</v>
      </c>
      <c r="H33" s="1814">
        <f>' Enrol &amp; Rev'!H37</f>
        <v>0.8</v>
      </c>
      <c r="I33" s="1814">
        <f>' Enrol &amp; Rev'!I37</f>
        <v>0.8</v>
      </c>
      <c r="J33" s="1814">
        <f>' Enrol &amp; Rev'!J37</f>
        <v>0.8</v>
      </c>
      <c r="K33" s="1814">
        <f>' Enrol &amp; Rev'!K37</f>
        <v>0.8</v>
      </c>
      <c r="L33" s="1814">
        <f>' Enrol &amp; Rev'!L37</f>
        <v>0.8</v>
      </c>
      <c r="R33" s="353"/>
    </row>
    <row r="34" spans="1:18">
      <c r="A34" s="356">
        <f>ROW()</f>
        <v>34</v>
      </c>
      <c r="B34" s="469" t="s">
        <v>534</v>
      </c>
      <c r="C34" s="74"/>
      <c r="D34" s="74"/>
      <c r="E34" s="74"/>
      <c r="F34" s="478"/>
      <c r="G34" s="627">
        <f t="shared" ref="G34:L34" si="4">+G31*(1-G33)</f>
        <v>107.99999999999997</v>
      </c>
      <c r="H34" s="627">
        <f t="shared" si="4"/>
        <v>129.59999999999997</v>
      </c>
      <c r="I34" s="627">
        <f t="shared" si="4"/>
        <v>151.19999999999996</v>
      </c>
      <c r="J34" s="627">
        <f t="shared" si="4"/>
        <v>172.79999999999995</v>
      </c>
      <c r="K34" s="627">
        <f t="shared" si="4"/>
        <v>178.19999999999996</v>
      </c>
      <c r="L34" s="627">
        <f t="shared" si="4"/>
        <v>183.59999999999997</v>
      </c>
      <c r="R34" s="353"/>
    </row>
    <row r="35" spans="1:18">
      <c r="A35" s="356">
        <f>ROW()</f>
        <v>35</v>
      </c>
      <c r="B35" s="469"/>
      <c r="C35" s="74"/>
      <c r="D35" s="74"/>
      <c r="E35" s="74"/>
      <c r="F35" s="478"/>
      <c r="G35" s="627"/>
      <c r="H35" s="627"/>
      <c r="I35" s="627"/>
      <c r="J35" s="627"/>
      <c r="K35" s="627"/>
      <c r="L35" s="627"/>
      <c r="R35" s="353"/>
    </row>
    <row r="36" spans="1:18">
      <c r="A36" s="356">
        <f>ROW()</f>
        <v>36</v>
      </c>
      <c r="B36" s="74" t="s">
        <v>535</v>
      </c>
      <c r="C36" s="74"/>
      <c r="D36" s="74"/>
      <c r="E36" s="74"/>
      <c r="F36" s="1809">
        <f>' Enrol &amp; Rev'!F85</f>
        <v>0</v>
      </c>
      <c r="G36" s="1814">
        <f>' Enrol &amp; Rev'!G85</f>
        <v>0.9</v>
      </c>
      <c r="H36" s="1814">
        <f>' Enrol &amp; Rev'!H85</f>
        <v>0.9</v>
      </c>
      <c r="I36" s="1814">
        <f>' Enrol &amp; Rev'!I85</f>
        <v>0.9</v>
      </c>
      <c r="J36" s="1814">
        <f>' Enrol &amp; Rev'!J85</f>
        <v>0.9</v>
      </c>
      <c r="K36" s="1814">
        <f>' Enrol &amp; Rev'!K85</f>
        <v>0.9</v>
      </c>
      <c r="L36" s="1814">
        <f>' Enrol &amp; Rev'!L85</f>
        <v>0.9</v>
      </c>
      <c r="R36" s="353"/>
    </row>
    <row r="37" spans="1:18">
      <c r="A37" s="356">
        <f>ROW()</f>
        <v>37</v>
      </c>
      <c r="B37" s="74" t="s">
        <v>536</v>
      </c>
      <c r="C37" s="74"/>
      <c r="D37" s="74"/>
      <c r="E37" s="74"/>
      <c r="F37" s="1810"/>
      <c r="G37" s="628">
        <f t="shared" ref="G37:L37" si="5">+G$31*G36</f>
        <v>486</v>
      </c>
      <c r="H37" s="628">
        <f t="shared" si="5"/>
        <v>583.20000000000005</v>
      </c>
      <c r="I37" s="628">
        <f t="shared" si="5"/>
        <v>680.4</v>
      </c>
      <c r="J37" s="628">
        <f t="shared" si="5"/>
        <v>777.6</v>
      </c>
      <c r="K37" s="628">
        <f t="shared" si="5"/>
        <v>801.9</v>
      </c>
      <c r="L37" s="628">
        <f t="shared" si="5"/>
        <v>826.2</v>
      </c>
      <c r="R37" s="353"/>
    </row>
    <row r="38" spans="1:18">
      <c r="A38" s="356">
        <f>ROW()</f>
        <v>38</v>
      </c>
      <c r="B38" s="74" t="s">
        <v>262</v>
      </c>
      <c r="C38" s="74"/>
      <c r="D38" s="74"/>
      <c r="E38" s="74"/>
      <c r="F38" s="1809">
        <f>' Enrol &amp; Rev'!F86</f>
        <v>0</v>
      </c>
      <c r="G38" s="1814">
        <f>' Enrol &amp; Rev'!G86</f>
        <v>0.3</v>
      </c>
      <c r="H38" s="1814">
        <f>' Enrol &amp; Rev'!H86</f>
        <v>0.3</v>
      </c>
      <c r="I38" s="1814">
        <f>' Enrol &amp; Rev'!I86</f>
        <v>0.3</v>
      </c>
      <c r="J38" s="1814">
        <f>' Enrol &amp; Rev'!J86</f>
        <v>0.3</v>
      </c>
      <c r="K38" s="1814">
        <f>' Enrol &amp; Rev'!K86</f>
        <v>0.3</v>
      </c>
      <c r="L38" s="1814">
        <f>' Enrol &amp; Rev'!L86</f>
        <v>0.3</v>
      </c>
      <c r="R38" s="353"/>
    </row>
    <row r="39" spans="1:18">
      <c r="A39" s="356">
        <f>ROW()</f>
        <v>39</v>
      </c>
      <c r="B39" s="74" t="s">
        <v>537</v>
      </c>
      <c r="C39" s="74"/>
      <c r="D39" s="74"/>
      <c r="E39" s="74"/>
      <c r="F39" s="1810"/>
      <c r="G39" s="628">
        <f t="shared" ref="G39:L39" si="6">+G$31*G38</f>
        <v>162</v>
      </c>
      <c r="H39" s="628">
        <f t="shared" si="6"/>
        <v>194.4</v>
      </c>
      <c r="I39" s="628">
        <f t="shared" si="6"/>
        <v>226.79999999999998</v>
      </c>
      <c r="J39" s="628">
        <f t="shared" si="6"/>
        <v>259.2</v>
      </c>
      <c r="K39" s="628">
        <f t="shared" si="6"/>
        <v>267.3</v>
      </c>
      <c r="L39" s="628">
        <f t="shared" si="6"/>
        <v>275.39999999999998</v>
      </c>
      <c r="R39" s="353"/>
    </row>
    <row r="40" spans="1:18">
      <c r="A40" s="356">
        <f>ROW()</f>
        <v>40</v>
      </c>
      <c r="B40" s="74" t="s">
        <v>263</v>
      </c>
      <c r="C40" s="74"/>
      <c r="D40" s="74"/>
      <c r="E40" s="74"/>
      <c r="F40" s="1809">
        <f>' Enrol &amp; Rev'!F87</f>
        <v>0</v>
      </c>
      <c r="G40" s="1814">
        <f>' Enrol &amp; Rev'!G87</f>
        <v>0.15</v>
      </c>
      <c r="H40" s="1814">
        <f>' Enrol &amp; Rev'!H87</f>
        <v>0.15</v>
      </c>
      <c r="I40" s="1814">
        <f>' Enrol &amp; Rev'!I87</f>
        <v>0.15</v>
      </c>
      <c r="J40" s="1814">
        <f>' Enrol &amp; Rev'!J87</f>
        <v>0.15</v>
      </c>
      <c r="K40" s="1814">
        <f>' Enrol &amp; Rev'!K87</f>
        <v>0.15</v>
      </c>
      <c r="L40" s="1814">
        <f>' Enrol &amp; Rev'!L87</f>
        <v>0.15</v>
      </c>
      <c r="R40" s="353"/>
    </row>
    <row r="41" spans="1:18">
      <c r="A41" s="356">
        <f>ROW()</f>
        <v>41</v>
      </c>
      <c r="B41" s="74" t="s">
        <v>264</v>
      </c>
      <c r="C41" s="74"/>
      <c r="D41" s="74"/>
      <c r="E41" s="74"/>
      <c r="F41" s="1810"/>
      <c r="G41" s="628">
        <f t="shared" ref="G41:L41" si="7">+G$31*G40</f>
        <v>81</v>
      </c>
      <c r="H41" s="628">
        <f t="shared" si="7"/>
        <v>97.2</v>
      </c>
      <c r="I41" s="628">
        <f t="shared" si="7"/>
        <v>113.39999999999999</v>
      </c>
      <c r="J41" s="628">
        <f t="shared" si="7"/>
        <v>129.6</v>
      </c>
      <c r="K41" s="628">
        <f t="shared" si="7"/>
        <v>133.65</v>
      </c>
      <c r="L41" s="628">
        <f t="shared" si="7"/>
        <v>137.69999999999999</v>
      </c>
      <c r="R41" s="353"/>
    </row>
    <row r="42" spans="1:18">
      <c r="A42" s="356">
        <f>ROW()</f>
        <v>42</v>
      </c>
      <c r="B42" s="74"/>
      <c r="C42" s="74"/>
      <c r="D42" s="74"/>
      <c r="E42" s="74"/>
      <c r="F42" s="1811"/>
      <c r="G42" s="1815"/>
      <c r="H42" s="1815"/>
      <c r="I42" s="1815"/>
      <c r="J42" s="1815"/>
      <c r="K42" s="1815"/>
      <c r="L42" s="1815"/>
      <c r="R42" s="353"/>
    </row>
    <row r="43" spans="1:18">
      <c r="A43" s="356">
        <f>ROW()</f>
        <v>43</v>
      </c>
      <c r="B43" s="74"/>
      <c r="C43" s="74"/>
      <c r="D43" s="74"/>
      <c r="E43" s="74"/>
      <c r="F43" s="479"/>
      <c r="G43" s="1813"/>
      <c r="H43" s="1813"/>
      <c r="I43" s="1813"/>
      <c r="J43" s="1813"/>
      <c r="K43" s="1813"/>
      <c r="L43" s="1813"/>
      <c r="R43" s="353"/>
    </row>
    <row r="44" spans="1:18">
      <c r="A44" s="356">
        <f>ROW()</f>
        <v>44</v>
      </c>
      <c r="B44" s="549"/>
      <c r="C44" s="549"/>
      <c r="D44" s="549"/>
      <c r="E44" s="549"/>
      <c r="F44" s="550"/>
      <c r="G44" s="652"/>
      <c r="H44" s="652"/>
      <c r="I44" s="652"/>
      <c r="J44" s="653"/>
      <c r="K44" s="653"/>
      <c r="L44" s="653"/>
      <c r="M44" s="78"/>
      <c r="N44" s="78"/>
      <c r="O44" s="78"/>
      <c r="P44" s="78"/>
      <c r="Q44" s="78"/>
      <c r="R44" s="353"/>
    </row>
    <row r="45" spans="1:18" ht="15.6">
      <c r="A45" s="356">
        <f>ROW()</f>
        <v>45</v>
      </c>
      <c r="B45" s="553" t="s">
        <v>196</v>
      </c>
      <c r="C45" s="492">
        <f t="shared" ref="C45" si="8">SUM(G45:L45)</f>
        <v>50658735.680071488</v>
      </c>
      <c r="D45" s="492"/>
      <c r="E45" s="492"/>
      <c r="F45" s="654">
        <f>' Enrol &amp; Rev'!F142</f>
        <v>150000</v>
      </c>
      <c r="G45" s="655">
        <f>' Enrol &amp; Rev'!G142</f>
        <v>5253734.6500000004</v>
      </c>
      <c r="H45" s="655">
        <f>' Enrol &amp; Rev'!H142</f>
        <v>7196317.5757038658</v>
      </c>
      <c r="I45" s="655">
        <f>' Enrol &amp; Rev'!I142</f>
        <v>8318281.1288446411</v>
      </c>
      <c r="J45" s="655">
        <f>' Enrol &amp; Rev'!J142</f>
        <v>9540244.6819854137</v>
      </c>
      <c r="K45" s="655">
        <f>' Enrol &amp; Rev'!K142</f>
        <v>10022333.377626188</v>
      </c>
      <c r="L45" s="655">
        <f>' Enrol &amp; Rev'!L142</f>
        <v>10327824.26591138</v>
      </c>
      <c r="R45" s="353"/>
    </row>
    <row r="46" spans="1:18" ht="15.6">
      <c r="A46" s="356">
        <f>ROW()</f>
        <v>46</v>
      </c>
      <c r="B46" s="74" t="s">
        <v>538</v>
      </c>
      <c r="C46" s="416"/>
      <c r="D46" s="416"/>
      <c r="E46" s="416"/>
      <c r="F46" s="476"/>
      <c r="G46" s="475">
        <f t="shared" ref="G46:L46" si="9">IFERROR(G45/G31,0)</f>
        <v>9729.1382407407418</v>
      </c>
      <c r="H46" s="475">
        <f t="shared" si="9"/>
        <v>11105.428357567695</v>
      </c>
      <c r="I46" s="475">
        <f t="shared" si="9"/>
        <v>11003.017366196615</v>
      </c>
      <c r="J46" s="475">
        <f t="shared" si="9"/>
        <v>11041.949863409043</v>
      </c>
      <c r="K46" s="475">
        <f t="shared" si="9"/>
        <v>11248.410075899201</v>
      </c>
      <c r="L46" s="475">
        <f t="shared" si="9"/>
        <v>11250.353230840283</v>
      </c>
      <c r="R46" s="353"/>
    </row>
    <row r="47" spans="1:18" ht="15.6">
      <c r="A47" s="356">
        <f>ROW()</f>
        <v>47</v>
      </c>
      <c r="B47" s="74" t="s">
        <v>539</v>
      </c>
      <c r="C47" s="416">
        <f>SUM(G47:L47)</f>
        <v>9742897.7565780561</v>
      </c>
      <c r="D47" s="416"/>
      <c r="E47" s="416"/>
      <c r="F47" s="476">
        <f>Levers!C16</f>
        <v>0</v>
      </c>
      <c r="G47" s="475">
        <f>Levers!D16</f>
        <v>1269972.49</v>
      </c>
      <c r="H47" s="475">
        <f>Levers!E16</f>
        <v>1374276.28048</v>
      </c>
      <c r="I47" s="475">
        <f>Levers!F16</f>
        <v>1565499.0518217999</v>
      </c>
      <c r="J47" s="475">
        <f>Levers!G16</f>
        <v>1762470.9371662061</v>
      </c>
      <c r="K47" s="475">
        <f>Levers!H16</f>
        <v>1838255.5669567678</v>
      </c>
      <c r="L47" s="475">
        <f>Levers!I16</f>
        <v>1932423.4301532828</v>
      </c>
      <c r="R47" s="353"/>
    </row>
    <row r="48" spans="1:18" ht="15.6">
      <c r="A48" s="356">
        <f>ROW()</f>
        <v>48</v>
      </c>
      <c r="B48" s="74" t="s">
        <v>540</v>
      </c>
      <c r="C48" s="416">
        <f>Levers!$B$17</f>
        <v>2110.222602680974</v>
      </c>
      <c r="D48" s="416"/>
      <c r="E48" s="416"/>
      <c r="F48" s="476"/>
      <c r="G48" s="475">
        <f>Levers!D17</f>
        <v>2351.8009074074075</v>
      </c>
      <c r="H48" s="475">
        <f>Levers!E17</f>
        <v>2120.7967291358023</v>
      </c>
      <c r="I48" s="475">
        <f>Levers!F17</f>
        <v>2070.7659415632274</v>
      </c>
      <c r="J48" s="475">
        <f>Levers!G17</f>
        <v>2039.8969180164422</v>
      </c>
      <c r="K48" s="475">
        <f>Levers!H17</f>
        <v>2063.1375611187068</v>
      </c>
      <c r="L48" s="475">
        <f>Levers!I17</f>
        <v>2105.0364162889791</v>
      </c>
      <c r="R48" s="353"/>
    </row>
    <row r="49" spans="1:18" ht="15.6">
      <c r="A49" s="356">
        <f>ROW()</f>
        <v>49</v>
      </c>
      <c r="B49" s="74" t="s">
        <v>541</v>
      </c>
      <c r="C49" s="416">
        <f>SUM(G49:L49)</f>
        <v>40915837.92349343</v>
      </c>
      <c r="D49" s="416"/>
      <c r="E49" s="416"/>
      <c r="F49" s="476">
        <f>Levers!C18</f>
        <v>150000</v>
      </c>
      <c r="G49" s="475">
        <f>Levers!D18</f>
        <v>3983762.16</v>
      </c>
      <c r="H49" s="475">
        <f>Levers!E18</f>
        <v>5822041.2952238657</v>
      </c>
      <c r="I49" s="475">
        <f>Levers!F18</f>
        <v>6752782.0770228412</v>
      </c>
      <c r="J49" s="475">
        <f>Levers!G18</f>
        <v>7777773.7448192071</v>
      </c>
      <c r="K49" s="475">
        <f>Levers!H18</f>
        <v>8184077.8106694203</v>
      </c>
      <c r="L49" s="475">
        <f>Levers!I18</f>
        <v>8395400.8357580975</v>
      </c>
      <c r="R49" s="353"/>
    </row>
    <row r="50" spans="1:18" ht="15.6">
      <c r="A50" s="356">
        <f>ROW()</f>
        <v>50</v>
      </c>
      <c r="B50" s="74" t="s">
        <v>542</v>
      </c>
      <c r="C50" s="416">
        <f>Levers!$B$19</f>
        <v>8894.485146955476</v>
      </c>
      <c r="D50" s="416"/>
      <c r="E50" s="416"/>
      <c r="F50" s="476"/>
      <c r="G50" s="475">
        <f>Levers!D19</f>
        <v>7377.3373333333338</v>
      </c>
      <c r="H50" s="475">
        <f>Levers!E19</f>
        <v>8984.6316284318909</v>
      </c>
      <c r="I50" s="475">
        <f>Levers!F19</f>
        <v>8932.2514246333885</v>
      </c>
      <c r="J50" s="475">
        <f>Levers!G19</f>
        <v>9002.052945392601</v>
      </c>
      <c r="K50" s="475">
        <f>Levers!H19</f>
        <v>9185.272514780494</v>
      </c>
      <c r="L50" s="475">
        <f>Levers!I19</f>
        <v>9145.3168145513046</v>
      </c>
      <c r="R50" s="353"/>
    </row>
    <row r="51" spans="1:18" ht="15.6">
      <c r="A51" s="356">
        <f>ROW()</f>
        <v>51</v>
      </c>
      <c r="B51" s="74" t="s">
        <v>416</v>
      </c>
      <c r="C51" s="416">
        <f>Levers!B38</f>
        <v>7701988.8619042775</v>
      </c>
      <c r="D51" s="416"/>
      <c r="E51" s="416"/>
      <c r="F51" s="476">
        <f>Levers!C38</f>
        <v>1495.195000000007</v>
      </c>
      <c r="G51" s="475">
        <f>Levers!D38</f>
        <v>408864.40679680783</v>
      </c>
      <c r="H51" s="475">
        <f>Levers!E38</f>
        <v>1018956.9745006727</v>
      </c>
      <c r="I51" s="475">
        <f>Levers!F38</f>
        <v>1035416.9928292485</v>
      </c>
      <c r="J51" s="475">
        <f>Levers!G38</f>
        <v>1589581.608885807</v>
      </c>
      <c r="K51" s="475">
        <f>Levers!H38</f>
        <v>1877911.2805726153</v>
      </c>
      <c r="L51" s="475">
        <f>Levers!I38</f>
        <v>1769762.4033191246</v>
      </c>
      <c r="R51" s="353"/>
    </row>
    <row r="52" spans="1:18" ht="15.6">
      <c r="A52" s="356">
        <f>ROW()</f>
        <v>52</v>
      </c>
      <c r="B52" s="74" t="s">
        <v>417</v>
      </c>
      <c r="C52" s="416">
        <f>Levers!B39</f>
        <v>1668.1803902759968</v>
      </c>
      <c r="D52" s="416"/>
      <c r="E52" s="416"/>
      <c r="F52" s="476">
        <f>Levers!C39</f>
        <v>0</v>
      </c>
      <c r="G52" s="475">
        <f>Levers!D39</f>
        <v>757.15630888297744</v>
      </c>
      <c r="H52" s="475">
        <f>Levers!E39</f>
        <v>1572.4644668220258</v>
      </c>
      <c r="I52" s="475">
        <f>Levers!F39</f>
        <v>1369.5991968640853</v>
      </c>
      <c r="J52" s="475">
        <f>Levers!G39</f>
        <v>1839.7935288030174</v>
      </c>
      <c r="K52" s="475">
        <f>Levers!H39</f>
        <v>2107.6445348738666</v>
      </c>
      <c r="L52" s="475">
        <f>Levers!I39</f>
        <v>1927.8457552495911</v>
      </c>
      <c r="R52" s="353"/>
    </row>
    <row r="53" spans="1:18">
      <c r="A53" s="356">
        <f>ROW()</f>
        <v>53</v>
      </c>
      <c r="B53" s="33"/>
      <c r="C53" s="33"/>
      <c r="D53" s="33"/>
      <c r="E53" s="33"/>
      <c r="F53" s="533"/>
      <c r="G53" s="533"/>
      <c r="H53" s="533"/>
      <c r="I53" s="533"/>
      <c r="J53" s="533"/>
      <c r="K53" s="533"/>
      <c r="L53" s="533"/>
      <c r="R53" s="353"/>
    </row>
    <row r="54" spans="1:18">
      <c r="A54" s="356">
        <f>ROW()</f>
        <v>54</v>
      </c>
      <c r="B54" s="179" t="s">
        <v>543</v>
      </c>
      <c r="C54" s="179"/>
      <c r="D54" s="179"/>
      <c r="E54" s="493"/>
      <c r="F54" s="629"/>
      <c r="G54" s="630"/>
      <c r="H54" s="630"/>
      <c r="I54" s="630"/>
      <c r="J54" s="630"/>
      <c r="K54" s="630"/>
      <c r="L54" s="630"/>
      <c r="M54" s="103"/>
      <c r="N54" s="43"/>
      <c r="O54" s="43"/>
      <c r="R54" s="353"/>
    </row>
    <row r="55" spans="1:18">
      <c r="A55" s="356">
        <f>ROW()</f>
        <v>55</v>
      </c>
      <c r="B55" s="35" t="s">
        <v>396</v>
      </c>
      <c r="E55" s="48"/>
      <c r="F55" s="107">
        <f>+Staff!G17</f>
        <v>0.6</v>
      </c>
      <c r="G55" s="631">
        <f>+Staff!H17</f>
        <v>3</v>
      </c>
      <c r="H55" s="631">
        <f>+Staff!I17</f>
        <v>3</v>
      </c>
      <c r="I55" s="631">
        <f>+Staff!J17</f>
        <v>4</v>
      </c>
      <c r="J55" s="631">
        <f>+Staff!K17</f>
        <v>4</v>
      </c>
      <c r="K55" s="631">
        <f>+Staff!L17</f>
        <v>4</v>
      </c>
      <c r="L55" s="631">
        <f>+Staff!M17</f>
        <v>4</v>
      </c>
      <c r="M55" s="103"/>
      <c r="N55" s="43"/>
      <c r="O55" s="43"/>
      <c r="R55" s="353"/>
    </row>
    <row r="56" spans="1:18">
      <c r="A56" s="356">
        <f>ROW()</f>
        <v>56</v>
      </c>
      <c r="B56" s="74" t="s">
        <v>397</v>
      </c>
      <c r="C56" s="74"/>
      <c r="D56" s="74"/>
      <c r="E56" s="1784"/>
      <c r="F56" s="475">
        <f>+Staff!G18</f>
        <v>0</v>
      </c>
      <c r="G56" s="1785">
        <f>+Staff!H18</f>
        <v>3</v>
      </c>
      <c r="H56" s="1785">
        <f>+Staff!I18</f>
        <v>3</v>
      </c>
      <c r="I56" s="1785">
        <f>+Staff!J18</f>
        <v>3</v>
      </c>
      <c r="J56" s="1785">
        <f>+Staff!K18</f>
        <v>3</v>
      </c>
      <c r="K56" s="1785">
        <f>+Staff!L18</f>
        <v>3</v>
      </c>
      <c r="L56" s="1785">
        <f>+Staff!M18</f>
        <v>3</v>
      </c>
      <c r="M56" s="103"/>
      <c r="N56" s="43"/>
      <c r="O56" s="43"/>
      <c r="R56" s="353"/>
    </row>
    <row r="57" spans="1:18">
      <c r="A57" s="356">
        <f>ROW()</f>
        <v>57</v>
      </c>
      <c r="B57" s="74" t="s">
        <v>398</v>
      </c>
      <c r="C57" s="74"/>
      <c r="D57" s="74"/>
      <c r="E57" s="1784"/>
      <c r="F57" s="475">
        <f>+Staff!G19</f>
        <v>0</v>
      </c>
      <c r="G57" s="1785">
        <f>+Staff!H19</f>
        <v>3</v>
      </c>
      <c r="H57" s="1785">
        <f>+Staff!I19</f>
        <v>5</v>
      </c>
      <c r="I57" s="1785">
        <f>+Staff!J19</f>
        <v>5</v>
      </c>
      <c r="J57" s="1785">
        <f>+Staff!K19</f>
        <v>6</v>
      </c>
      <c r="K57" s="1785">
        <f>+Staff!L19</f>
        <v>6</v>
      </c>
      <c r="L57" s="1785">
        <f>+Staff!M19</f>
        <v>6</v>
      </c>
      <c r="M57" s="103"/>
      <c r="N57" s="43"/>
      <c r="O57" s="43"/>
      <c r="R57" s="353"/>
    </row>
    <row r="58" spans="1:18">
      <c r="A58" s="356">
        <f>ROW()</f>
        <v>58</v>
      </c>
      <c r="B58" s="74" t="s">
        <v>399</v>
      </c>
      <c r="C58" s="74"/>
      <c r="D58" s="74"/>
      <c r="E58" s="1784"/>
      <c r="F58" s="475">
        <f>+Staff!G20</f>
        <v>0</v>
      </c>
      <c r="G58" s="1785">
        <f>+Staff!H20</f>
        <v>3</v>
      </c>
      <c r="H58" s="1785">
        <f>+Staff!I20</f>
        <v>3</v>
      </c>
      <c r="I58" s="1785">
        <f>+Staff!J20</f>
        <v>4</v>
      </c>
      <c r="J58" s="1785">
        <f>+Staff!K20</f>
        <v>4</v>
      </c>
      <c r="K58" s="1785">
        <f>+Staff!L20</f>
        <v>4</v>
      </c>
      <c r="L58" s="1785">
        <f>+Staff!M20</f>
        <v>4</v>
      </c>
      <c r="M58" s="103"/>
      <c r="N58" s="43"/>
      <c r="O58" s="43"/>
      <c r="R58" s="353"/>
    </row>
    <row r="59" spans="1:18">
      <c r="A59" s="356">
        <f>ROW()</f>
        <v>59</v>
      </c>
      <c r="B59" s="74" t="s">
        <v>400</v>
      </c>
      <c r="C59" s="74"/>
      <c r="D59" s="74"/>
      <c r="E59" s="1784"/>
      <c r="F59" s="475">
        <f>+Staff!G21</f>
        <v>0</v>
      </c>
      <c r="G59" s="1785">
        <f>+Staff!H21</f>
        <v>1</v>
      </c>
      <c r="H59" s="1785">
        <f>+Staff!I21</f>
        <v>2</v>
      </c>
      <c r="I59" s="1785">
        <f>+Staff!J21</f>
        <v>3</v>
      </c>
      <c r="J59" s="1785">
        <f>+Staff!K21</f>
        <v>3</v>
      </c>
      <c r="K59" s="1785">
        <f>+Staff!L21</f>
        <v>3</v>
      </c>
      <c r="L59" s="1785">
        <f>+Staff!M21</f>
        <v>3</v>
      </c>
      <c r="M59" s="103"/>
      <c r="N59" s="43"/>
      <c r="O59" s="43"/>
      <c r="R59" s="353"/>
    </row>
    <row r="60" spans="1:18">
      <c r="A60" s="356">
        <f>ROW()</f>
        <v>60</v>
      </c>
      <c r="B60" s="35" t="s">
        <v>401</v>
      </c>
      <c r="E60" s="493"/>
      <c r="F60" s="107">
        <f>+Staff!G22</f>
        <v>0</v>
      </c>
      <c r="G60" s="631">
        <f>+Staff!H22</f>
        <v>23</v>
      </c>
      <c r="H60" s="631">
        <f>+Staff!I22</f>
        <v>31</v>
      </c>
      <c r="I60" s="631">
        <f>+Staff!J22</f>
        <v>36</v>
      </c>
      <c r="J60" s="631">
        <f>+Staff!K22</f>
        <v>40</v>
      </c>
      <c r="K60" s="631">
        <f>+Staff!L22</f>
        <v>42</v>
      </c>
      <c r="L60" s="631">
        <f>+Staff!M22</f>
        <v>43</v>
      </c>
      <c r="M60" s="103"/>
      <c r="N60" s="43"/>
      <c r="O60" s="43"/>
      <c r="R60" s="353"/>
    </row>
    <row r="61" spans="1:18">
      <c r="A61" s="356">
        <f>ROW()</f>
        <v>61</v>
      </c>
      <c r="B61" s="135" t="s">
        <v>402</v>
      </c>
      <c r="C61" s="135"/>
      <c r="D61" s="135"/>
      <c r="E61" s="48"/>
      <c r="F61" s="1786">
        <f>SUM(F55:F60)</f>
        <v>0.6</v>
      </c>
      <c r="G61" s="1786">
        <f t="shared" ref="G61:L61" si="10">SUM(G55:G60)</f>
        <v>36</v>
      </c>
      <c r="H61" s="1786">
        <f t="shared" si="10"/>
        <v>47</v>
      </c>
      <c r="I61" s="1786">
        <f t="shared" si="10"/>
        <v>55</v>
      </c>
      <c r="J61" s="1786">
        <f t="shared" si="10"/>
        <v>60</v>
      </c>
      <c r="K61" s="1786">
        <f t="shared" si="10"/>
        <v>62</v>
      </c>
      <c r="L61" s="1786">
        <f t="shared" si="10"/>
        <v>63</v>
      </c>
      <c r="M61" s="103"/>
      <c r="N61" s="43"/>
      <c r="O61" s="43"/>
      <c r="R61" s="353"/>
    </row>
    <row r="62" spans="1:18">
      <c r="A62" s="356">
        <f>ROW()</f>
        <v>62</v>
      </c>
      <c r="M62" s="103"/>
      <c r="N62" s="43"/>
      <c r="O62" s="43"/>
      <c r="P62" s="105"/>
      <c r="Q62" s="105"/>
      <c r="R62" s="353"/>
    </row>
    <row r="63" spans="1:18">
      <c r="A63" s="356">
        <f>ROW()</f>
        <v>63</v>
      </c>
      <c r="B63" s="58" t="s">
        <v>544</v>
      </c>
      <c r="C63" s="470"/>
      <c r="D63" s="58"/>
      <c r="E63" s="58"/>
      <c r="F63" s="471"/>
      <c r="G63" s="471"/>
      <c r="H63" s="471"/>
      <c r="I63" s="471"/>
      <c r="J63" s="471"/>
      <c r="K63" s="471"/>
      <c r="L63" s="471"/>
      <c r="R63" s="353"/>
    </row>
    <row r="64" spans="1:18">
      <c r="A64" s="356">
        <f>ROW()</f>
        <v>64</v>
      </c>
      <c r="B64" s="33" t="s">
        <v>545</v>
      </c>
      <c r="C64" s="141" t="s">
        <v>546</v>
      </c>
      <c r="D64" s="34"/>
      <c r="E64" s="34"/>
      <c r="F64" s="1789" t="s">
        <v>1482</v>
      </c>
      <c r="G64" s="33" t="s">
        <v>1483</v>
      </c>
      <c r="R64" s="353"/>
    </row>
    <row r="65" spans="1:18">
      <c r="A65" s="356">
        <f>ROW()</f>
        <v>65</v>
      </c>
      <c r="B65" s="74" t="s">
        <v>547</v>
      </c>
      <c r="C65" s="857">
        <v>238</v>
      </c>
      <c r="D65" s="104" t="s">
        <v>548</v>
      </c>
      <c r="E65" s="104"/>
      <c r="F65" s="1787">
        <v>0</v>
      </c>
      <c r="G65" s="850">
        <f>$C$65*Staff!H23+70000</f>
        <v>78568</v>
      </c>
      <c r="H65" s="850">
        <f>$C$65*Staff!I23+70000</f>
        <v>81186</v>
      </c>
      <c r="I65" s="850">
        <f>$C$65*Staff!J23+70000</f>
        <v>83090</v>
      </c>
      <c r="J65" s="850">
        <f>$C$65*Staff!K23+70000</f>
        <v>84280</v>
      </c>
      <c r="K65" s="850">
        <f>$C$65*Staff!L23+70000</f>
        <v>84756</v>
      </c>
      <c r="L65" s="850">
        <f>$C$65*Staff!M23+70000</f>
        <v>84994</v>
      </c>
      <c r="R65" s="353"/>
    </row>
    <row r="66" spans="1:18">
      <c r="A66" s="356">
        <f>ROW()</f>
        <v>66</v>
      </c>
      <c r="B66" s="74" t="s">
        <v>549</v>
      </c>
      <c r="C66" s="857">
        <v>20000</v>
      </c>
      <c r="D66" s="104" t="s">
        <v>550</v>
      </c>
      <c r="E66" s="104"/>
      <c r="F66" s="1788">
        <v>0</v>
      </c>
      <c r="G66" s="736">
        <f t="shared" ref="G66:L66" si="11">$C66</f>
        <v>20000</v>
      </c>
      <c r="H66" s="736">
        <f t="shared" si="11"/>
        <v>20000</v>
      </c>
      <c r="I66" s="736">
        <f t="shared" si="11"/>
        <v>20000</v>
      </c>
      <c r="J66" s="736">
        <f t="shared" si="11"/>
        <v>20000</v>
      </c>
      <c r="K66" s="736">
        <f t="shared" si="11"/>
        <v>20000</v>
      </c>
      <c r="L66" s="736">
        <f t="shared" si="11"/>
        <v>20000</v>
      </c>
      <c r="R66" s="353"/>
    </row>
    <row r="67" spans="1:18">
      <c r="A67" s="356">
        <f>ROW()</f>
        <v>67</v>
      </c>
      <c r="B67" s="74" t="s">
        <v>551</v>
      </c>
      <c r="C67" s="857">
        <v>55000</v>
      </c>
      <c r="D67" s="104" t="s">
        <v>552</v>
      </c>
      <c r="E67" s="104"/>
      <c r="F67" s="1788">
        <v>0</v>
      </c>
      <c r="G67" s="736">
        <f t="shared" ref="G67:L67" si="12">$C$67</f>
        <v>55000</v>
      </c>
      <c r="H67" s="736">
        <f t="shared" si="12"/>
        <v>55000</v>
      </c>
      <c r="I67" s="736">
        <f t="shared" si="12"/>
        <v>55000</v>
      </c>
      <c r="J67" s="736">
        <f t="shared" si="12"/>
        <v>55000</v>
      </c>
      <c r="K67" s="736">
        <f t="shared" si="12"/>
        <v>55000</v>
      </c>
      <c r="L67" s="736">
        <f t="shared" si="12"/>
        <v>55000</v>
      </c>
      <c r="R67" s="353"/>
    </row>
    <row r="68" spans="1:18">
      <c r="A68" s="356">
        <f>ROW()</f>
        <v>68</v>
      </c>
      <c r="B68" s="74" t="s">
        <v>553</v>
      </c>
      <c r="C68" s="518"/>
      <c r="D68" s="104"/>
      <c r="E68" s="104"/>
      <c r="F68" s="1788">
        <v>0</v>
      </c>
      <c r="G68" s="107"/>
      <c r="H68" s="107"/>
      <c r="I68" s="107"/>
      <c r="J68" s="107"/>
      <c r="K68" s="107"/>
      <c r="L68" s="107"/>
      <c r="R68" s="353"/>
    </row>
    <row r="69" spans="1:18">
      <c r="A69" s="356">
        <f>ROW()</f>
        <v>69</v>
      </c>
      <c r="B69" s="74" t="s">
        <v>554</v>
      </c>
      <c r="C69" s="857">
        <v>175</v>
      </c>
      <c r="D69" s="104" t="s">
        <v>282</v>
      </c>
      <c r="E69" s="104"/>
      <c r="F69" s="1788">
        <v>0</v>
      </c>
      <c r="G69" s="736">
        <f>$C$69*(' Enrol &amp; Rev'!G35-' Enrol &amp; Rev'!F35)</f>
        <v>94500</v>
      </c>
      <c r="H69" s="736">
        <f>$C$69*(' Enrol &amp; Rev'!H35-' Enrol &amp; Rev'!G35)</f>
        <v>18900</v>
      </c>
      <c r="I69" s="736">
        <f>$C$69*(' Enrol &amp; Rev'!I35-' Enrol &amp; Rev'!H35)</f>
        <v>18900</v>
      </c>
      <c r="J69" s="736">
        <f>$C$69*(' Enrol &amp; Rev'!J35-' Enrol &amp; Rev'!I35)</f>
        <v>18900</v>
      </c>
      <c r="K69" s="736">
        <f>$C$69*(' Enrol &amp; Rev'!K35-' Enrol &amp; Rev'!J35)</f>
        <v>4725</v>
      </c>
      <c r="L69" s="736">
        <f>$C$69*(' Enrol &amp; Rev'!L35-' Enrol &amp; Rev'!K35)</f>
        <v>4725</v>
      </c>
      <c r="R69" s="353"/>
    </row>
    <row r="70" spans="1:18">
      <c r="A70" s="356">
        <f>ROW()</f>
        <v>70</v>
      </c>
      <c r="B70" s="74" t="s">
        <v>555</v>
      </c>
      <c r="C70" s="857">
        <v>10</v>
      </c>
      <c r="D70" s="104" t="s">
        <v>556</v>
      </c>
      <c r="E70" s="104"/>
      <c r="F70" s="1788">
        <v>0</v>
      </c>
      <c r="G70" s="736"/>
      <c r="H70" s="736"/>
      <c r="I70" s="736"/>
      <c r="J70" s="736"/>
      <c r="K70" s="736"/>
      <c r="L70" s="736"/>
      <c r="R70" s="353"/>
    </row>
    <row r="71" spans="1:18">
      <c r="A71" s="356">
        <f>ROW()</f>
        <v>71</v>
      </c>
      <c r="B71" s="74" t="s">
        <v>557</v>
      </c>
      <c r="C71" s="857">
        <v>0</v>
      </c>
      <c r="D71" s="104" t="s">
        <v>558</v>
      </c>
      <c r="E71" s="104"/>
      <c r="F71" s="1788">
        <v>0</v>
      </c>
      <c r="G71" s="736">
        <f>$C$71*' Enrol &amp; Rev'!G35</f>
        <v>0</v>
      </c>
      <c r="H71" s="736">
        <f>$C$71*' Enrol &amp; Rev'!H35</f>
        <v>0</v>
      </c>
      <c r="I71" s="736">
        <f>$C$71*' Enrol &amp; Rev'!I35</f>
        <v>0</v>
      </c>
      <c r="J71" s="736">
        <f>$C$71*' Enrol &amp; Rev'!J35</f>
        <v>0</v>
      </c>
      <c r="K71" s="736">
        <f>$C$71*' Enrol &amp; Rev'!K35</f>
        <v>0</v>
      </c>
      <c r="L71" s="736">
        <f>$C$71*' Enrol &amp; Rev'!L35</f>
        <v>0</v>
      </c>
      <c r="R71" s="353"/>
    </row>
    <row r="72" spans="1:18">
      <c r="A72" s="356">
        <f>ROW()</f>
        <v>72</v>
      </c>
      <c r="B72" s="74" t="s">
        <v>559</v>
      </c>
      <c r="C72" s="244">
        <v>60</v>
      </c>
      <c r="D72" s="104" t="s">
        <v>282</v>
      </c>
      <c r="E72" s="104"/>
      <c r="F72" s="1788">
        <v>0</v>
      </c>
      <c r="G72" s="736">
        <f>$C$72*' Enrol &amp; Rev'!G35</f>
        <v>32400</v>
      </c>
      <c r="H72" s="736">
        <f>$C$72*' Enrol &amp; Rev'!H35</f>
        <v>38880</v>
      </c>
      <c r="I72" s="736">
        <f>$C$72*' Enrol &amp; Rev'!I35</f>
        <v>45360</v>
      </c>
      <c r="J72" s="736">
        <f>$C$72*' Enrol &amp; Rev'!J35</f>
        <v>51840</v>
      </c>
      <c r="K72" s="736">
        <f>$C$72*' Enrol &amp; Rev'!K35</f>
        <v>53460</v>
      </c>
      <c r="L72" s="736">
        <f>$C$72*' Enrol &amp; Rev'!L35</f>
        <v>55080</v>
      </c>
      <c r="R72" s="353"/>
    </row>
    <row r="73" spans="1:18">
      <c r="A73" s="356">
        <f>ROW()</f>
        <v>73</v>
      </c>
      <c r="B73" s="74" t="s">
        <v>560</v>
      </c>
      <c r="C73" s="244">
        <v>0</v>
      </c>
      <c r="D73" s="104" t="s">
        <v>561</v>
      </c>
      <c r="E73" s="104"/>
      <c r="F73" s="1788">
        <v>0</v>
      </c>
      <c r="G73" s="1038">
        <f>$C$73*' Enrol &amp; Rev'!G35</f>
        <v>0</v>
      </c>
      <c r="H73" s="1038">
        <f>$C$73*' Enrol &amp; Rev'!H35</f>
        <v>0</v>
      </c>
      <c r="I73" s="1038">
        <f>$C$73*' Enrol &amp; Rev'!I35</f>
        <v>0</v>
      </c>
      <c r="J73" s="1038">
        <f>$C$73*' Enrol &amp; Rev'!J35</f>
        <v>0</v>
      </c>
      <c r="K73" s="1038">
        <f>$C$73*' Enrol &amp; Rev'!K35</f>
        <v>0</v>
      </c>
      <c r="L73" s="1038">
        <f>$C$73*' Enrol &amp; Rev'!L35</f>
        <v>0</v>
      </c>
      <c r="R73" s="353"/>
    </row>
    <row r="74" spans="1:18">
      <c r="A74" s="356">
        <f>ROW()</f>
        <v>74</v>
      </c>
      <c r="B74" s="74" t="s">
        <v>562</v>
      </c>
      <c r="C74" s="857">
        <v>0</v>
      </c>
      <c r="D74" s="104" t="s">
        <v>563</v>
      </c>
      <c r="E74" s="104"/>
      <c r="F74" s="1788">
        <v>0</v>
      </c>
      <c r="G74" s="736">
        <f>(' Enrol &amp; Rev'!G114+' Enrol &amp; Rev'!G132)*$C$74</f>
        <v>0</v>
      </c>
      <c r="H74" s="736">
        <f>(' Enrol &amp; Rev'!H114+' Enrol &amp; Rev'!H132)*$C$74</f>
        <v>0</v>
      </c>
      <c r="I74" s="736">
        <f>(' Enrol &amp; Rev'!I114+' Enrol &amp; Rev'!I132)*$C$74</f>
        <v>0</v>
      </c>
      <c r="J74" s="736">
        <f>(' Enrol &amp; Rev'!J114+' Enrol &amp; Rev'!J132)*$C$74</f>
        <v>0</v>
      </c>
      <c r="K74" s="736">
        <f>(' Enrol &amp; Rev'!K114+' Enrol &amp; Rev'!K132)*$C$74</f>
        <v>0</v>
      </c>
      <c r="L74" s="736">
        <f>(' Enrol &amp; Rev'!L114+' Enrol &amp; Rev'!L132)*$C$74</f>
        <v>0</v>
      </c>
      <c r="R74" s="353"/>
    </row>
    <row r="75" spans="1:18">
      <c r="A75" s="356">
        <f>ROW()</f>
        <v>75</v>
      </c>
      <c r="B75" s="74" t="s">
        <v>564</v>
      </c>
      <c r="C75" s="857">
        <v>0</v>
      </c>
      <c r="D75" s="104" t="s">
        <v>563</v>
      </c>
      <c r="E75" s="104"/>
      <c r="F75" s="1788">
        <v>0</v>
      </c>
      <c r="G75" s="736">
        <f>(' Enrol &amp; Rev'!G114+' Enrol &amp; Rev'!G132)*$C$75</f>
        <v>0</v>
      </c>
      <c r="H75" s="736">
        <f>(' Enrol &amp; Rev'!H114+' Enrol &amp; Rev'!H132)*$C$75</f>
        <v>0</v>
      </c>
      <c r="I75" s="736">
        <f>(' Enrol &amp; Rev'!I114+' Enrol &amp; Rev'!I132)*$C$75</f>
        <v>0</v>
      </c>
      <c r="J75" s="736">
        <f>(' Enrol &amp; Rev'!J114+' Enrol &amp; Rev'!J132)*$C$75</f>
        <v>0</v>
      </c>
      <c r="K75" s="736">
        <f>(' Enrol &amp; Rev'!K114+' Enrol &amp; Rev'!K132)*$C$75</f>
        <v>0</v>
      </c>
      <c r="L75" s="736">
        <f>(' Enrol &amp; Rev'!L114+' Enrol &amp; Rev'!L132)*$C$75</f>
        <v>0</v>
      </c>
      <c r="R75" s="353"/>
    </row>
    <row r="76" spans="1:18">
      <c r="A76" s="356">
        <f>ROW()</f>
        <v>76</v>
      </c>
      <c r="B76" s="74" t="s">
        <v>565</v>
      </c>
      <c r="C76" s="857">
        <v>31</v>
      </c>
      <c r="D76" s="104" t="s">
        <v>282</v>
      </c>
      <c r="E76" s="104"/>
      <c r="F76" s="1788">
        <v>0</v>
      </c>
      <c r="G76" s="734">
        <f>$C$76*' Enrol &amp; Rev'!G35</f>
        <v>16740</v>
      </c>
      <c r="H76" s="734">
        <f>$C$76*' Enrol &amp; Rev'!H35</f>
        <v>20088</v>
      </c>
      <c r="I76" s="734">
        <f>$C$76*' Enrol &amp; Rev'!I35</f>
        <v>23436</v>
      </c>
      <c r="J76" s="734">
        <f>$C$76*' Enrol &amp; Rev'!J35</f>
        <v>26784</v>
      </c>
      <c r="K76" s="734">
        <f>$C$76*' Enrol &amp; Rev'!K35</f>
        <v>27621</v>
      </c>
      <c r="L76" s="734">
        <f>$C$76*' Enrol &amp; Rev'!L35</f>
        <v>28458</v>
      </c>
      <c r="R76" s="353"/>
    </row>
    <row r="77" spans="1:18">
      <c r="A77" s="356">
        <f>ROW()</f>
        <v>77</v>
      </c>
      <c r="B77" s="74" t="s">
        <v>566</v>
      </c>
      <c r="C77" s="857">
        <v>150</v>
      </c>
      <c r="D77" s="104" t="s">
        <v>282</v>
      </c>
      <c r="E77" s="104"/>
      <c r="F77" s="1788">
        <v>0</v>
      </c>
      <c r="G77" s="734">
        <f>$C$77*' Enrol &amp; Rev'!G35</f>
        <v>81000</v>
      </c>
      <c r="H77" s="734">
        <f>$C$77*' Enrol &amp; Rev'!H35</f>
        <v>97200</v>
      </c>
      <c r="I77" s="734">
        <f>$C$77*' Enrol &amp; Rev'!I35</f>
        <v>113400</v>
      </c>
      <c r="J77" s="734">
        <f>$C$77*' Enrol &amp; Rev'!J35</f>
        <v>129600</v>
      </c>
      <c r="K77" s="734">
        <f>$C$77*' Enrol &amp; Rev'!K35</f>
        <v>133650</v>
      </c>
      <c r="L77" s="734">
        <f>$C$77*' Enrol &amp; Rev'!L35</f>
        <v>137700</v>
      </c>
      <c r="R77" s="353"/>
    </row>
    <row r="78" spans="1:18">
      <c r="A78" s="356">
        <f>ROW()</f>
        <v>78</v>
      </c>
      <c r="B78" s="74" t="s">
        <v>567</v>
      </c>
      <c r="C78" s="857">
        <v>24</v>
      </c>
      <c r="D78" s="104" t="s">
        <v>282</v>
      </c>
      <c r="E78" s="104"/>
      <c r="F78" s="1788">
        <v>0</v>
      </c>
      <c r="G78" s="734">
        <f>$C$78*' Enrol &amp; Rev'!G$35</f>
        <v>12960</v>
      </c>
      <c r="H78" s="734">
        <f>$C$78*' Enrol &amp; Rev'!H$35</f>
        <v>15552</v>
      </c>
      <c r="I78" s="734">
        <f>$C$78*' Enrol &amp; Rev'!I$35</f>
        <v>18144</v>
      </c>
      <c r="J78" s="734">
        <f>$C$78*' Enrol &amp; Rev'!J$35</f>
        <v>20736</v>
      </c>
      <c r="K78" s="734">
        <f>$C$78*' Enrol &amp; Rev'!K$35</f>
        <v>21384</v>
      </c>
      <c r="L78" s="734">
        <f>$C$78*' Enrol &amp; Rev'!L$35</f>
        <v>22032</v>
      </c>
      <c r="R78" s="353"/>
    </row>
    <row r="79" spans="1:18">
      <c r="A79" s="356">
        <f>ROW()</f>
        <v>79</v>
      </c>
      <c r="B79" s="74" t="s">
        <v>568</v>
      </c>
      <c r="C79" s="857">
        <v>0</v>
      </c>
      <c r="D79" s="104" t="s">
        <v>282</v>
      </c>
      <c r="E79" s="104"/>
      <c r="F79" s="1788">
        <v>0</v>
      </c>
      <c r="G79" s="734">
        <f>$C$79*' Enrol &amp; Rev'!G35</f>
        <v>0</v>
      </c>
      <c r="H79" s="734">
        <f>$C$79*' Enrol &amp; Rev'!H35</f>
        <v>0</v>
      </c>
      <c r="I79" s="734">
        <f>$C$79*' Enrol &amp; Rev'!I35</f>
        <v>0</v>
      </c>
      <c r="J79" s="734">
        <f>$C$79*' Enrol &amp; Rev'!J35</f>
        <v>0</v>
      </c>
      <c r="K79" s="734">
        <f>$C$79*' Enrol &amp; Rev'!K35</f>
        <v>0</v>
      </c>
      <c r="L79" s="734">
        <f>$C$79*' Enrol &amp; Rev'!L35</f>
        <v>0</v>
      </c>
      <c r="R79" s="353"/>
    </row>
    <row r="80" spans="1:18">
      <c r="A80" s="356">
        <f>ROW()</f>
        <v>80</v>
      </c>
      <c r="B80" s="74" t="s">
        <v>569</v>
      </c>
      <c r="C80" s="857">
        <v>0</v>
      </c>
      <c r="D80" s="104" t="s">
        <v>282</v>
      </c>
      <c r="E80" s="104"/>
      <c r="F80" s="1788">
        <v>0</v>
      </c>
      <c r="G80" s="734">
        <f>$C$80*' Enrol &amp; Rev'!G35</f>
        <v>0</v>
      </c>
      <c r="H80" s="734">
        <f>$C$80*' Enrol &amp; Rev'!H35</f>
        <v>0</v>
      </c>
      <c r="I80" s="734">
        <f>$C$80*' Enrol &amp; Rev'!I35</f>
        <v>0</v>
      </c>
      <c r="J80" s="734">
        <f>$C$80*' Enrol &amp; Rev'!J35</f>
        <v>0</v>
      </c>
      <c r="K80" s="734">
        <f>$C$80*' Enrol &amp; Rev'!K35</f>
        <v>0</v>
      </c>
      <c r="L80" s="734">
        <f>$C$80*' Enrol &amp; Rev'!L35</f>
        <v>0</v>
      </c>
      <c r="R80" s="353"/>
    </row>
    <row r="81" spans="1:18">
      <c r="A81" s="356">
        <f>ROW()</f>
        <v>81</v>
      </c>
      <c r="B81" s="74" t="s">
        <v>570</v>
      </c>
      <c r="C81" s="857">
        <v>496</v>
      </c>
      <c r="D81" s="104" t="s">
        <v>275</v>
      </c>
      <c r="E81" s="104"/>
      <c r="F81" s="1788">
        <v>0</v>
      </c>
      <c r="G81" s="734">
        <f>$C$81*' Enrol &amp; Rev'!G35*' Enrol &amp; Rev'!G87</f>
        <v>40176</v>
      </c>
      <c r="H81" s="734">
        <f>$C$81*' Enrol &amp; Rev'!H35*' Enrol &amp; Rev'!H87</f>
        <v>48211.199999999997</v>
      </c>
      <c r="I81" s="734">
        <f>$C$81*' Enrol &amp; Rev'!I35*' Enrol &amp; Rev'!I87</f>
        <v>56246.400000000001</v>
      </c>
      <c r="J81" s="734">
        <f>$C$81*' Enrol &amp; Rev'!J35*' Enrol &amp; Rev'!J87</f>
        <v>64281.599999999999</v>
      </c>
      <c r="K81" s="734">
        <f>$C$81*' Enrol &amp; Rev'!K35*' Enrol &amp; Rev'!K87</f>
        <v>66290.399999999994</v>
      </c>
      <c r="L81" s="734">
        <f>$C$81*' Enrol &amp; Rev'!L35*' Enrol &amp; Rev'!L87</f>
        <v>68299.199999999997</v>
      </c>
      <c r="R81" s="353"/>
    </row>
    <row r="82" spans="1:18">
      <c r="A82" s="356">
        <f>ROW()</f>
        <v>82</v>
      </c>
      <c r="B82" s="74" t="s">
        <v>571</v>
      </c>
      <c r="C82" s="857">
        <v>0</v>
      </c>
      <c r="D82" s="104" t="s">
        <v>572</v>
      </c>
      <c r="E82" s="104"/>
      <c r="F82" s="1788">
        <v>0</v>
      </c>
      <c r="G82" s="734">
        <f>$C$82*(Staff!G19+Staff!G20+Staff!G22)</f>
        <v>0</v>
      </c>
      <c r="H82" s="734">
        <f>$C$82*(Staff!H19+Staff!H20+Staff!H22)</f>
        <v>0</v>
      </c>
      <c r="I82" s="734">
        <f>$C$82*(Staff!I19+Staff!I20+Staff!I22)</f>
        <v>0</v>
      </c>
      <c r="J82" s="734">
        <f>$C$82*(Staff!J19+Staff!J20+Staff!J22)</f>
        <v>0</v>
      </c>
      <c r="K82" s="734">
        <f>$C$82*(Staff!K19+Staff!K20+Staff!K22)</f>
        <v>0</v>
      </c>
      <c r="L82" s="734">
        <f>$C$82*(Staff!L19+Staff!L20+Staff!L22)</f>
        <v>0</v>
      </c>
      <c r="R82" s="353"/>
    </row>
    <row r="83" spans="1:18">
      <c r="A83" s="356">
        <f>ROW()</f>
        <v>83</v>
      </c>
      <c r="B83" s="74" t="s">
        <v>573</v>
      </c>
      <c r="C83" s="857">
        <v>417</v>
      </c>
      <c r="D83" s="104" t="s">
        <v>574</v>
      </c>
      <c r="E83" s="104"/>
      <c r="F83" s="1788">
        <v>0</v>
      </c>
      <c r="G83" s="734">
        <f t="shared" ref="G83:L83" si="13">$C$83*12</f>
        <v>5004</v>
      </c>
      <c r="H83" s="734">
        <f t="shared" si="13"/>
        <v>5004</v>
      </c>
      <c r="I83" s="734">
        <f t="shared" si="13"/>
        <v>5004</v>
      </c>
      <c r="J83" s="734">
        <f t="shared" si="13"/>
        <v>5004</v>
      </c>
      <c r="K83" s="734">
        <f t="shared" si="13"/>
        <v>5004</v>
      </c>
      <c r="L83" s="734">
        <f t="shared" si="13"/>
        <v>5004</v>
      </c>
      <c r="R83" s="353"/>
    </row>
    <row r="84" spans="1:18">
      <c r="A84" s="356">
        <f>ROW()</f>
        <v>84</v>
      </c>
      <c r="B84" s="74" t="s">
        <v>575</v>
      </c>
      <c r="C84" s="857">
        <v>10</v>
      </c>
      <c r="D84" s="104" t="s">
        <v>576</v>
      </c>
      <c r="E84" s="104"/>
      <c r="F84" s="1788">
        <v>0</v>
      </c>
      <c r="G84" s="734">
        <f>$C$84*(' Enrol &amp; Rev'!G35-' Enrol &amp; Rev'!F35)</f>
        <v>5400</v>
      </c>
      <c r="H84" s="734">
        <f>$C$84*(' Enrol &amp; Rev'!H35-' Enrol &amp; Rev'!G35)</f>
        <v>1080</v>
      </c>
      <c r="I84" s="734">
        <f>$C$84*(' Enrol &amp; Rev'!I35-' Enrol &amp; Rev'!H35)</f>
        <v>1080</v>
      </c>
      <c r="J84" s="734">
        <f>$C$84*(' Enrol &amp; Rev'!J35-' Enrol &amp; Rev'!I35)</f>
        <v>1080</v>
      </c>
      <c r="K84" s="734">
        <f>$C$84*(' Enrol &amp; Rev'!K35-' Enrol &amp; Rev'!J35)</f>
        <v>270</v>
      </c>
      <c r="L84" s="734">
        <f>$C$84*(' Enrol &amp; Rev'!L35-' Enrol &amp; Rev'!K35)</f>
        <v>270</v>
      </c>
      <c r="R84" s="353"/>
    </row>
    <row r="85" spans="1:18">
      <c r="A85" s="356">
        <f>ROW()</f>
        <v>85</v>
      </c>
      <c r="B85" s="74" t="s">
        <v>577</v>
      </c>
      <c r="C85" s="857">
        <v>10</v>
      </c>
      <c r="D85" s="104" t="s">
        <v>578</v>
      </c>
      <c r="E85" s="104"/>
      <c r="F85" s="1788">
        <v>0</v>
      </c>
      <c r="G85" s="734"/>
      <c r="H85" s="734">
        <f>$C$84*(' Enrol &amp; Rev'!H35)-H84</f>
        <v>5400</v>
      </c>
      <c r="I85" s="734">
        <f>$C$84*(' Enrol &amp; Rev'!I35)-I84</f>
        <v>6480</v>
      </c>
      <c r="J85" s="734">
        <f>$C$84*(' Enrol &amp; Rev'!J35)-J84</f>
        <v>7560</v>
      </c>
      <c r="K85" s="734">
        <f>$C$84*(' Enrol &amp; Rev'!K35)-K84</f>
        <v>8640</v>
      </c>
      <c r="L85" s="734">
        <f>$C$84*(' Enrol &amp; Rev'!L35)-L84</f>
        <v>8910</v>
      </c>
      <c r="R85" s="353"/>
    </row>
    <row r="86" spans="1:18">
      <c r="A86" s="356">
        <f>ROW()</f>
        <v>86</v>
      </c>
      <c r="B86" s="74" t="s">
        <v>579</v>
      </c>
      <c r="C86" s="857">
        <v>10000</v>
      </c>
      <c r="D86" s="104" t="s">
        <v>580</v>
      </c>
      <c r="E86" s="104"/>
      <c r="F86" s="1788">
        <v>0</v>
      </c>
      <c r="G86" s="734">
        <f t="shared" ref="G86:L86" si="14">$C$86</f>
        <v>10000</v>
      </c>
      <c r="H86" s="734">
        <f t="shared" si="14"/>
        <v>10000</v>
      </c>
      <c r="I86" s="734">
        <f t="shared" si="14"/>
        <v>10000</v>
      </c>
      <c r="J86" s="734">
        <f t="shared" si="14"/>
        <v>10000</v>
      </c>
      <c r="K86" s="734">
        <f t="shared" si="14"/>
        <v>10000</v>
      </c>
      <c r="L86" s="734">
        <f t="shared" si="14"/>
        <v>10000</v>
      </c>
      <c r="R86" s="353"/>
    </row>
    <row r="87" spans="1:18">
      <c r="A87" s="356">
        <f>ROW()</f>
        <v>87</v>
      </c>
      <c r="B87" s="74" t="s">
        <v>581</v>
      </c>
      <c r="C87" s="857">
        <v>8</v>
      </c>
      <c r="D87" s="104" t="s">
        <v>582</v>
      </c>
      <c r="E87" s="104"/>
      <c r="F87" s="1788">
        <v>0</v>
      </c>
      <c r="G87" s="734">
        <f>$C$87*' Enrol &amp; Rev'!G35</f>
        <v>4320</v>
      </c>
      <c r="H87" s="734">
        <f>$C$87*' Enrol &amp; Rev'!H35</f>
        <v>5184</v>
      </c>
      <c r="I87" s="734">
        <f>$C$87*' Enrol &amp; Rev'!I35</f>
        <v>6048</v>
      </c>
      <c r="J87" s="734">
        <f>$C$87*' Enrol &amp; Rev'!J35</f>
        <v>6912</v>
      </c>
      <c r="K87" s="734">
        <f>$C$87*' Enrol &amp; Rev'!K35</f>
        <v>7128</v>
      </c>
      <c r="L87" s="734">
        <f>$C$87*' Enrol &amp; Rev'!L35</f>
        <v>7344</v>
      </c>
      <c r="R87" s="353"/>
    </row>
    <row r="88" spans="1:18">
      <c r="A88" s="356">
        <f>ROW()</f>
        <v>88</v>
      </c>
      <c r="B88" s="74" t="s">
        <v>583</v>
      </c>
      <c r="C88" s="857">
        <v>0</v>
      </c>
      <c r="D88" s="104" t="s">
        <v>580</v>
      </c>
      <c r="E88" s="104"/>
      <c r="F88" s="1788">
        <v>0</v>
      </c>
      <c r="G88" s="734">
        <f t="shared" ref="G88:L88" si="15">$C$88</f>
        <v>0</v>
      </c>
      <c r="H88" s="734">
        <f t="shared" si="15"/>
        <v>0</v>
      </c>
      <c r="I88" s="734">
        <f t="shared" si="15"/>
        <v>0</v>
      </c>
      <c r="J88" s="734">
        <f t="shared" si="15"/>
        <v>0</v>
      </c>
      <c r="K88" s="734">
        <f t="shared" si="15"/>
        <v>0</v>
      </c>
      <c r="L88" s="734">
        <f t="shared" si="15"/>
        <v>0</v>
      </c>
      <c r="R88" s="353"/>
    </row>
    <row r="89" spans="1:18">
      <c r="A89" s="356">
        <f>ROW()</f>
        <v>89</v>
      </c>
      <c r="B89" s="74" t="s">
        <v>1484</v>
      </c>
      <c r="C89" s="857">
        <v>10</v>
      </c>
      <c r="D89" s="104" t="s">
        <v>561</v>
      </c>
      <c r="E89" s="104"/>
      <c r="F89" s="1788">
        <v>0</v>
      </c>
      <c r="G89" s="734">
        <f>$C$89*' Enrol &amp; Rev'!G35</f>
        <v>5400</v>
      </c>
      <c r="H89" s="734">
        <f>$C$89*' Enrol &amp; Rev'!H35</f>
        <v>6480</v>
      </c>
      <c r="I89" s="734">
        <f>$C$89*' Enrol &amp; Rev'!I35</f>
        <v>7560</v>
      </c>
      <c r="J89" s="734">
        <f>$C$89*' Enrol &amp; Rev'!J35</f>
        <v>8640</v>
      </c>
      <c r="K89" s="734">
        <f>$C$89*' Enrol &amp; Rev'!K35</f>
        <v>8910</v>
      </c>
      <c r="L89" s="734">
        <f>$C$89*' Enrol &amp; Rev'!L35</f>
        <v>9180</v>
      </c>
      <c r="R89" s="353"/>
    </row>
    <row r="90" spans="1:18">
      <c r="A90" s="356">
        <f>ROW()</f>
        <v>90</v>
      </c>
      <c r="B90" s="74" t="s">
        <v>584</v>
      </c>
      <c r="C90" s="857">
        <v>2</v>
      </c>
      <c r="D90" s="104" t="s">
        <v>282</v>
      </c>
      <c r="E90" s="104"/>
      <c r="F90" s="1788">
        <v>0</v>
      </c>
      <c r="G90" s="734">
        <f>$C$90*' Enrol &amp; Rev'!G35</f>
        <v>1080</v>
      </c>
      <c r="H90" s="734">
        <f>$C$90*' Enrol &amp; Rev'!H35</f>
        <v>1296</v>
      </c>
      <c r="I90" s="734">
        <f>$C$90*' Enrol &amp; Rev'!I35</f>
        <v>1512</v>
      </c>
      <c r="J90" s="734">
        <f>$C$90*' Enrol &amp; Rev'!J35</f>
        <v>1728</v>
      </c>
      <c r="K90" s="734">
        <f>$C$90*' Enrol &amp; Rev'!K35</f>
        <v>1782</v>
      </c>
      <c r="L90" s="734">
        <f>$C$90*' Enrol &amp; Rev'!L35</f>
        <v>1836</v>
      </c>
      <c r="R90" s="353"/>
    </row>
    <row r="91" spans="1:18">
      <c r="A91" s="356">
        <f>ROW()</f>
        <v>91</v>
      </c>
      <c r="B91" s="74" t="s">
        <v>585</v>
      </c>
      <c r="C91" s="857">
        <v>10</v>
      </c>
      <c r="D91" s="104" t="s">
        <v>282</v>
      </c>
      <c r="E91" s="104"/>
      <c r="F91" s="1788">
        <v>0</v>
      </c>
      <c r="G91" s="734">
        <f>$C$91*' Enrol &amp; Rev'!G35</f>
        <v>5400</v>
      </c>
      <c r="H91" s="734">
        <f>$C$91*' Enrol &amp; Rev'!H35</f>
        <v>6480</v>
      </c>
      <c r="I91" s="734">
        <f>$C$91*' Enrol &amp; Rev'!I35</f>
        <v>7560</v>
      </c>
      <c r="J91" s="734">
        <f>$C$91*' Enrol &amp; Rev'!J35</f>
        <v>8640</v>
      </c>
      <c r="K91" s="734">
        <f>$C$91*' Enrol &amp; Rev'!K35</f>
        <v>8910</v>
      </c>
      <c r="L91" s="734">
        <f>$C$91*' Enrol &amp; Rev'!L35</f>
        <v>9180</v>
      </c>
      <c r="R91" s="353"/>
    </row>
    <row r="92" spans="1:18">
      <c r="A92" s="356">
        <f>ROW()</f>
        <v>92</v>
      </c>
      <c r="B92" s="74" t="s">
        <v>586</v>
      </c>
      <c r="C92" s="857">
        <v>10</v>
      </c>
      <c r="D92" s="104" t="s">
        <v>548</v>
      </c>
      <c r="E92" s="104"/>
      <c r="F92" s="1788">
        <v>0</v>
      </c>
      <c r="G92" s="734">
        <f>$C$92*Staff!H$23</f>
        <v>360</v>
      </c>
      <c r="H92" s="734">
        <f>$C$92*Staff!I$23</f>
        <v>470</v>
      </c>
      <c r="I92" s="734">
        <f>$C$92*Staff!J$23</f>
        <v>550</v>
      </c>
      <c r="J92" s="734">
        <f>$C$92*Staff!K$23</f>
        <v>600</v>
      </c>
      <c r="K92" s="734">
        <f>$C$92*Staff!L$23</f>
        <v>620</v>
      </c>
      <c r="L92" s="734">
        <f>$C$92*Staff!M$23</f>
        <v>630</v>
      </c>
      <c r="R92" s="353"/>
    </row>
    <row r="93" spans="1:18">
      <c r="A93" s="356">
        <f>ROW()</f>
        <v>93</v>
      </c>
      <c r="B93" s="74" t="s">
        <v>587</v>
      </c>
      <c r="C93" s="857">
        <v>10</v>
      </c>
      <c r="D93" s="104" t="s">
        <v>548</v>
      </c>
      <c r="E93" s="104"/>
      <c r="F93" s="1788">
        <v>0</v>
      </c>
      <c r="G93" s="734">
        <f>$C$93*Staff!H$23</f>
        <v>360</v>
      </c>
      <c r="H93" s="734">
        <f>$C$93*Staff!I$23</f>
        <v>470</v>
      </c>
      <c r="I93" s="734">
        <f>$C$93*Staff!J$23</f>
        <v>550</v>
      </c>
      <c r="J93" s="734">
        <f>$C$93*Staff!K$23</f>
        <v>600</v>
      </c>
      <c r="K93" s="734">
        <f>$C$93*Staff!L$23</f>
        <v>620</v>
      </c>
      <c r="L93" s="734">
        <f>$C$93*Staff!M$23</f>
        <v>630</v>
      </c>
      <c r="R93" s="353"/>
    </row>
    <row r="94" spans="1:18">
      <c r="A94" s="356">
        <f>ROW()</f>
        <v>94</v>
      </c>
      <c r="B94" s="74" t="s">
        <v>588</v>
      </c>
      <c r="C94" s="857">
        <v>1071</v>
      </c>
      <c r="D94" s="104" t="s">
        <v>548</v>
      </c>
      <c r="E94" s="104"/>
      <c r="F94" s="1788">
        <v>0</v>
      </c>
      <c r="G94" s="734">
        <f>$C$94*Staff!H$23</f>
        <v>38556</v>
      </c>
      <c r="H94" s="734">
        <f>$C$94*Staff!I$23</f>
        <v>50337</v>
      </c>
      <c r="I94" s="734">
        <f>$C$94*Staff!J$23</f>
        <v>58905</v>
      </c>
      <c r="J94" s="734">
        <f>$C$94*Staff!K$23</f>
        <v>64260</v>
      </c>
      <c r="K94" s="734">
        <f>$C$94*Staff!L$23</f>
        <v>66402</v>
      </c>
      <c r="L94" s="734">
        <f>$C$94*Staff!M$23</f>
        <v>67473</v>
      </c>
      <c r="R94" s="353"/>
    </row>
    <row r="95" spans="1:18">
      <c r="A95" s="356">
        <f>ROW()</f>
        <v>95</v>
      </c>
      <c r="B95" s="74" t="s">
        <v>589</v>
      </c>
      <c r="C95" s="857">
        <v>35</v>
      </c>
      <c r="D95" s="104" t="s">
        <v>590</v>
      </c>
      <c r="E95" s="104"/>
      <c r="F95" s="1788">
        <v>0</v>
      </c>
      <c r="G95" s="734">
        <f>IF($C$95*(Staff!H23-Staff!G23)&gt;0,$C$95*(Staff!H23-Staff!G23),0)</f>
        <v>1239</v>
      </c>
      <c r="H95" s="734">
        <f>IF($C$95*(Staff!I23-Staff!H23)&gt;0,$C$95*(Staff!I23-Staff!H23),0)</f>
        <v>385</v>
      </c>
      <c r="I95" s="734">
        <f>IF($C$95*(Staff!J23-Staff!I23)&gt;0,$C$95*(Staff!J23-Staff!I23),0)</f>
        <v>280</v>
      </c>
      <c r="J95" s="734">
        <f>IF($C$95*(Staff!K23-Staff!J23)&gt;0,$C$95*(Staff!K23-Staff!J23),0)</f>
        <v>175</v>
      </c>
      <c r="K95" s="734">
        <f>IF($C$95*(Staff!L23-Staff!K23)&gt;0,$C$95*(Staff!L23-Staff!K23),0)</f>
        <v>70</v>
      </c>
      <c r="L95" s="734">
        <f>IF($C$95*(Staff!M23-Staff!L23)&gt;0,$C$95*(Staff!M23-Staff!L23),0)</f>
        <v>35</v>
      </c>
      <c r="R95" s="353"/>
    </row>
    <row r="96" spans="1:18">
      <c r="A96" s="356">
        <f>ROW()</f>
        <v>96</v>
      </c>
      <c r="B96" s="74" t="s">
        <v>591</v>
      </c>
      <c r="C96" s="857">
        <v>65000</v>
      </c>
      <c r="D96" s="104" t="s">
        <v>580</v>
      </c>
      <c r="E96" s="104"/>
      <c r="F96" s="1788">
        <v>0</v>
      </c>
      <c r="G96" s="734">
        <f t="shared" ref="G96:L96" si="16">$C$96</f>
        <v>65000</v>
      </c>
      <c r="H96" s="734">
        <f t="shared" si="16"/>
        <v>65000</v>
      </c>
      <c r="I96" s="734">
        <f t="shared" si="16"/>
        <v>65000</v>
      </c>
      <c r="J96" s="734">
        <f t="shared" si="16"/>
        <v>65000</v>
      </c>
      <c r="K96" s="734">
        <f t="shared" si="16"/>
        <v>65000</v>
      </c>
      <c r="L96" s="734">
        <f t="shared" si="16"/>
        <v>65000</v>
      </c>
      <c r="R96" s="353"/>
    </row>
    <row r="97" spans="1:18">
      <c r="A97" s="356">
        <f>ROW()</f>
        <v>97</v>
      </c>
      <c r="B97" s="74" t="s">
        <v>592</v>
      </c>
      <c r="C97" s="857">
        <v>1200</v>
      </c>
      <c r="D97" s="104" t="s">
        <v>593</v>
      </c>
      <c r="E97" s="104"/>
      <c r="F97" s="1788">
        <v>0</v>
      </c>
      <c r="G97" s="734">
        <f>$C$97*' Enrol &amp; Rev'!G16</f>
        <v>7200</v>
      </c>
      <c r="H97" s="734">
        <f>$C$97*' Enrol &amp; Rev'!H16</f>
        <v>8400</v>
      </c>
      <c r="I97" s="734">
        <f>$C$97*' Enrol &amp; Rev'!I16</f>
        <v>9600</v>
      </c>
      <c r="J97" s="734">
        <f>$C$97*' Enrol &amp; Rev'!J16</f>
        <v>10800</v>
      </c>
      <c r="K97" s="734">
        <f>$C$97*' Enrol &amp; Rev'!K16</f>
        <v>10800</v>
      </c>
      <c r="L97" s="734">
        <f>$C$97*' Enrol &amp; Rev'!L16</f>
        <v>10800</v>
      </c>
      <c r="R97" s="353"/>
    </row>
    <row r="98" spans="1:18">
      <c r="A98" s="356">
        <f>ROW()</f>
        <v>98</v>
      </c>
      <c r="B98" s="74" t="s">
        <v>594</v>
      </c>
      <c r="C98" s="857">
        <v>0</v>
      </c>
      <c r="D98" s="104" t="s">
        <v>593</v>
      </c>
      <c r="E98" s="104"/>
      <c r="F98" s="1788">
        <v>0</v>
      </c>
      <c r="G98" s="734">
        <v>0</v>
      </c>
      <c r="H98" s="734">
        <f>$C$98*' Enrol &amp; Rev'!H16</f>
        <v>0</v>
      </c>
      <c r="I98" s="734">
        <f>$C$98*' Enrol &amp; Rev'!I16</f>
        <v>0</v>
      </c>
      <c r="J98" s="734">
        <f>$C$98*' Enrol &amp; Rev'!J16</f>
        <v>0</v>
      </c>
      <c r="K98" s="734">
        <f>$C$98*' Enrol &amp; Rev'!K16</f>
        <v>0</v>
      </c>
      <c r="L98" s="734">
        <f>$C$98*' Enrol &amp; Rev'!L16</f>
        <v>0</v>
      </c>
      <c r="R98" s="353"/>
    </row>
    <row r="99" spans="1:18">
      <c r="A99" s="356">
        <f>ROW()</f>
        <v>99</v>
      </c>
      <c r="B99" s="74" t="s">
        <v>595</v>
      </c>
      <c r="C99" s="244">
        <v>1000</v>
      </c>
      <c r="D99" s="104" t="s">
        <v>423</v>
      </c>
      <c r="E99" s="104"/>
      <c r="F99" s="1788">
        <v>0</v>
      </c>
      <c r="G99" s="734">
        <f t="shared" ref="G99:L100" si="17">+$C99</f>
        <v>1000</v>
      </c>
      <c r="H99" s="734">
        <f t="shared" si="17"/>
        <v>1000</v>
      </c>
      <c r="I99" s="734">
        <f t="shared" si="17"/>
        <v>1000</v>
      </c>
      <c r="J99" s="734">
        <f t="shared" si="17"/>
        <v>1000</v>
      </c>
      <c r="K99" s="734">
        <f t="shared" si="17"/>
        <v>1000</v>
      </c>
      <c r="L99" s="734">
        <f t="shared" si="17"/>
        <v>1000</v>
      </c>
      <c r="R99" s="353"/>
    </row>
    <row r="100" spans="1:18">
      <c r="A100" s="356">
        <f>ROW()</f>
        <v>100</v>
      </c>
      <c r="B100" s="74" t="s">
        <v>596</v>
      </c>
      <c r="C100" s="244">
        <v>4000</v>
      </c>
      <c r="D100" s="104" t="s">
        <v>423</v>
      </c>
      <c r="E100" s="104"/>
      <c r="F100" s="1788">
        <v>0</v>
      </c>
      <c r="G100" s="734">
        <f t="shared" si="17"/>
        <v>4000</v>
      </c>
      <c r="H100" s="734">
        <f t="shared" si="17"/>
        <v>4000</v>
      </c>
      <c r="I100" s="734">
        <f t="shared" si="17"/>
        <v>4000</v>
      </c>
      <c r="J100" s="734">
        <f t="shared" si="17"/>
        <v>4000</v>
      </c>
      <c r="K100" s="734">
        <f t="shared" si="17"/>
        <v>4000</v>
      </c>
      <c r="L100" s="734">
        <f t="shared" si="17"/>
        <v>4000</v>
      </c>
      <c r="R100" s="353"/>
    </row>
    <row r="101" spans="1:18">
      <c r="A101" s="356">
        <f>ROW()</f>
        <v>101</v>
      </c>
      <c r="B101" s="74" t="s">
        <v>597</v>
      </c>
      <c r="C101" s="244">
        <v>0</v>
      </c>
      <c r="D101" s="104" t="s">
        <v>423</v>
      </c>
      <c r="E101" s="104"/>
      <c r="F101" s="1788">
        <v>0</v>
      </c>
      <c r="G101" s="734">
        <v>0</v>
      </c>
      <c r="H101" s="734">
        <v>0</v>
      </c>
      <c r="I101" s="734">
        <v>0</v>
      </c>
      <c r="J101" s="734">
        <v>0</v>
      </c>
      <c r="K101" s="734">
        <v>0</v>
      </c>
      <c r="L101" s="734">
        <v>0</v>
      </c>
      <c r="R101" s="353"/>
    </row>
    <row r="102" spans="1:18">
      <c r="A102" s="356">
        <f>ROW()</f>
        <v>102</v>
      </c>
      <c r="B102" s="74" t="s">
        <v>598</v>
      </c>
      <c r="C102" s="857">
        <v>5000</v>
      </c>
      <c r="D102" s="104" t="s">
        <v>580</v>
      </c>
      <c r="E102" s="104"/>
      <c r="F102" s="1788">
        <v>0</v>
      </c>
      <c r="G102" s="734">
        <v>0</v>
      </c>
      <c r="H102" s="734">
        <f>$C$102</f>
        <v>5000</v>
      </c>
      <c r="I102" s="734">
        <f>$C$102</f>
        <v>5000</v>
      </c>
      <c r="J102" s="734">
        <f>$C$102</f>
        <v>5000</v>
      </c>
      <c r="K102" s="734">
        <f>$C$102</f>
        <v>5000</v>
      </c>
      <c r="L102" s="734">
        <f>$C$102</f>
        <v>5000</v>
      </c>
      <c r="R102" s="353"/>
    </row>
    <row r="103" spans="1:18">
      <c r="A103" s="356">
        <f>ROW()</f>
        <v>103</v>
      </c>
      <c r="B103" s="74" t="s">
        <v>599</v>
      </c>
      <c r="C103" s="244" t="s">
        <v>600</v>
      </c>
      <c r="D103" s="104" t="s">
        <v>601</v>
      </c>
      <c r="E103" s="104"/>
      <c r="F103" s="1788">
        <v>0</v>
      </c>
      <c r="G103" s="734">
        <v>0</v>
      </c>
      <c r="H103" s="734">
        <f>IF($C$103="yes",Staff!$C$73*Staff!$C$72*Staff!$C$71,0)</f>
        <v>0</v>
      </c>
      <c r="I103" s="734">
        <f>IF($C$103="yes",Staff!$C$73*Staff!$C$72*Staff!$C$71,0)</f>
        <v>0</v>
      </c>
      <c r="J103" s="734">
        <f>IF($C$103="yes",Staff!$C$73*Staff!$C$72*Staff!$C$71,0)</f>
        <v>0</v>
      </c>
      <c r="K103" s="734">
        <f>IF($C$103="yes",Staff!$C$73*Staff!$C$72*Staff!$C$71,0)</f>
        <v>0</v>
      </c>
      <c r="L103" s="734">
        <f>IF($C$103="yes",Staff!$C$73*Staff!$C$72*Staff!$C$71,0)</f>
        <v>0</v>
      </c>
      <c r="R103" s="353"/>
    </row>
    <row r="104" spans="1:18">
      <c r="A104" s="356">
        <f>ROW()</f>
        <v>104</v>
      </c>
      <c r="C104" s="138"/>
      <c r="D104" s="60"/>
      <c r="E104" s="60"/>
      <c r="F104" s="320"/>
      <c r="G104" s="320"/>
      <c r="H104" s="320"/>
      <c r="I104" s="320"/>
      <c r="J104" s="320"/>
      <c r="K104" s="320"/>
      <c r="L104" s="320"/>
      <c r="R104" s="353"/>
    </row>
    <row r="105" spans="1:18" ht="14.4" thickBot="1">
      <c r="A105" s="356">
        <f>ROW()</f>
        <v>105</v>
      </c>
      <c r="B105" s="1042" t="s">
        <v>602</v>
      </c>
      <c r="C105" s="1043"/>
      <c r="D105" s="1042"/>
      <c r="E105" s="1042"/>
      <c r="F105" s="1044">
        <f t="shared" ref="F105:L105" si="18">SUM(F65:F104)</f>
        <v>0</v>
      </c>
      <c r="G105" s="1044">
        <f t="shared" si="18"/>
        <v>585663</v>
      </c>
      <c r="H105" s="1044">
        <f t="shared" si="18"/>
        <v>571003.19999999995</v>
      </c>
      <c r="I105" s="1044">
        <f t="shared" si="18"/>
        <v>623705.4</v>
      </c>
      <c r="J105" s="1044">
        <f t="shared" si="18"/>
        <v>672420.6</v>
      </c>
      <c r="K105" s="1044">
        <f t="shared" si="18"/>
        <v>671042.4</v>
      </c>
      <c r="L105" s="1044">
        <f t="shared" si="18"/>
        <v>682580.2</v>
      </c>
      <c r="R105" s="353"/>
    </row>
    <row r="106" spans="1:18" ht="14.4" thickTop="1">
      <c r="A106" s="356">
        <f>ROW()</f>
        <v>106</v>
      </c>
      <c r="B106" s="82" t="s">
        <v>282</v>
      </c>
      <c r="C106" s="142"/>
      <c r="D106" s="82"/>
      <c r="E106" s="82"/>
      <c r="F106" s="633">
        <f>IFERROR(F105/' Enrol &amp; Rev'!F35,0)</f>
        <v>0</v>
      </c>
      <c r="G106" s="633">
        <f>IFERROR(G105/' Enrol &amp; Rev'!G35,0)</f>
        <v>1084.5611111111111</v>
      </c>
      <c r="H106" s="633">
        <f>IFERROR(H105/' Enrol &amp; Rev'!H35,0)</f>
        <v>881.17777777777769</v>
      </c>
      <c r="I106" s="633">
        <f>IFERROR(I105/' Enrol &amp; Rev'!I35,0)</f>
        <v>825.00714285714287</v>
      </c>
      <c r="J106" s="633">
        <f>IFERROR(J105/' Enrol &amp; Rev'!J35,0)</f>
        <v>778.26458333333335</v>
      </c>
      <c r="K106" s="633">
        <f>IFERROR(K105/' Enrol &amp; Rev'!K35,0)</f>
        <v>753.13400673400679</v>
      </c>
      <c r="L106" s="633">
        <f>IFERROR(L105/' Enrol &amp; Rev'!L35,0)</f>
        <v>743.5514161220043</v>
      </c>
      <c r="M106" s="82"/>
      <c r="N106" s="82"/>
      <c r="O106" s="82"/>
      <c r="P106" s="82"/>
      <c r="Q106" s="82"/>
      <c r="R106" s="353"/>
    </row>
    <row r="107" spans="1:18">
      <c r="A107" s="356">
        <f>ROW()</f>
        <v>107</v>
      </c>
      <c r="B107" s="33"/>
      <c r="C107" s="141"/>
      <c r="D107" s="33"/>
      <c r="E107" s="82"/>
      <c r="F107" s="138"/>
      <c r="G107" s="615"/>
      <c r="H107" s="615"/>
      <c r="I107" s="615"/>
      <c r="J107" s="615"/>
      <c r="K107" s="615"/>
      <c r="L107" s="615"/>
      <c r="M107" s="61"/>
      <c r="R107" s="353"/>
    </row>
    <row r="108" spans="1:18">
      <c r="A108" s="356">
        <f>ROW()</f>
        <v>108</v>
      </c>
      <c r="B108" s="33" t="s">
        <v>1407</v>
      </c>
      <c r="C108" s="141"/>
      <c r="D108" s="33"/>
      <c r="E108" s="82"/>
      <c r="F108" s="615"/>
      <c r="G108" s="615"/>
      <c r="H108" s="615"/>
      <c r="I108" s="615"/>
      <c r="J108" s="615"/>
      <c r="K108" s="615"/>
      <c r="L108" s="615"/>
      <c r="R108" s="353"/>
    </row>
    <row r="109" spans="1:18">
      <c r="A109" s="356">
        <f>ROW()</f>
        <v>109</v>
      </c>
      <c r="B109" s="35" t="s">
        <v>827</v>
      </c>
      <c r="C109" s="141"/>
      <c r="D109" s="33"/>
      <c r="E109" s="82"/>
      <c r="F109" s="1579"/>
      <c r="G109" s="1579"/>
      <c r="H109" s="1579"/>
      <c r="I109" s="1579"/>
      <c r="J109" s="1579"/>
      <c r="K109" s="1579"/>
      <c r="L109" s="1579"/>
      <c r="R109" s="353"/>
    </row>
    <row r="110" spans="1:18">
      <c r="A110" s="356">
        <f>ROW()</f>
        <v>110</v>
      </c>
      <c r="B110" s="35" t="s">
        <v>603</v>
      </c>
      <c r="C110" s="141"/>
      <c r="D110" s="33"/>
      <c r="E110" s="82"/>
      <c r="F110" s="1579"/>
      <c r="G110" s="1579">
        <v>25000</v>
      </c>
      <c r="H110" s="1579">
        <v>25000</v>
      </c>
      <c r="I110" s="1579">
        <v>25000</v>
      </c>
      <c r="J110" s="1579">
        <v>25000</v>
      </c>
      <c r="K110" s="1579">
        <v>25000</v>
      </c>
      <c r="L110" s="1579">
        <v>25000</v>
      </c>
      <c r="R110" s="353"/>
    </row>
    <row r="111" spans="1:18">
      <c r="A111" s="356">
        <f>ROW()</f>
        <v>111</v>
      </c>
      <c r="B111" s="35" t="s">
        <v>821</v>
      </c>
      <c r="C111" s="141"/>
      <c r="D111" s="33"/>
      <c r="E111" s="82"/>
      <c r="F111" s="1579"/>
      <c r="G111" s="1579"/>
      <c r="H111" s="1579"/>
      <c r="I111" s="1579"/>
      <c r="J111" s="1579"/>
      <c r="K111" s="1579"/>
      <c r="L111" s="1579"/>
      <c r="R111" s="353"/>
    </row>
    <row r="112" spans="1:18">
      <c r="A112" s="356">
        <f>ROW()</f>
        <v>112</v>
      </c>
      <c r="B112" s="35" t="s">
        <v>824</v>
      </c>
      <c r="C112" s="141"/>
      <c r="D112" s="33"/>
      <c r="E112" s="82"/>
      <c r="F112" s="1579"/>
      <c r="G112" s="1579"/>
      <c r="H112" s="1579"/>
      <c r="I112" s="1579"/>
      <c r="J112" s="1579"/>
      <c r="K112" s="1579"/>
      <c r="L112" s="1579"/>
      <c r="R112" s="353"/>
    </row>
    <row r="113" spans="1:18">
      <c r="A113" s="356">
        <f>ROW()</f>
        <v>113</v>
      </c>
      <c r="B113" s="35" t="s">
        <v>1406</v>
      </c>
      <c r="C113" s="141"/>
      <c r="D113" s="33"/>
      <c r="E113" s="82"/>
      <c r="F113" s="1579"/>
      <c r="G113" s="1579"/>
      <c r="H113" s="1579"/>
      <c r="I113" s="1579"/>
      <c r="J113" s="1579"/>
      <c r="K113" s="1579"/>
      <c r="L113" s="1579"/>
      <c r="R113" s="353"/>
    </row>
    <row r="114" spans="1:18">
      <c r="A114" s="356">
        <f>ROW()</f>
        <v>114</v>
      </c>
      <c r="B114" s="35" t="s">
        <v>822</v>
      </c>
      <c r="C114" s="141"/>
      <c r="D114" s="33"/>
      <c r="E114" s="82"/>
      <c r="F114" s="1579"/>
      <c r="G114" s="1579"/>
      <c r="H114" s="1579"/>
      <c r="I114" s="1579"/>
      <c r="J114" s="1579"/>
      <c r="K114" s="1579"/>
      <c r="L114" s="1579"/>
      <c r="R114" s="353"/>
    </row>
    <row r="115" spans="1:18">
      <c r="A115" s="356">
        <f>ROW()</f>
        <v>115</v>
      </c>
      <c r="B115" s="35" t="s">
        <v>1402</v>
      </c>
      <c r="C115" s="141"/>
      <c r="D115" s="33"/>
      <c r="E115" s="82"/>
      <c r="F115" s="1579"/>
      <c r="G115" s="1579"/>
      <c r="H115" s="1579"/>
      <c r="I115" s="1579"/>
      <c r="J115" s="1579"/>
      <c r="K115" s="1579"/>
      <c r="L115" s="1579"/>
      <c r="R115" s="353"/>
    </row>
    <row r="116" spans="1:18">
      <c r="A116" s="356">
        <f>ROW()</f>
        <v>116</v>
      </c>
      <c r="B116" s="35" t="s">
        <v>820</v>
      </c>
      <c r="C116" s="141"/>
      <c r="D116" s="33"/>
      <c r="E116" s="82"/>
      <c r="F116" s="1579"/>
      <c r="G116" s="1579"/>
      <c r="H116" s="1579"/>
      <c r="I116" s="1579"/>
      <c r="J116" s="1579"/>
      <c r="K116" s="1579"/>
      <c r="L116" s="1579"/>
      <c r="R116" s="353"/>
    </row>
    <row r="117" spans="1:18">
      <c r="A117" s="356">
        <f>ROW()</f>
        <v>117</v>
      </c>
      <c r="B117" s="35" t="s">
        <v>1405</v>
      </c>
      <c r="C117" s="141"/>
      <c r="D117" s="33"/>
      <c r="E117" s="82"/>
      <c r="F117" s="1579"/>
      <c r="G117" s="1579"/>
      <c r="H117" s="1579"/>
      <c r="I117" s="1579"/>
      <c r="J117" s="1579"/>
      <c r="K117" s="1579"/>
      <c r="L117" s="1579"/>
      <c r="R117" s="353"/>
    </row>
    <row r="118" spans="1:18">
      <c r="A118" s="356">
        <f>ROW()</f>
        <v>118</v>
      </c>
      <c r="B118" s="35" t="s">
        <v>1235</v>
      </c>
      <c r="C118" s="141"/>
      <c r="D118" s="33"/>
      <c r="E118" s="82"/>
      <c r="F118" s="1579"/>
      <c r="G118" s="1579">
        <v>50000</v>
      </c>
      <c r="H118" s="1579">
        <v>50000</v>
      </c>
      <c r="I118" s="1579">
        <v>50000</v>
      </c>
      <c r="J118" s="1579">
        <v>50000</v>
      </c>
      <c r="K118" s="1579">
        <v>50000</v>
      </c>
      <c r="L118" s="1579">
        <v>50000</v>
      </c>
      <c r="R118" s="353"/>
    </row>
    <row r="119" spans="1:18">
      <c r="A119" s="356">
        <f>ROW()</f>
        <v>119</v>
      </c>
      <c r="B119" s="35" t="s">
        <v>1409</v>
      </c>
      <c r="C119" s="141"/>
      <c r="D119" s="33"/>
      <c r="E119" s="82"/>
      <c r="F119" s="1579"/>
      <c r="G119" s="1579"/>
      <c r="H119" s="1579"/>
      <c r="I119" s="1579"/>
      <c r="J119" s="1579"/>
      <c r="K119" s="1579"/>
      <c r="L119" s="1579"/>
      <c r="R119" s="353"/>
    </row>
    <row r="120" spans="1:18">
      <c r="A120" s="356">
        <f>ROW()</f>
        <v>120</v>
      </c>
      <c r="B120" s="35" t="s">
        <v>1410</v>
      </c>
      <c r="C120" s="141"/>
      <c r="D120" s="33"/>
      <c r="E120" s="82"/>
      <c r="F120" s="1579"/>
      <c r="G120" s="1579"/>
      <c r="H120" s="1579"/>
      <c r="I120" s="1579"/>
      <c r="J120" s="1579"/>
      <c r="K120" s="1579"/>
      <c r="L120" s="1579"/>
      <c r="R120" s="353"/>
    </row>
    <row r="121" spans="1:18">
      <c r="A121" s="356">
        <f>ROW()</f>
        <v>121</v>
      </c>
      <c r="B121" s="35" t="s">
        <v>1400</v>
      </c>
      <c r="C121" s="141"/>
      <c r="D121" s="33"/>
      <c r="E121" s="82"/>
      <c r="F121" s="1579"/>
      <c r="G121" s="1579"/>
      <c r="H121" s="1580"/>
      <c r="I121" s="1580"/>
      <c r="J121" s="1580"/>
      <c r="K121" s="1580"/>
      <c r="L121" s="1580"/>
      <c r="R121" s="353"/>
    </row>
    <row r="122" spans="1:18">
      <c r="A122" s="356">
        <f>ROW()</f>
        <v>122</v>
      </c>
      <c r="B122" s="35" t="s">
        <v>1401</v>
      </c>
      <c r="C122" s="141"/>
      <c r="D122" s="33"/>
      <c r="E122" s="82"/>
      <c r="F122" s="1579"/>
      <c r="G122" s="1579">
        <v>25000</v>
      </c>
      <c r="H122" s="1579">
        <v>25000</v>
      </c>
      <c r="I122" s="1579">
        <v>25000</v>
      </c>
      <c r="J122" s="1579">
        <v>25000</v>
      </c>
      <c r="K122" s="1579">
        <v>25000</v>
      </c>
      <c r="L122" s="1579">
        <v>25000</v>
      </c>
      <c r="R122" s="353"/>
    </row>
    <row r="123" spans="1:18">
      <c r="A123" s="356">
        <f>ROW()</f>
        <v>123</v>
      </c>
      <c r="B123" s="35" t="s">
        <v>1404</v>
      </c>
      <c r="C123" s="141"/>
      <c r="D123" s="33"/>
      <c r="E123" s="82"/>
      <c r="F123" s="1579"/>
      <c r="G123" s="1579"/>
      <c r="H123" s="1579"/>
      <c r="I123" s="1579"/>
      <c r="J123" s="1579"/>
      <c r="K123" s="1579"/>
      <c r="L123" s="1579"/>
      <c r="R123" s="353" t="s">
        <v>1411</v>
      </c>
    </row>
    <row r="124" spans="1:18">
      <c r="A124" s="356">
        <f>ROW()</f>
        <v>124</v>
      </c>
      <c r="B124" s="35" t="s">
        <v>1403</v>
      </c>
      <c r="C124" s="141"/>
      <c r="D124" s="33"/>
      <c r="E124" s="82"/>
      <c r="F124" s="1579"/>
      <c r="G124" s="1579"/>
      <c r="H124" s="1579"/>
      <c r="I124" s="1579"/>
      <c r="J124" s="1579"/>
      <c r="K124" s="1579"/>
      <c r="L124" s="1579"/>
      <c r="R124" s="353" t="s">
        <v>1411</v>
      </c>
    </row>
    <row r="125" spans="1:18">
      <c r="A125" s="356">
        <f>ROW()</f>
        <v>125</v>
      </c>
      <c r="B125" s="35" t="s">
        <v>1408</v>
      </c>
      <c r="C125" s="141"/>
      <c r="D125" s="33"/>
      <c r="E125" s="82"/>
      <c r="F125" s="1579"/>
      <c r="G125" s="1579"/>
      <c r="H125" s="1579"/>
      <c r="I125" s="1579"/>
      <c r="J125" s="1579"/>
      <c r="K125" s="1579"/>
      <c r="L125" s="1579"/>
      <c r="R125" s="353"/>
    </row>
    <row r="126" spans="1:18">
      <c r="A126" s="356">
        <f>ROW()</f>
        <v>126</v>
      </c>
      <c r="B126" s="35" t="s">
        <v>823</v>
      </c>
      <c r="C126" s="141"/>
      <c r="D126" s="33"/>
      <c r="E126" s="82"/>
      <c r="F126" s="1579"/>
      <c r="G126" s="1579"/>
      <c r="H126" s="1579"/>
      <c r="I126" s="1579"/>
      <c r="J126" s="1579"/>
      <c r="K126" s="1579"/>
      <c r="L126" s="1579"/>
      <c r="R126" s="353"/>
    </row>
    <row r="127" spans="1:18">
      <c r="A127" s="356">
        <f>ROW()</f>
        <v>127</v>
      </c>
      <c r="B127" s="35" t="s">
        <v>825</v>
      </c>
      <c r="C127" s="141"/>
      <c r="D127" s="33"/>
      <c r="E127" s="82"/>
      <c r="F127" s="1579"/>
      <c r="G127" s="1579">
        <v>25000</v>
      </c>
      <c r="H127" s="1579">
        <v>25000</v>
      </c>
      <c r="I127" s="1579">
        <v>25000</v>
      </c>
      <c r="J127" s="1579">
        <v>25000</v>
      </c>
      <c r="K127" s="1579">
        <v>25000</v>
      </c>
      <c r="L127" s="1579">
        <v>25000</v>
      </c>
      <c r="R127" s="353"/>
    </row>
    <row r="128" spans="1:18">
      <c r="A128" s="356">
        <f>ROW()</f>
        <v>128</v>
      </c>
      <c r="C128" s="141"/>
      <c r="D128" s="33"/>
      <c r="E128" s="82"/>
      <c r="F128" s="1579"/>
      <c r="G128" s="1579"/>
      <c r="H128" s="1579"/>
      <c r="I128" s="1579"/>
      <c r="J128" s="1579"/>
      <c r="K128" s="1579"/>
      <c r="L128" s="1579"/>
      <c r="R128" s="353"/>
    </row>
    <row r="129" spans="1:18">
      <c r="A129" s="356">
        <f>ROW()</f>
        <v>129</v>
      </c>
      <c r="B129" s="1704" t="s">
        <v>2066</v>
      </c>
      <c r="C129" s="141"/>
      <c r="D129" s="33"/>
      <c r="E129" s="82"/>
      <c r="F129" s="1579"/>
      <c r="G129" s="1579">
        <v>40000</v>
      </c>
      <c r="H129" s="1579">
        <v>40000</v>
      </c>
      <c r="I129" s="1579">
        <v>40000</v>
      </c>
      <c r="J129" s="1579">
        <v>40000</v>
      </c>
      <c r="K129" s="1579">
        <v>40000</v>
      </c>
      <c r="L129" s="1579">
        <v>40000</v>
      </c>
      <c r="R129" s="353"/>
    </row>
    <row r="130" spans="1:18">
      <c r="A130" s="356">
        <f>ROW()</f>
        <v>130</v>
      </c>
      <c r="B130" s="1704" t="s">
        <v>2067</v>
      </c>
      <c r="C130" s="141"/>
      <c r="D130" s="33"/>
      <c r="E130" s="82"/>
      <c r="F130" s="1579"/>
      <c r="G130" s="1579">
        <v>7500</v>
      </c>
      <c r="H130" s="1579"/>
      <c r="I130" s="1579"/>
      <c r="J130" s="1579"/>
      <c r="K130" s="1579"/>
      <c r="L130" s="1579"/>
      <c r="R130" s="353"/>
    </row>
    <row r="131" spans="1:18">
      <c r="A131" s="356">
        <f>ROW()</f>
        <v>131</v>
      </c>
      <c r="B131" s="1704" t="s">
        <v>2068</v>
      </c>
      <c r="C131" s="141"/>
      <c r="D131" s="33"/>
      <c r="E131" s="82"/>
      <c r="F131" s="1579"/>
      <c r="G131" s="1579">
        <v>12000</v>
      </c>
      <c r="H131" s="1579">
        <v>12000</v>
      </c>
      <c r="I131" s="1579">
        <v>12000</v>
      </c>
      <c r="J131" s="1579">
        <v>12000</v>
      </c>
      <c r="K131" s="1579">
        <v>12000</v>
      </c>
      <c r="L131" s="1579">
        <v>12000</v>
      </c>
      <c r="R131" s="353"/>
    </row>
    <row r="132" spans="1:18">
      <c r="A132" s="356">
        <f>ROW()</f>
        <v>132</v>
      </c>
      <c r="B132" s="1704" t="s">
        <v>2069</v>
      </c>
      <c r="C132" s="141"/>
      <c r="D132" s="33"/>
      <c r="E132" s="82"/>
      <c r="F132" s="1579"/>
      <c r="G132" s="1579">
        <v>40000</v>
      </c>
      <c r="H132" s="1579">
        <v>40000</v>
      </c>
      <c r="I132" s="1579">
        <v>40000</v>
      </c>
      <c r="J132" s="1579">
        <v>40000</v>
      </c>
      <c r="K132" s="1579">
        <v>40000</v>
      </c>
      <c r="L132" s="1579">
        <v>40000</v>
      </c>
      <c r="R132" s="353"/>
    </row>
    <row r="133" spans="1:18">
      <c r="A133" s="356">
        <f>ROW()</f>
        <v>133</v>
      </c>
      <c r="B133" s="1704"/>
      <c r="C133" s="141"/>
      <c r="D133" s="33"/>
      <c r="E133" s="82"/>
      <c r="F133" s="1579"/>
      <c r="G133" s="1579"/>
      <c r="H133" s="1579"/>
      <c r="I133" s="1579"/>
      <c r="J133" s="1579"/>
      <c r="K133" s="1579"/>
      <c r="L133" s="1579"/>
      <c r="R133" s="353"/>
    </row>
    <row r="134" spans="1:18">
      <c r="A134" s="356">
        <f>ROW()</f>
        <v>134</v>
      </c>
      <c r="B134" s="1704" t="s">
        <v>1228</v>
      </c>
      <c r="C134" s="141"/>
      <c r="D134" s="33"/>
      <c r="E134" s="82"/>
      <c r="F134" s="1579"/>
      <c r="G134" s="1579"/>
      <c r="H134" s="1579"/>
      <c r="I134" s="1579"/>
      <c r="J134" s="1579"/>
      <c r="K134" s="1579"/>
      <c r="L134" s="1579"/>
      <c r="R134" s="353"/>
    </row>
    <row r="135" spans="1:18">
      <c r="A135" s="356">
        <f>ROW()</f>
        <v>135</v>
      </c>
      <c r="B135" s="1704" t="s">
        <v>1245</v>
      </c>
      <c r="C135" s="141"/>
      <c r="D135" s="33"/>
      <c r="E135" s="82"/>
      <c r="F135" s="1579"/>
      <c r="G135" s="1579"/>
      <c r="H135" s="1579"/>
      <c r="I135" s="1579"/>
      <c r="J135" s="1579"/>
      <c r="K135" s="1579"/>
      <c r="L135" s="1579"/>
      <c r="R135" s="353"/>
    </row>
    <row r="136" spans="1:18">
      <c r="A136" s="356">
        <f>ROW()</f>
        <v>136</v>
      </c>
      <c r="B136" s="1704" t="s">
        <v>1245</v>
      </c>
      <c r="C136" s="141"/>
      <c r="D136" s="33"/>
      <c r="E136" s="82"/>
      <c r="F136" s="1579"/>
      <c r="G136" s="1579"/>
      <c r="H136" s="1579"/>
      <c r="I136" s="1579"/>
      <c r="J136" s="1579"/>
      <c r="K136" s="1579"/>
      <c r="L136" s="1579"/>
      <c r="R136" s="353"/>
    </row>
    <row r="137" spans="1:18">
      <c r="A137" s="356">
        <f>ROW()</f>
        <v>137</v>
      </c>
      <c r="B137" s="1704" t="s">
        <v>1245</v>
      </c>
      <c r="C137" s="141"/>
      <c r="D137" s="33"/>
      <c r="E137" s="82"/>
      <c r="F137" s="1579"/>
      <c r="G137" s="1579"/>
      <c r="H137" s="1579"/>
      <c r="I137" s="1579"/>
      <c r="J137" s="1579"/>
      <c r="K137" s="1579"/>
      <c r="L137" s="1579"/>
      <c r="R137" s="353"/>
    </row>
    <row r="138" spans="1:18">
      <c r="A138" s="356">
        <f>ROW()</f>
        <v>138</v>
      </c>
      <c r="B138" s="1704" t="s">
        <v>1245</v>
      </c>
      <c r="C138" s="141"/>
      <c r="D138" s="33"/>
      <c r="E138" s="82"/>
      <c r="F138" s="1579"/>
      <c r="G138" s="1579"/>
      <c r="H138" s="1579"/>
      <c r="I138" s="1579"/>
      <c r="J138" s="1579"/>
      <c r="K138" s="1579"/>
      <c r="L138" s="1579"/>
      <c r="R138" s="353"/>
    </row>
    <row r="139" spans="1:18">
      <c r="A139" s="356">
        <f>ROW()</f>
        <v>139</v>
      </c>
      <c r="B139" s="1704" t="s">
        <v>1245</v>
      </c>
      <c r="C139" s="141"/>
      <c r="D139" s="33"/>
      <c r="E139" s="82"/>
      <c r="F139" s="1579"/>
      <c r="G139" s="1579"/>
      <c r="H139" s="1579"/>
      <c r="I139" s="1579"/>
      <c r="J139" s="1579"/>
      <c r="K139" s="1579"/>
      <c r="L139" s="1579"/>
      <c r="R139" s="353"/>
    </row>
    <row r="140" spans="1:18">
      <c r="A140" s="356">
        <f>ROW()</f>
        <v>140</v>
      </c>
      <c r="B140" s="353"/>
      <c r="C140" s="141"/>
      <c r="D140" s="33"/>
      <c r="E140" s="82"/>
      <c r="F140" s="1579"/>
      <c r="G140" s="1579"/>
      <c r="H140" s="1579"/>
      <c r="I140" s="1579"/>
      <c r="J140" s="1579"/>
      <c r="K140" s="1579"/>
      <c r="L140" s="1579"/>
      <c r="R140" s="353"/>
    </row>
    <row r="141" spans="1:18">
      <c r="A141" s="356">
        <f>ROW()</f>
        <v>141</v>
      </c>
      <c r="B141" s="353"/>
      <c r="C141" s="141"/>
      <c r="D141" s="33"/>
      <c r="E141" s="82"/>
      <c r="F141" s="1579"/>
      <c r="G141" s="1579"/>
      <c r="H141" s="1579"/>
      <c r="I141" s="1579"/>
      <c r="J141" s="1579"/>
      <c r="K141" s="1579"/>
      <c r="L141" s="1579"/>
      <c r="R141" s="353"/>
    </row>
    <row r="142" spans="1:18">
      <c r="A142" s="356">
        <f>ROW()</f>
        <v>142</v>
      </c>
      <c r="B142" s="33"/>
      <c r="C142" s="138"/>
      <c r="D142" s="60"/>
      <c r="E142" s="82"/>
      <c r="F142" s="845"/>
      <c r="G142" s="845"/>
      <c r="H142" s="845"/>
      <c r="I142" s="845"/>
      <c r="J142" s="845"/>
      <c r="K142" s="845"/>
      <c r="L142" s="845"/>
      <c r="R142" s="353"/>
    </row>
    <row r="143" spans="1:18" ht="14.4" thickBot="1">
      <c r="A143" s="356">
        <f>ROW()</f>
        <v>143</v>
      </c>
      <c r="B143" s="1042" t="s">
        <v>1412</v>
      </c>
      <c r="C143" s="1043"/>
      <c r="D143" s="1042"/>
      <c r="E143" s="1042"/>
      <c r="F143" s="1044">
        <f t="shared" ref="F143:L143" si="19">SUM(F109:F141)</f>
        <v>0</v>
      </c>
      <c r="G143" s="1044">
        <f t="shared" si="19"/>
        <v>224500</v>
      </c>
      <c r="H143" s="1044">
        <f t="shared" si="19"/>
        <v>217000</v>
      </c>
      <c r="I143" s="1044">
        <f t="shared" si="19"/>
        <v>217000</v>
      </c>
      <c r="J143" s="1044">
        <f t="shared" si="19"/>
        <v>217000</v>
      </c>
      <c r="K143" s="1044">
        <f t="shared" si="19"/>
        <v>217000</v>
      </c>
      <c r="L143" s="1044">
        <f t="shared" si="19"/>
        <v>217000</v>
      </c>
      <c r="R143" s="353"/>
    </row>
    <row r="144" spans="1:18" ht="14.4" thickTop="1">
      <c r="A144" s="356">
        <f>ROW()</f>
        <v>144</v>
      </c>
      <c r="B144" s="33"/>
      <c r="C144" s="141"/>
      <c r="D144" s="33"/>
      <c r="E144" s="82"/>
      <c r="F144" s="138"/>
      <c r="G144" s="138"/>
      <c r="H144" s="138"/>
      <c r="I144" s="615"/>
      <c r="J144" s="615"/>
      <c r="K144" s="615"/>
      <c r="L144" s="615"/>
      <c r="N144" s="61"/>
      <c r="O144" s="61"/>
      <c r="P144" s="61"/>
      <c r="Q144" s="61"/>
      <c r="R144" s="353"/>
    </row>
    <row r="145" spans="1:18">
      <c r="A145" s="356">
        <f>ROW()</f>
        <v>145</v>
      </c>
      <c r="B145" s="33" t="s">
        <v>604</v>
      </c>
      <c r="C145" s="141" t="s">
        <v>605</v>
      </c>
      <c r="D145" s="33"/>
      <c r="E145" s="33"/>
      <c r="F145" s="138"/>
      <c r="G145" s="138"/>
      <c r="H145" s="138"/>
      <c r="I145" s="615"/>
      <c r="J145" s="615"/>
      <c r="K145" s="615"/>
      <c r="L145" s="615"/>
      <c r="N145" s="61"/>
      <c r="O145" s="61"/>
      <c r="P145" s="61"/>
      <c r="Q145" s="61"/>
      <c r="R145" s="353"/>
    </row>
    <row r="146" spans="1:18">
      <c r="A146" s="356">
        <f>ROW()</f>
        <v>146</v>
      </c>
      <c r="B146" s="35" t="s">
        <v>606</v>
      </c>
      <c r="C146" s="333" t="s">
        <v>277</v>
      </c>
      <c r="D146" s="358">
        <v>1.75</v>
      </c>
      <c r="E146" s="636"/>
      <c r="F146" s="615"/>
      <c r="G146" s="615">
        <f>IF($C$146="yes",' Enrol &amp; Rev'!G35*Staff!$C$70*$D$146,(' Enrol &amp; Rev'!G35*' Enrol &amp; Rev'!G85)*Staff!$C$70*$D$146)</f>
        <v>170100</v>
      </c>
      <c r="H146" s="615">
        <f>IF($C$146="yes",' Enrol &amp; Rev'!H35*Staff!$C$70*$D$146,(' Enrol &amp; Rev'!H35*' Enrol &amp; Rev'!H85)*Staff!$C$70*$D$146)</f>
        <v>204120</v>
      </c>
      <c r="I146" s="615">
        <f>IF($C$146="yes",' Enrol &amp; Rev'!I35*Staff!$C$70*$D$146,(' Enrol &amp; Rev'!I35*' Enrol &amp; Rev'!I85)*Staff!$C$70*$D$146)</f>
        <v>238140</v>
      </c>
      <c r="J146" s="615">
        <f>IF($C$146="yes",' Enrol &amp; Rev'!J35*Staff!$C$70*$D$146,(' Enrol &amp; Rev'!J35*' Enrol &amp; Rev'!J85)*Staff!$C$70*$D$146)</f>
        <v>272160</v>
      </c>
      <c r="K146" s="615">
        <f>IF($C$146="yes",' Enrol &amp; Rev'!K35*Staff!$C$70*$D$146,(' Enrol &amp; Rev'!K35*' Enrol &amp; Rev'!K85)*Staff!$C$70*$D$146)</f>
        <v>280665</v>
      </c>
      <c r="L146" s="615">
        <f>IF($C$146="yes",' Enrol &amp; Rev'!L35*Staff!$C$70*$D$146,(' Enrol &amp; Rev'!L35*' Enrol &amp; Rev'!L85)*Staff!$C$70*$D$146)</f>
        <v>289170</v>
      </c>
      <c r="R146" s="353"/>
    </row>
    <row r="147" spans="1:18">
      <c r="A147" s="356">
        <f>ROW()</f>
        <v>147</v>
      </c>
      <c r="B147" s="45" t="s">
        <v>607</v>
      </c>
      <c r="C147" s="333" t="s">
        <v>277</v>
      </c>
      <c r="D147" s="638">
        <v>2.6</v>
      </c>
      <c r="E147" s="637"/>
      <c r="F147" s="846"/>
      <c r="G147" s="615">
        <f>IF($C$147="yes",' Enrol &amp; Rev'!G35*Staff!$C$70*$D$147,(' Enrol &amp; Rev'!G35*' Enrol &amp; Rev'!G85)*Staff!$C$70*$D$147)</f>
        <v>252720</v>
      </c>
      <c r="H147" s="615">
        <f>IF($C$147="yes",' Enrol &amp; Rev'!H35*Staff!$C$70*$D$147,(' Enrol &amp; Rev'!H35*' Enrol &amp; Rev'!H85)*Staff!$C$70*$D$147)</f>
        <v>303264</v>
      </c>
      <c r="I147" s="615">
        <f>IF($C$147="yes",' Enrol &amp; Rev'!I35*Staff!$C$70*$D$147,(' Enrol &amp; Rev'!I35*' Enrol &amp; Rev'!I85)*Staff!$C$70*$D$147)</f>
        <v>353808</v>
      </c>
      <c r="J147" s="615">
        <f>IF($C$147="yes",' Enrol &amp; Rev'!J35*Staff!$C$70*$D$147,(' Enrol &amp; Rev'!J35*' Enrol &amp; Rev'!J85)*Staff!$C$70*$D$147)</f>
        <v>404352</v>
      </c>
      <c r="K147" s="615">
        <f>IF($C$147="yes",' Enrol &amp; Rev'!K35*Staff!$C$70*$D$147,(' Enrol &amp; Rev'!K35*' Enrol &amp; Rev'!K85)*Staff!$C$70*$D$147)</f>
        <v>416988</v>
      </c>
      <c r="L147" s="615">
        <f>IF($C$147="yes",' Enrol &amp; Rev'!L35*Staff!$C$70*$D$147,(' Enrol &amp; Rev'!L35*' Enrol &amp; Rev'!L85)*Staff!$C$70*$D$147)</f>
        <v>429624</v>
      </c>
      <c r="M147" s="45"/>
      <c r="N147" s="45"/>
      <c r="O147" s="45"/>
      <c r="P147" s="45"/>
      <c r="Q147" s="45"/>
      <c r="R147" s="353"/>
    </row>
    <row r="148" spans="1:18">
      <c r="A148" s="356">
        <f>ROW()</f>
        <v>148</v>
      </c>
      <c r="B148" s="35" t="s">
        <v>608</v>
      </c>
      <c r="C148" s="333" t="s">
        <v>600</v>
      </c>
      <c r="D148" s="358">
        <v>0</v>
      </c>
      <c r="E148" s="636"/>
      <c r="F148" s="615"/>
      <c r="G148" s="615">
        <f>IF($C$148="yes",$D$148*' Enrol &amp; Rev'!G35*Staff!$C$70,0)</f>
        <v>0</v>
      </c>
      <c r="H148" s="615">
        <f>IF($C$148="yes",$D$148*' Enrol &amp; Rev'!H35*Staff!$C$70,0)</f>
        <v>0</v>
      </c>
      <c r="I148" s="615">
        <f>IF($C$148="yes",$D$148*' Enrol &amp; Rev'!I35*Staff!$C$70,0)</f>
        <v>0</v>
      </c>
      <c r="J148" s="615">
        <f>IF($C$148="yes",$D$148*' Enrol &amp; Rev'!J35*Staff!$C$70,0)</f>
        <v>0</v>
      </c>
      <c r="K148" s="615">
        <f>IF($C$148="yes",$D$148*' Enrol &amp; Rev'!K35*Staff!$C$70,0)</f>
        <v>0</v>
      </c>
      <c r="L148" s="615">
        <f>IF($C$148="yes",$D$148*' Enrol &amp; Rev'!L35*Staff!$C$70,0)</f>
        <v>0</v>
      </c>
      <c r="R148" s="353"/>
    </row>
    <row r="149" spans="1:18">
      <c r="A149" s="356">
        <f>ROW()</f>
        <v>149</v>
      </c>
      <c r="B149" s="35" t="s">
        <v>609</v>
      </c>
      <c r="C149" s="333" t="s">
        <v>600</v>
      </c>
      <c r="D149" s="358">
        <v>0</v>
      </c>
      <c r="E149" s="636"/>
      <c r="F149" s="615"/>
      <c r="G149" s="615">
        <f>IF($C$149="yes",$D$149*Staff!$C$71*' Enrol &amp; Rev'!G35,0)</f>
        <v>0</v>
      </c>
      <c r="H149" s="615">
        <f>IF($C$149="yes",$D$149*Staff!$C$71*' Enrol &amp; Rev'!H35,0)</f>
        <v>0</v>
      </c>
      <c r="I149" s="615">
        <f>IF($C$149="yes",$D$149*Staff!$C$71*' Enrol &amp; Rev'!I35,0)</f>
        <v>0</v>
      </c>
      <c r="J149" s="615">
        <f>IF($C$149="yes",$D$149*Staff!$C$71*' Enrol &amp; Rev'!J35,0)</f>
        <v>0</v>
      </c>
      <c r="K149" s="615">
        <f>IF($C$149="yes",$D$149*Staff!$C$71*' Enrol &amp; Rev'!K35,0)</f>
        <v>0</v>
      </c>
      <c r="L149" s="615">
        <f>IF($C$149="yes",$D$149*Staff!$C$71*' Enrol &amp; Rev'!L35,0)</f>
        <v>0</v>
      </c>
      <c r="R149" s="353"/>
    </row>
    <row r="150" spans="1:18">
      <c r="A150" s="356">
        <f>ROW()</f>
        <v>150</v>
      </c>
      <c r="C150" s="138"/>
      <c r="F150" s="845"/>
      <c r="G150" s="845"/>
      <c r="H150" s="845"/>
      <c r="I150" s="845"/>
      <c r="J150" s="845"/>
      <c r="K150" s="845"/>
      <c r="L150" s="845"/>
      <c r="R150" s="353"/>
    </row>
    <row r="151" spans="1:18" ht="14.4" thickBot="1">
      <c r="A151" s="356">
        <f>ROW()</f>
        <v>151</v>
      </c>
      <c r="B151" s="1042" t="s">
        <v>610</v>
      </c>
      <c r="C151" s="1043"/>
      <c r="D151" s="1042"/>
      <c r="E151" s="1042"/>
      <c r="F151" s="1044">
        <f t="shared" ref="F151:L151" si="20">SUM(F146:F149)</f>
        <v>0</v>
      </c>
      <c r="G151" s="1044">
        <f t="shared" si="20"/>
        <v>422820</v>
      </c>
      <c r="H151" s="1044">
        <f t="shared" si="20"/>
        <v>507384</v>
      </c>
      <c r="I151" s="1044">
        <f t="shared" si="20"/>
        <v>591948</v>
      </c>
      <c r="J151" s="1044">
        <f t="shared" si="20"/>
        <v>676512</v>
      </c>
      <c r="K151" s="1044">
        <f t="shared" si="20"/>
        <v>697653</v>
      </c>
      <c r="L151" s="1044">
        <f t="shared" si="20"/>
        <v>718794</v>
      </c>
      <c r="R151" s="353"/>
    </row>
    <row r="152" spans="1:18" ht="14.4" thickTop="1">
      <c r="A152" s="356">
        <f>ROW()</f>
        <v>152</v>
      </c>
      <c r="C152" s="138"/>
      <c r="F152" s="615"/>
      <c r="G152" s="615"/>
      <c r="H152" s="615"/>
      <c r="I152" s="615"/>
      <c r="J152" s="615"/>
      <c r="K152" s="615"/>
      <c r="L152" s="615"/>
      <c r="R152" s="353"/>
    </row>
    <row r="153" spans="1:18">
      <c r="A153" s="356">
        <f>ROW()</f>
        <v>153</v>
      </c>
      <c r="B153" s="33" t="s">
        <v>611</v>
      </c>
      <c r="C153" s="141"/>
      <c r="D153" s="33"/>
      <c r="E153" s="33"/>
      <c r="G153" s="110"/>
      <c r="H153" s="110"/>
      <c r="I153" s="110"/>
      <c r="J153" s="110"/>
      <c r="K153" s="110"/>
      <c r="L153" s="110"/>
      <c r="R153" s="353"/>
    </row>
    <row r="154" spans="1:18">
      <c r="A154" s="356">
        <f>ROW()</f>
        <v>154</v>
      </c>
      <c r="B154" s="43" t="s">
        <v>612</v>
      </c>
      <c r="C154" s="144"/>
      <c r="D154" s="43"/>
      <c r="E154" s="43"/>
      <c r="F154" s="735">
        <v>0</v>
      </c>
      <c r="G154" s="735">
        <v>0</v>
      </c>
      <c r="H154" s="735">
        <v>0</v>
      </c>
      <c r="I154" s="735">
        <v>0</v>
      </c>
      <c r="J154" s="735">
        <v>0</v>
      </c>
      <c r="K154" s="735">
        <v>0</v>
      </c>
      <c r="L154" s="735">
        <v>0</v>
      </c>
      <c r="R154" s="353"/>
    </row>
    <row r="155" spans="1:18">
      <c r="A155" s="356">
        <f>ROW()</f>
        <v>155</v>
      </c>
      <c r="B155" s="43"/>
      <c r="C155" s="144"/>
      <c r="D155" s="43"/>
      <c r="E155" s="43"/>
      <c r="F155" s="43"/>
      <c r="G155" s="110"/>
      <c r="H155" s="110"/>
      <c r="I155" s="110"/>
      <c r="J155" s="110"/>
      <c r="K155" s="110"/>
      <c r="L155" s="110"/>
      <c r="R155" s="353"/>
    </row>
    <row r="156" spans="1:18">
      <c r="A156" s="356">
        <f>ROW()</f>
        <v>156</v>
      </c>
      <c r="B156" s="33" t="s">
        <v>613</v>
      </c>
      <c r="C156" s="141"/>
      <c r="D156" s="33"/>
      <c r="E156" s="33"/>
      <c r="M156" s="34"/>
      <c r="N156" s="34"/>
      <c r="O156" s="34"/>
      <c r="P156" s="34"/>
      <c r="Q156" s="34"/>
      <c r="R156" s="353"/>
    </row>
    <row r="157" spans="1:18">
      <c r="A157" s="356">
        <f>ROW()</f>
        <v>157</v>
      </c>
      <c r="B157" s="43" t="s">
        <v>614</v>
      </c>
      <c r="C157" s="941">
        <v>0</v>
      </c>
      <c r="D157" s="43"/>
      <c r="E157" s="43"/>
      <c r="H157" s="43"/>
      <c r="I157" s="43"/>
      <c r="J157" s="43"/>
      <c r="K157" s="43"/>
      <c r="L157" s="43"/>
      <c r="M157" s="43"/>
      <c r="N157" s="43"/>
      <c r="O157" s="43"/>
      <c r="P157" s="43"/>
      <c r="Q157" s="108"/>
      <c r="R157" s="353"/>
    </row>
    <row r="158" spans="1:18">
      <c r="A158" s="356">
        <f>ROW()</f>
        <v>158</v>
      </c>
      <c r="B158" s="43" t="s">
        <v>615</v>
      </c>
      <c r="C158" s="942">
        <v>0</v>
      </c>
      <c r="D158" s="43"/>
      <c r="E158" s="43"/>
      <c r="H158" s="43"/>
      <c r="I158" s="43"/>
      <c r="J158" s="43"/>
      <c r="K158" s="43"/>
      <c r="L158" s="43"/>
      <c r="M158" s="43"/>
      <c r="N158" s="43"/>
      <c r="O158" s="43"/>
      <c r="P158" s="43"/>
      <c r="Q158" s="43"/>
      <c r="R158" s="353"/>
    </row>
    <row r="159" spans="1:18">
      <c r="A159" s="356">
        <f>ROW()</f>
        <v>159</v>
      </c>
      <c r="B159" s="43" t="s">
        <v>616</v>
      </c>
      <c r="C159" s="943">
        <v>0</v>
      </c>
      <c r="D159" s="321"/>
      <c r="E159" s="43"/>
      <c r="H159" s="321"/>
      <c r="I159" s="321"/>
      <c r="J159" s="43"/>
      <c r="K159" s="43"/>
      <c r="L159" s="43"/>
      <c r="M159" s="43"/>
      <c r="N159" s="43"/>
      <c r="O159" s="43"/>
      <c r="P159" s="43"/>
      <c r="Q159" s="43"/>
      <c r="R159" s="353"/>
    </row>
    <row r="160" spans="1:18">
      <c r="A160" s="356">
        <f>ROW()</f>
        <v>160</v>
      </c>
      <c r="B160" s="43" t="s">
        <v>617</v>
      </c>
      <c r="C160" s="942">
        <v>0</v>
      </c>
      <c r="D160" s="322"/>
      <c r="E160" s="43"/>
      <c r="H160" s="322"/>
      <c r="I160" s="322"/>
      <c r="J160" s="43"/>
      <c r="K160" s="43"/>
      <c r="L160" s="43"/>
      <c r="M160" s="43"/>
      <c r="N160" s="43"/>
      <c r="O160" s="43"/>
      <c r="P160" s="43"/>
      <c r="Q160" s="43"/>
      <c r="R160" s="353"/>
    </row>
    <row r="161" spans="1:18">
      <c r="A161" s="356">
        <f>ROW()</f>
        <v>161</v>
      </c>
      <c r="B161" s="43" t="s">
        <v>618</v>
      </c>
      <c r="C161" s="1705">
        <f>C160*Staff!C70</f>
        <v>0</v>
      </c>
      <c r="D161" s="322"/>
      <c r="E161" s="43"/>
      <c r="H161" s="322"/>
      <c r="I161" s="322"/>
      <c r="J161" s="43"/>
      <c r="K161" s="43"/>
      <c r="L161" s="43"/>
      <c r="M161" s="43"/>
      <c r="N161" s="43"/>
      <c r="O161" s="43"/>
      <c r="P161" s="43"/>
      <c r="Q161" s="43"/>
      <c r="R161" s="353"/>
    </row>
    <row r="162" spans="1:18">
      <c r="A162" s="356">
        <f>ROW()</f>
        <v>162</v>
      </c>
      <c r="B162" s="43" t="s">
        <v>619</v>
      </c>
      <c r="C162" s="944">
        <v>0</v>
      </c>
      <c r="D162" s="43"/>
      <c r="E162" s="43"/>
      <c r="H162" s="43"/>
      <c r="I162" s="43"/>
      <c r="J162" s="43"/>
      <c r="K162" s="43"/>
      <c r="L162" s="43"/>
      <c r="M162" s="43"/>
      <c r="N162" s="43"/>
      <c r="O162" s="43"/>
      <c r="P162" s="43"/>
      <c r="Q162" s="43"/>
      <c r="R162" s="353"/>
    </row>
    <row r="163" spans="1:18">
      <c r="A163" s="356">
        <f>ROW()</f>
        <v>163</v>
      </c>
      <c r="B163" s="43" t="s">
        <v>620</v>
      </c>
      <c r="C163" s="1705">
        <f>IF(C161&lt;&gt;0,C161/C162,0)</f>
        <v>0</v>
      </c>
      <c r="D163" s="43"/>
      <c r="E163" s="43"/>
      <c r="H163" s="43"/>
      <c r="I163" s="43"/>
      <c r="J163" s="43"/>
      <c r="K163" s="43"/>
      <c r="L163" s="43"/>
      <c r="M163" s="43"/>
      <c r="N163" s="43"/>
      <c r="O163" s="43"/>
      <c r="P163" s="43"/>
      <c r="Q163" s="43"/>
      <c r="R163" s="353"/>
    </row>
    <row r="164" spans="1:18">
      <c r="A164" s="356">
        <f>ROW()</f>
        <v>164</v>
      </c>
      <c r="B164" s="43" t="s">
        <v>621</v>
      </c>
      <c r="C164" s="945">
        <v>0</v>
      </c>
      <c r="D164" s="43"/>
      <c r="E164" s="43"/>
      <c r="H164" s="43"/>
      <c r="I164" s="43"/>
      <c r="J164" s="43"/>
      <c r="K164" s="43"/>
      <c r="L164" s="43"/>
      <c r="M164" s="43"/>
      <c r="N164" s="43"/>
      <c r="O164" s="43"/>
      <c r="P164" s="43"/>
      <c r="Q164" s="43"/>
      <c r="R164" s="353"/>
    </row>
    <row r="165" spans="1:18">
      <c r="A165" s="356">
        <f>ROW()</f>
        <v>165</v>
      </c>
      <c r="B165" s="43" t="s">
        <v>622</v>
      </c>
      <c r="C165" s="1706">
        <f>C163*C164</f>
        <v>0</v>
      </c>
      <c r="D165" s="43"/>
      <c r="E165" s="43"/>
      <c r="H165" s="43"/>
      <c r="I165" s="43"/>
      <c r="J165" s="43"/>
      <c r="K165" s="43"/>
      <c r="L165" s="43"/>
      <c r="M165" s="43"/>
      <c r="N165" s="43"/>
      <c r="O165" s="43"/>
      <c r="P165" s="43"/>
      <c r="Q165" s="43"/>
      <c r="R165" s="353"/>
    </row>
    <row r="166" spans="1:18">
      <c r="A166" s="356">
        <f>ROW()</f>
        <v>166</v>
      </c>
      <c r="B166" s="43" t="s">
        <v>623</v>
      </c>
      <c r="C166" s="946">
        <v>0</v>
      </c>
      <c r="D166" s="43" t="s">
        <v>624</v>
      </c>
      <c r="E166" s="43"/>
      <c r="H166" s="43"/>
      <c r="I166" s="43"/>
      <c r="J166" s="43"/>
      <c r="K166" s="43"/>
      <c r="L166" s="43"/>
      <c r="M166" s="43"/>
      <c r="N166" s="43"/>
      <c r="O166" s="43"/>
      <c r="P166" s="43"/>
      <c r="Q166" s="43"/>
      <c r="R166" s="353"/>
    </row>
    <row r="167" spans="1:18">
      <c r="A167" s="356">
        <f>ROW()</f>
        <v>167</v>
      </c>
      <c r="B167" s="43" t="s">
        <v>625</v>
      </c>
      <c r="C167" s="1707">
        <f>C166*C161</f>
        <v>0</v>
      </c>
      <c r="D167" s="43"/>
      <c r="E167" s="43"/>
      <c r="H167" s="43"/>
      <c r="I167" s="43"/>
      <c r="J167" s="43"/>
      <c r="K167" s="43"/>
      <c r="L167" s="43"/>
      <c r="M167" s="43"/>
      <c r="N167" s="43"/>
      <c r="O167" s="43"/>
      <c r="P167" s="43"/>
      <c r="Q167" s="43"/>
      <c r="R167" s="353"/>
    </row>
    <row r="168" spans="1:18">
      <c r="A168" s="356">
        <f>ROW()</f>
        <v>168</v>
      </c>
      <c r="B168" s="43" t="s">
        <v>626</v>
      </c>
      <c r="C168" s="943">
        <v>0</v>
      </c>
      <c r="D168" s="43" t="s">
        <v>627</v>
      </c>
      <c r="E168" s="43"/>
      <c r="H168" s="43"/>
      <c r="I168" s="43"/>
      <c r="J168" s="43"/>
      <c r="K168" s="43"/>
      <c r="L168" s="43"/>
      <c r="M168" s="43"/>
      <c r="N168" s="43"/>
      <c r="O168" s="43"/>
      <c r="P168" s="43"/>
      <c r="Q168" s="43"/>
      <c r="R168" s="353"/>
    </row>
    <row r="169" spans="1:18">
      <c r="A169" s="356">
        <f>ROW()</f>
        <v>169</v>
      </c>
      <c r="C169" s="1646"/>
      <c r="G169" s="533"/>
      <c r="H169" s="533"/>
      <c r="I169" s="533"/>
      <c r="J169" s="533"/>
      <c r="K169" s="533"/>
      <c r="L169" s="533"/>
      <c r="R169" s="353"/>
    </row>
    <row r="170" spans="1:18">
      <c r="A170" s="356">
        <f>ROW()</f>
        <v>170</v>
      </c>
      <c r="B170" s="35" t="s">
        <v>628</v>
      </c>
      <c r="C170" s="138"/>
      <c r="F170" s="44"/>
      <c r="G170" s="146">
        <f>$C$157*' Enrol &amp; Rev'!G35</f>
        <v>0</v>
      </c>
      <c r="H170" s="146">
        <f>$C$157*' Enrol &amp; Rev'!H35</f>
        <v>0</v>
      </c>
      <c r="I170" s="146">
        <f>$C$157*' Enrol &amp; Rev'!I35</f>
        <v>0</v>
      </c>
      <c r="J170" s="146">
        <f>$C$157*' Enrol &amp; Rev'!J35</f>
        <v>0</v>
      </c>
      <c r="K170" s="146">
        <f>$C$157*' Enrol &amp; Rev'!K35</f>
        <v>0</v>
      </c>
      <c r="L170" s="146">
        <f>$C$157*' Enrol &amp; Rev'!L35</f>
        <v>0</v>
      </c>
      <c r="R170" s="353"/>
    </row>
    <row r="171" spans="1:18">
      <c r="A171" s="356">
        <f>ROW()</f>
        <v>171</v>
      </c>
      <c r="B171" s="65" t="s">
        <v>629</v>
      </c>
      <c r="C171" s="145"/>
      <c r="D171" s="65"/>
      <c r="E171" s="65"/>
      <c r="F171" s="323"/>
      <c r="G171" s="147">
        <f t="shared" ref="G171:L171" si="21">IF(G170=0,0,IF(G170&gt;($C$158*5),6,IF(G170&gt;($C$158*4),5,IF(G170&gt;($C$158*3),4,IF(G170&gt;($C$158*2),3,IF(G170&gt;$C$158,2,IF(G170&gt;0,1)))))))</f>
        <v>0</v>
      </c>
      <c r="H171" s="147">
        <f t="shared" si="21"/>
        <v>0</v>
      </c>
      <c r="I171" s="147">
        <f t="shared" si="21"/>
        <v>0</v>
      </c>
      <c r="J171" s="147">
        <f t="shared" si="21"/>
        <v>0</v>
      </c>
      <c r="K171" s="147">
        <f t="shared" si="21"/>
        <v>0</v>
      </c>
      <c r="L171" s="147">
        <f t="shared" si="21"/>
        <v>0</v>
      </c>
      <c r="R171" s="353"/>
    </row>
    <row r="172" spans="1:18">
      <c r="A172" s="356">
        <f>ROW()</f>
        <v>172</v>
      </c>
      <c r="B172" s="35" t="s">
        <v>630</v>
      </c>
      <c r="C172" s="138"/>
      <c r="F172" s="61"/>
      <c r="G172" s="615">
        <f>G171*$C$159</f>
        <v>0</v>
      </c>
      <c r="H172" s="615">
        <f>(H171-G171)*$C$159</f>
        <v>0</v>
      </c>
      <c r="I172" s="615">
        <f>(I171-H171)*$C$159</f>
        <v>0</v>
      </c>
      <c r="J172" s="615">
        <f>(J171-I171)*$C$159</f>
        <v>0</v>
      </c>
      <c r="K172" s="615">
        <f>(K171-J171)*$C$159</f>
        <v>0</v>
      </c>
      <c r="L172" s="615">
        <f>(L171-K171)*$C$159</f>
        <v>0</v>
      </c>
      <c r="R172" s="353"/>
    </row>
    <row r="173" spans="1:18">
      <c r="A173" s="356">
        <f>ROW()</f>
        <v>173</v>
      </c>
      <c r="B173" s="35" t="s">
        <v>631</v>
      </c>
      <c r="C173" s="138"/>
      <c r="F173" s="54"/>
      <c r="G173" s="138">
        <f t="shared" ref="G173:L173" si="22">G171*$C$165</f>
        <v>0</v>
      </c>
      <c r="H173" s="138">
        <f t="shared" si="22"/>
        <v>0</v>
      </c>
      <c r="I173" s="138">
        <f t="shared" si="22"/>
        <v>0</v>
      </c>
      <c r="J173" s="138">
        <f t="shared" si="22"/>
        <v>0</v>
      </c>
      <c r="K173" s="138">
        <f t="shared" si="22"/>
        <v>0</v>
      </c>
      <c r="L173" s="138">
        <f t="shared" si="22"/>
        <v>0</v>
      </c>
      <c r="R173" s="353"/>
    </row>
    <row r="174" spans="1:18">
      <c r="A174" s="356">
        <f>ROW()</f>
        <v>174</v>
      </c>
      <c r="B174" s="35" t="s">
        <v>632</v>
      </c>
      <c r="C174" s="138"/>
      <c r="F174" s="54"/>
      <c r="G174" s="138">
        <f t="shared" ref="G174:L174" si="23">G171*$C$167</f>
        <v>0</v>
      </c>
      <c r="H174" s="138">
        <f t="shared" si="23"/>
        <v>0</v>
      </c>
      <c r="I174" s="138">
        <f t="shared" si="23"/>
        <v>0</v>
      </c>
      <c r="J174" s="138">
        <f t="shared" si="23"/>
        <v>0</v>
      </c>
      <c r="K174" s="138">
        <f t="shared" si="23"/>
        <v>0</v>
      </c>
      <c r="L174" s="138">
        <f t="shared" si="23"/>
        <v>0</v>
      </c>
      <c r="R174" s="353"/>
    </row>
    <row r="175" spans="1:18">
      <c r="A175" s="356">
        <f>ROW()</f>
        <v>175</v>
      </c>
      <c r="B175" s="35" t="s">
        <v>626</v>
      </c>
      <c r="C175" s="138"/>
      <c r="F175" s="54"/>
      <c r="G175" s="138">
        <f t="shared" ref="G175:L175" si="24">G171*$C$168</f>
        <v>0</v>
      </c>
      <c r="H175" s="138">
        <f t="shared" si="24"/>
        <v>0</v>
      </c>
      <c r="I175" s="138">
        <f t="shared" si="24"/>
        <v>0</v>
      </c>
      <c r="J175" s="138">
        <f t="shared" si="24"/>
        <v>0</v>
      </c>
      <c r="K175" s="138">
        <f t="shared" si="24"/>
        <v>0</v>
      </c>
      <c r="L175" s="138">
        <f t="shared" si="24"/>
        <v>0</v>
      </c>
      <c r="R175" s="353"/>
    </row>
    <row r="176" spans="1:18" ht="14.4" thickBot="1">
      <c r="A176" s="356">
        <f>ROW()</f>
        <v>176</v>
      </c>
      <c r="C176" s="138"/>
      <c r="F176" s="324"/>
      <c r="G176" s="324"/>
      <c r="H176" s="324"/>
      <c r="I176" s="324"/>
      <c r="J176" s="324"/>
      <c r="K176" s="324"/>
      <c r="L176" s="324"/>
      <c r="R176" s="353"/>
    </row>
    <row r="177" spans="1:18" ht="14.4" thickBot="1">
      <c r="A177" s="356">
        <f>ROW()</f>
        <v>177</v>
      </c>
      <c r="B177" s="972" t="s">
        <v>633</v>
      </c>
      <c r="C177" s="973">
        <f>SUM(F177:L177)</f>
        <v>0</v>
      </c>
      <c r="D177" s="795"/>
      <c r="E177" s="795"/>
      <c r="F177" s="973">
        <f t="shared" ref="F177" si="25">SUM(F172:F175)</f>
        <v>0</v>
      </c>
      <c r="G177" s="973">
        <f t="shared" ref="G177:L177" si="26">SUM(G172:G175)</f>
        <v>0</v>
      </c>
      <c r="H177" s="973">
        <f t="shared" si="26"/>
        <v>0</v>
      </c>
      <c r="I177" s="973">
        <f t="shared" si="26"/>
        <v>0</v>
      </c>
      <c r="J177" s="973">
        <f t="shared" si="26"/>
        <v>0</v>
      </c>
      <c r="K177" s="973">
        <f t="shared" si="26"/>
        <v>0</v>
      </c>
      <c r="L177" s="973">
        <f t="shared" si="26"/>
        <v>0</v>
      </c>
      <c r="R177" s="353"/>
    </row>
    <row r="178" spans="1:18">
      <c r="A178" s="356">
        <f>ROW()</f>
        <v>178</v>
      </c>
      <c r="R178" s="353"/>
    </row>
    <row r="179" spans="1:18" ht="14.4" thickBot="1">
      <c r="A179" s="356">
        <f>ROW()</f>
        <v>179</v>
      </c>
      <c r="B179" s="1042" t="s">
        <v>634</v>
      </c>
      <c r="C179" s="1043">
        <f>SUM(F179:L179)</f>
        <v>0</v>
      </c>
      <c r="D179" s="1042"/>
      <c r="E179" s="1042"/>
      <c r="F179" s="1044">
        <f t="shared" ref="F179" si="27">F177-F154</f>
        <v>0</v>
      </c>
      <c r="G179" s="1044">
        <f>G177-G154</f>
        <v>0</v>
      </c>
      <c r="H179" s="1044">
        <f t="shared" ref="H179:L179" si="28">H177-H154</f>
        <v>0</v>
      </c>
      <c r="I179" s="1044">
        <f t="shared" si="28"/>
        <v>0</v>
      </c>
      <c r="J179" s="1044">
        <f t="shared" si="28"/>
        <v>0</v>
      </c>
      <c r="K179" s="1044">
        <f t="shared" si="28"/>
        <v>0</v>
      </c>
      <c r="L179" s="1044">
        <f t="shared" si="28"/>
        <v>0</v>
      </c>
      <c r="R179" s="1045" t="s">
        <v>635</v>
      </c>
    </row>
    <row r="180" spans="1:18" ht="14.4" thickTop="1">
      <c r="A180" s="356">
        <f>ROW()</f>
        <v>180</v>
      </c>
      <c r="C180" s="138"/>
    </row>
    <row r="181" spans="1:18">
      <c r="A181" s="356">
        <f>ROW()</f>
        <v>181</v>
      </c>
      <c r="B181" s="179" t="s">
        <v>636</v>
      </c>
      <c r="C181" s="145"/>
      <c r="D181" s="67"/>
      <c r="E181" s="67"/>
      <c r="F181" s="77"/>
      <c r="G181" s="65"/>
      <c r="H181" s="179"/>
      <c r="I181" s="65"/>
      <c r="J181" s="65"/>
      <c r="K181" s="65"/>
      <c r="L181" s="65"/>
    </row>
    <row r="182" spans="1:18">
      <c r="A182" s="356">
        <f>ROW()</f>
        <v>182</v>
      </c>
      <c r="B182" s="262" t="s">
        <v>637</v>
      </c>
      <c r="C182" s="1646"/>
      <c r="D182" s="1708"/>
      <c r="E182" s="1047"/>
      <c r="F182" s="733">
        <v>0</v>
      </c>
      <c r="G182" s="733">
        <v>0</v>
      </c>
      <c r="H182" s="733">
        <v>0</v>
      </c>
      <c r="I182" s="733">
        <v>0</v>
      </c>
      <c r="J182" s="733">
        <v>0</v>
      </c>
      <c r="K182" s="733">
        <v>0</v>
      </c>
      <c r="L182" s="733">
        <v>0</v>
      </c>
    </row>
    <row r="183" spans="1:18">
      <c r="A183" s="356">
        <f>ROW()</f>
        <v>183</v>
      </c>
      <c r="B183" s="1330" t="s">
        <v>638</v>
      </c>
      <c r="C183" s="1646"/>
      <c r="D183" s="1709"/>
      <c r="E183" s="1046"/>
      <c r="F183" s="734">
        <v>0</v>
      </c>
      <c r="G183" s="734">
        <v>0</v>
      </c>
      <c r="H183" s="734">
        <v>0</v>
      </c>
      <c r="I183" s="734">
        <v>0</v>
      </c>
      <c r="J183" s="734">
        <v>0</v>
      </c>
      <c r="K183" s="734">
        <v>0</v>
      </c>
      <c r="L183" s="734">
        <v>0</v>
      </c>
    </row>
    <row r="184" spans="1:18">
      <c r="A184" s="356">
        <f>ROW()</f>
        <v>184</v>
      </c>
      <c r="B184" s="1330" t="s">
        <v>639</v>
      </c>
      <c r="C184" s="1646"/>
      <c r="D184" s="1709"/>
      <c r="E184" s="1046"/>
      <c r="F184" s="734">
        <v>0</v>
      </c>
      <c r="G184" s="734">
        <v>0</v>
      </c>
      <c r="H184" s="734">
        <v>0</v>
      </c>
      <c r="I184" s="734">
        <v>0</v>
      </c>
      <c r="J184" s="734">
        <v>0</v>
      </c>
      <c r="K184" s="734">
        <v>0</v>
      </c>
      <c r="L184" s="734">
        <v>0</v>
      </c>
    </row>
    <row r="185" spans="1:18">
      <c r="A185" s="356">
        <f>ROW()</f>
        <v>185</v>
      </c>
      <c r="B185" s="1330" t="s">
        <v>640</v>
      </c>
      <c r="C185" s="1646"/>
      <c r="D185" s="1709"/>
      <c r="E185" s="1046"/>
      <c r="F185" s="734">
        <v>0</v>
      </c>
      <c r="G185" s="734">
        <v>0</v>
      </c>
      <c r="H185" s="734">
        <v>0</v>
      </c>
      <c r="I185" s="734">
        <v>0</v>
      </c>
      <c r="J185" s="734">
        <v>0</v>
      </c>
      <c r="K185" s="734">
        <v>0</v>
      </c>
      <c r="L185" s="734">
        <v>0</v>
      </c>
    </row>
    <row r="186" spans="1:18">
      <c r="A186" s="356">
        <f>ROW()</f>
        <v>186</v>
      </c>
      <c r="B186" s="1330" t="s">
        <v>641</v>
      </c>
      <c r="C186" s="1646"/>
      <c r="D186" s="1709"/>
      <c r="E186" s="1046"/>
      <c r="F186" s="734">
        <v>0</v>
      </c>
      <c r="G186" s="734">
        <v>0</v>
      </c>
      <c r="H186" s="734">
        <v>0</v>
      </c>
      <c r="I186" s="734">
        <v>0</v>
      </c>
      <c r="J186" s="734">
        <v>0</v>
      </c>
      <c r="K186" s="734">
        <v>0</v>
      </c>
      <c r="L186" s="734">
        <v>0</v>
      </c>
    </row>
    <row r="187" spans="1:18">
      <c r="A187" s="356">
        <f>ROW()</f>
        <v>187</v>
      </c>
      <c r="B187" s="1330" t="s">
        <v>642</v>
      </c>
      <c r="C187" s="1646"/>
      <c r="D187" s="1709"/>
      <c r="E187" s="1046"/>
      <c r="F187" s="734">
        <v>0</v>
      </c>
      <c r="G187" s="734">
        <v>0</v>
      </c>
      <c r="H187" s="734">
        <v>0</v>
      </c>
      <c r="I187" s="734">
        <v>0</v>
      </c>
      <c r="J187" s="734">
        <v>0</v>
      </c>
      <c r="K187" s="734">
        <v>0</v>
      </c>
      <c r="L187" s="734">
        <v>0</v>
      </c>
    </row>
    <row r="188" spans="1:18">
      <c r="A188" s="356">
        <f>ROW()</f>
        <v>188</v>
      </c>
      <c r="B188" s="1330" t="s">
        <v>643</v>
      </c>
      <c r="C188" s="1646"/>
      <c r="D188" s="1709"/>
      <c r="E188" s="1046"/>
      <c r="F188" s="734">
        <v>0</v>
      </c>
      <c r="G188" s="734">
        <v>0</v>
      </c>
      <c r="H188" s="734">
        <v>0</v>
      </c>
      <c r="I188" s="734">
        <v>0</v>
      </c>
      <c r="J188" s="734">
        <v>0</v>
      </c>
      <c r="K188" s="734">
        <v>0</v>
      </c>
      <c r="L188" s="734">
        <v>0</v>
      </c>
    </row>
    <row r="189" spans="1:18">
      <c r="A189" s="356">
        <f>ROW()</f>
        <v>189</v>
      </c>
      <c r="B189" s="1330" t="s">
        <v>644</v>
      </c>
      <c r="C189" s="1646"/>
      <c r="D189" s="1709"/>
      <c r="E189" s="1046"/>
      <c r="F189" s="734">
        <v>0</v>
      </c>
      <c r="G189" s="734">
        <v>0</v>
      </c>
      <c r="H189" s="734">
        <v>0</v>
      </c>
      <c r="I189" s="734">
        <v>0</v>
      </c>
      <c r="J189" s="734">
        <v>0</v>
      </c>
      <c r="K189" s="734">
        <v>0</v>
      </c>
      <c r="L189" s="734">
        <v>0</v>
      </c>
    </row>
    <row r="190" spans="1:18">
      <c r="A190" s="356">
        <f>ROW()</f>
        <v>190</v>
      </c>
      <c r="B190" s="1330" t="s">
        <v>645</v>
      </c>
      <c r="C190" s="1646"/>
      <c r="D190" s="1709"/>
      <c r="E190" s="1046"/>
      <c r="F190" s="734">
        <v>0</v>
      </c>
      <c r="G190" s="734">
        <v>0</v>
      </c>
      <c r="H190" s="734">
        <v>0</v>
      </c>
      <c r="I190" s="734">
        <v>0</v>
      </c>
      <c r="J190" s="734">
        <v>0</v>
      </c>
      <c r="K190" s="734">
        <v>0</v>
      </c>
      <c r="L190" s="734">
        <v>0</v>
      </c>
    </row>
    <row r="191" spans="1:18" ht="14.4" thickBot="1">
      <c r="A191" s="356">
        <f>ROW()</f>
        <v>191</v>
      </c>
      <c r="C191" s="138"/>
      <c r="D191" s="57"/>
    </row>
    <row r="192" spans="1:18" ht="14.4" thickBot="1">
      <c r="A192" s="356">
        <f>ROW()</f>
        <v>192</v>
      </c>
      <c r="B192" s="1039" t="s">
        <v>646</v>
      </c>
      <c r="C192" s="1040">
        <f>SUM(F192:L192)</f>
        <v>0</v>
      </c>
      <c r="D192" s="1041"/>
      <c r="E192" s="1041"/>
      <c r="F192" s="1040">
        <f t="shared" ref="F192:L192" si="29">SUM(F182:F190)</f>
        <v>0</v>
      </c>
      <c r="G192" s="1040">
        <f t="shared" si="29"/>
        <v>0</v>
      </c>
      <c r="H192" s="1040">
        <f t="shared" si="29"/>
        <v>0</v>
      </c>
      <c r="I192" s="1040">
        <f t="shared" si="29"/>
        <v>0</v>
      </c>
      <c r="J192" s="1040">
        <f t="shared" si="29"/>
        <v>0</v>
      </c>
      <c r="K192" s="1040">
        <f t="shared" si="29"/>
        <v>0</v>
      </c>
      <c r="L192" s="1040">
        <f t="shared" si="29"/>
        <v>0</v>
      </c>
    </row>
    <row r="193" spans="1:12">
      <c r="A193" s="356">
        <f>ROW()</f>
        <v>193</v>
      </c>
    </row>
    <row r="194" spans="1:12">
      <c r="A194" s="356">
        <f>ROW()</f>
        <v>194</v>
      </c>
      <c r="B194" s="35" t="s">
        <v>647</v>
      </c>
      <c r="C194" s="487">
        <v>0.03</v>
      </c>
      <c r="F194" s="847">
        <f t="shared" ref="F194:L194" si="30">SUM(F151,F143,F105,F179,F192)*((1+$C$194)^(F11-$F11)-1)</f>
        <v>0</v>
      </c>
      <c r="G194" s="847">
        <f t="shared" si="30"/>
        <v>36989.490000000034</v>
      </c>
      <c r="H194" s="847">
        <f t="shared" si="30"/>
        <v>78889.080479999931</v>
      </c>
      <c r="I194" s="847">
        <f t="shared" si="30"/>
        <v>132845.65182179998</v>
      </c>
      <c r="J194" s="847">
        <f t="shared" si="30"/>
        <v>196538.33716620589</v>
      </c>
      <c r="K194" s="847">
        <f t="shared" si="30"/>
        <v>252560.16695676796</v>
      </c>
      <c r="L194" s="847">
        <f t="shared" si="30"/>
        <v>314049.23015328299</v>
      </c>
    </row>
    <row r="195" spans="1:12" ht="14.4" thickBot="1">
      <c r="A195" s="356">
        <f>ROW()</f>
        <v>195</v>
      </c>
      <c r="C195" s="138"/>
      <c r="F195" s="632"/>
      <c r="G195" s="730"/>
      <c r="H195" s="730"/>
      <c r="I195" s="730"/>
      <c r="J195" s="730"/>
      <c r="K195" s="730"/>
      <c r="L195" s="730"/>
    </row>
    <row r="196" spans="1:12" ht="14.4" thickBot="1">
      <c r="A196" s="356">
        <f>ROW()</f>
        <v>196</v>
      </c>
      <c r="B196" s="1503" t="s">
        <v>648</v>
      </c>
      <c r="C196" s="672">
        <f>SUM(F196:L196)</f>
        <v>9742897.7565780561</v>
      </c>
      <c r="D196" s="1504"/>
      <c r="E196" s="1504"/>
      <c r="F196" s="672">
        <f>SUM(F151,F143,F105,F194,F179,F192)</f>
        <v>0</v>
      </c>
      <c r="G196" s="672">
        <f>SUM(G151,G143,G105,G194,G179,G192)</f>
        <v>1269972.49</v>
      </c>
      <c r="H196" s="672">
        <f>H151+H143+H105+H194</f>
        <v>1374276.28048</v>
      </c>
      <c r="I196" s="672">
        <f>I151+I143+I105+I194</f>
        <v>1565499.0518217999</v>
      </c>
      <c r="J196" s="672">
        <f>J151+J143+J105+J194</f>
        <v>1762470.9371662061</v>
      </c>
      <c r="K196" s="672">
        <f>K151+K143+K105+K194</f>
        <v>1838255.5669567678</v>
      </c>
      <c r="L196" s="672">
        <f>L151+L143+L105+L194</f>
        <v>1932423.4301532828</v>
      </c>
    </row>
    <row r="197" spans="1:12" ht="14.4" thickBot="1">
      <c r="A197" s="356">
        <f>ROW()</f>
        <v>197</v>
      </c>
    </row>
    <row r="198" spans="1:12" ht="14.4" thickBot="1">
      <c r="A198" s="356">
        <f>ROW()</f>
        <v>198</v>
      </c>
      <c r="B198" s="472" t="s">
        <v>1272</v>
      </c>
      <c r="C198" s="473">
        <f>SUM(F198:L198)</f>
        <v>9742897.7565780561</v>
      </c>
      <c r="D198" s="474"/>
      <c r="E198" s="474"/>
      <c r="F198" s="473">
        <f>+F196-F179</f>
        <v>0</v>
      </c>
      <c r="G198" s="473">
        <f t="shared" ref="G198:L198" si="31">+G196-G179</f>
        <v>1269972.49</v>
      </c>
      <c r="H198" s="473">
        <f t="shared" si="31"/>
        <v>1374276.28048</v>
      </c>
      <c r="I198" s="473">
        <f t="shared" si="31"/>
        <v>1565499.0518217999</v>
      </c>
      <c r="J198" s="473">
        <f t="shared" si="31"/>
        <v>1762470.9371662061</v>
      </c>
      <c r="K198" s="473">
        <f t="shared" si="31"/>
        <v>1838255.5669567678</v>
      </c>
      <c r="L198" s="473">
        <f t="shared" si="31"/>
        <v>1932423.4301532828</v>
      </c>
    </row>
  </sheetData>
  <sheetProtection algorithmName="SHA-512" hashValue="QnaIH2ABUdKaVKw+xPsA8EYkloTq88oFeO0uetkawkJC9LAEGFMbGZzAMnM3P/oNWZXP8QxaWdSS5Jq4naq9iA==" saltValue="qH/gZnjg7jhXBy9jYi47rQ==" spinCount="100000" sheet="1" objects="1" scenarios="1"/>
  <sortState xmlns:xlrd2="http://schemas.microsoft.com/office/spreadsheetml/2017/richdata2" ref="B110:B127">
    <sortCondition ref="B110:B127"/>
  </sortState>
  <mergeCells count="1">
    <mergeCell ref="D10:E10"/>
  </mergeCells>
  <conditionalFormatting sqref="B43:E43">
    <cfRule type="expression" dxfId="588" priority="19" stopIfTrue="1">
      <formula>MOD(ROW(),2)=0</formula>
    </cfRule>
  </conditionalFormatting>
  <conditionalFormatting sqref="C13:E13">
    <cfRule type="expression" dxfId="587" priority="20" stopIfTrue="1">
      <formula>MOD(ROW(),2)=0</formula>
    </cfRule>
  </conditionalFormatting>
  <conditionalFormatting sqref="D1">
    <cfRule type="expression" dxfId="586" priority="10" stopIfTrue="1">
      <formula>MOD(ROW(),2)=0</formula>
    </cfRule>
  </conditionalFormatting>
  <conditionalFormatting sqref="B36:L42">
    <cfRule type="expression" dxfId="585" priority="25" stopIfTrue="1">
      <formula>MOD(ROW(),2)=0</formula>
    </cfRule>
  </conditionalFormatting>
  <conditionalFormatting sqref="B15:L34">
    <cfRule type="expression" dxfId="584" priority="26" stopIfTrue="1">
      <formula>MOD(ROW(),2)=0</formula>
    </cfRule>
  </conditionalFormatting>
  <conditionalFormatting sqref="B46:L52">
    <cfRule type="expression" dxfId="583" priority="27" stopIfTrue="1">
      <formula>MOD(ROW(),2)=0</formula>
    </cfRule>
  </conditionalFormatting>
  <conditionalFormatting sqref="B55:L60">
    <cfRule type="expression" dxfId="582" priority="28" stopIfTrue="1">
      <formula>MOD(ROW(),2)=0</formula>
    </cfRule>
  </conditionalFormatting>
  <hyperlinks>
    <hyperlink ref="D1" location="HypLink1" display="HypLink1" xr:uid="{8723ABB7-F367-449A-9920-09DD3E03343A}"/>
  </hyperlinks>
  <pageMargins left="0.25" right="0.25" top="0.5" bottom="0.45" header="0.25" footer="0.25"/>
  <pageSetup scale="44" fitToWidth="3" fitToHeight="2" orientation="landscape" r:id="rId1"/>
  <headerFooter>
    <oddHeader xml:space="preserve">&amp;L &amp;C &amp;R </oddHeader>
    <oddFooter>&amp;L&amp;7&amp;D  at &amp;T Mike 702.854.0691&amp;C&amp;7&amp;F  &amp;A&amp;R&amp;7Page &amp;P of &amp;N</oddFooter>
  </headerFooter>
  <rowBreaks count="1" manualBreakCount="1">
    <brk id="62" max="11"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Z68"/>
  <sheetViews>
    <sheetView workbookViewId="0">
      <selection activeCell="G19" sqref="G19"/>
    </sheetView>
  </sheetViews>
  <sheetFormatPr defaultColWidth="8.88671875" defaultRowHeight="13.8"/>
  <cols>
    <col min="1" max="1" width="7" style="35" customWidth="1"/>
    <col min="2" max="2" width="32.6640625" style="35" customWidth="1"/>
    <col min="3" max="3" width="15.5546875" style="35" customWidth="1"/>
    <col min="4" max="4" width="17.109375" style="35" customWidth="1"/>
    <col min="5" max="5" width="2.109375" style="35" customWidth="1"/>
    <col min="6" max="6" width="12.33203125" style="35" customWidth="1"/>
    <col min="7" max="12" width="13.6640625" style="35" customWidth="1"/>
    <col min="13" max="13" width="4.6640625" style="35" customWidth="1"/>
    <col min="14" max="14" width="76.5546875" style="317" customWidth="1"/>
    <col min="15" max="15" width="11.5546875" style="35" bestFit="1" customWidth="1"/>
    <col min="16" max="16" width="8.88671875" style="35"/>
    <col min="17" max="17" width="17.33203125" style="35" customWidth="1"/>
    <col min="18" max="16384" width="8.88671875" style="35"/>
  </cols>
  <sheetData>
    <row r="1" spans="1:26" ht="33.6" customHeight="1">
      <c r="A1" s="2217" t="s">
        <v>723</v>
      </c>
      <c r="B1" s="2217"/>
      <c r="D1" s="438" t="s">
        <v>2</v>
      </c>
      <c r="F1" s="97"/>
      <c r="K1" s="710"/>
      <c r="O1" s="7" cm="1">
        <f t="array" aca="1" ref="O1" ca="1">CELL("protect",A1)</f>
        <v>1</v>
      </c>
      <c r="P1" s="7" cm="1">
        <f t="array" aca="1" ref="P1" ca="1">CELL("protect",B1)</f>
        <v>1</v>
      </c>
      <c r="Q1" s="7" cm="1">
        <f t="array" aca="1" ref="Q1" ca="1">CELL("protect",C1)</f>
        <v>1</v>
      </c>
      <c r="R1" s="7" cm="1">
        <f t="array" aca="1" ref="R1" ca="1">CELL("protect",D1)</f>
        <v>1</v>
      </c>
      <c r="S1" s="7" cm="1">
        <f t="array" aca="1" ref="S1" ca="1">CELL("protect",E1)</f>
        <v>1</v>
      </c>
      <c r="T1" s="7" cm="1">
        <f t="array" aca="1" ref="T1" ca="1">CELL("protect",F1)</f>
        <v>1</v>
      </c>
      <c r="U1" s="7" cm="1">
        <f t="array" aca="1" ref="U1" ca="1">CELL("protect",G1)</f>
        <v>1</v>
      </c>
      <c r="V1" s="7" cm="1">
        <f t="array" aca="1" ref="V1" ca="1">CELL("protect",H1)</f>
        <v>1</v>
      </c>
      <c r="W1" s="7" cm="1">
        <f t="array" aca="1" ref="W1" ca="1">CELL("protect",I1)</f>
        <v>1</v>
      </c>
      <c r="X1" s="7" cm="1">
        <f t="array" aca="1" ref="X1" ca="1">CELL("protect",J1)</f>
        <v>1</v>
      </c>
      <c r="Y1" s="7" cm="1">
        <f t="array" aca="1" ref="Y1" ca="1">CELL("protect",K1)</f>
        <v>1</v>
      </c>
      <c r="Z1" s="7" cm="1">
        <f t="array" aca="1" ref="Z1" ca="1">CELL("protect",L1)</f>
        <v>1</v>
      </c>
    </row>
    <row r="2" spans="1:26" ht="15.6">
      <c r="A2" s="121" t="str">
        <f>SchoolName</f>
        <v>Eagle Charter Schools of Nevada</v>
      </c>
      <c r="B2" s="122"/>
      <c r="C2" s="33"/>
      <c r="F2" s="2216"/>
      <c r="G2" s="2216"/>
      <c r="H2" s="2216"/>
      <c r="I2" s="2216"/>
      <c r="J2" s="2216"/>
      <c r="K2" s="2216"/>
      <c r="L2" s="2216"/>
    </row>
    <row r="3" spans="1:26">
      <c r="A3" s="41" t="s">
        <v>72</v>
      </c>
      <c r="F3" s="2216"/>
      <c r="G3" s="2216"/>
      <c r="H3" s="2216"/>
      <c r="I3" s="2216"/>
      <c r="J3" s="2216"/>
      <c r="K3" s="2216"/>
      <c r="L3" s="2216"/>
    </row>
    <row r="4" spans="1:26">
      <c r="A4" s="42" t="s">
        <v>73</v>
      </c>
      <c r="F4" s="2216"/>
      <c r="G4" s="2216"/>
      <c r="H4" s="2216"/>
      <c r="I4" s="2216"/>
      <c r="J4" s="2216"/>
      <c r="K4" s="2216"/>
      <c r="L4" s="2216"/>
    </row>
    <row r="5" spans="1:26">
      <c r="A5" s="32" t="str">
        <f ca="1">CELL("filename")</f>
        <v>C:\Users\Nicho\Desktop\[Attachment 2.  Eagle NV RFA 12.16.22.xlsx]CF Y1 Mo</v>
      </c>
    </row>
    <row r="6" spans="1:26">
      <c r="F6" s="787" t="str">
        <f>' Enrol &amp; Rev'!F9</f>
        <v>SY 0/Incu</v>
      </c>
      <c r="G6" s="788">
        <f>' Enrol &amp; Rev'!G9</f>
        <v>1</v>
      </c>
      <c r="H6" s="788">
        <f>' Enrol &amp; Rev'!H9</f>
        <v>2</v>
      </c>
      <c r="I6" s="788">
        <f>' Enrol &amp; Rev'!I9</f>
        <v>3</v>
      </c>
      <c r="J6" s="788">
        <f>' Enrol &amp; Rev'!J9</f>
        <v>4</v>
      </c>
      <c r="K6" s="788">
        <f>' Enrol &amp; Rev'!K9</f>
        <v>5</v>
      </c>
      <c r="L6" s="789">
        <f>' Enrol &amp; Rev'!L9</f>
        <v>6</v>
      </c>
      <c r="M6" s="43"/>
      <c r="N6" s="1627"/>
    </row>
    <row r="7" spans="1:26">
      <c r="F7" s="790">
        <f>' Enrol &amp; Rev'!F10</f>
        <v>2022</v>
      </c>
      <c r="G7" s="790">
        <f>' Enrol &amp; Rev'!G10</f>
        <v>2023</v>
      </c>
      <c r="H7" s="791">
        <f>' Enrol &amp; Rev'!H10</f>
        <v>2024</v>
      </c>
      <c r="I7" s="791">
        <f>' Enrol &amp; Rev'!I10</f>
        <v>2025</v>
      </c>
      <c r="J7" s="791">
        <f>' Enrol &amp; Rev'!J10</f>
        <v>2026</v>
      </c>
      <c r="K7" s="791">
        <f>' Enrol &amp; Rev'!K10</f>
        <v>2027</v>
      </c>
      <c r="L7" s="792">
        <f>' Enrol &amp; Rev'!L10</f>
        <v>2028</v>
      </c>
      <c r="M7" s="43"/>
      <c r="N7" s="1627"/>
    </row>
    <row r="8" spans="1:26">
      <c r="F8" s="784">
        <f>' Enrol &amp; Rev'!F11</f>
        <v>2023</v>
      </c>
      <c r="G8" s="784">
        <f>' Enrol &amp; Rev'!G11</f>
        <v>2024</v>
      </c>
      <c r="H8" s="785">
        <f>' Enrol &amp; Rev'!H11</f>
        <v>2025</v>
      </c>
      <c r="I8" s="785">
        <f>' Enrol &amp; Rev'!I11</f>
        <v>2026</v>
      </c>
      <c r="J8" s="785">
        <f>' Enrol &amp; Rev'!J11</f>
        <v>2027</v>
      </c>
      <c r="K8" s="785">
        <f>' Enrol &amp; Rev'!K11</f>
        <v>2028</v>
      </c>
      <c r="L8" s="786">
        <f>' Enrol &amp; Rev'!L11</f>
        <v>2029</v>
      </c>
      <c r="M8" s="43"/>
      <c r="N8" s="1627"/>
    </row>
    <row r="9" spans="1:26">
      <c r="M9" s="43"/>
      <c r="N9" s="1627"/>
    </row>
    <row r="10" spans="1:26">
      <c r="A10" s="356">
        <f>ROW()</f>
        <v>10</v>
      </c>
      <c r="B10" s="1720" t="s">
        <v>419</v>
      </c>
      <c r="G10" s="34"/>
      <c r="H10" s="34"/>
      <c r="I10" s="34"/>
      <c r="J10" s="34"/>
      <c r="K10" s="34"/>
      <c r="L10" s="34"/>
      <c r="M10" s="43"/>
      <c r="N10" s="1615" t="s">
        <v>724</v>
      </c>
    </row>
    <row r="11" spans="1:26">
      <c r="A11" s="356">
        <f>ROW()</f>
        <v>11</v>
      </c>
      <c r="B11" s="35" t="s">
        <v>725</v>
      </c>
      <c r="G11" s="451">
        <f>' Enrol &amp; Rev'!G35</f>
        <v>540</v>
      </c>
      <c r="H11" s="451">
        <f>' Enrol &amp; Rev'!H35</f>
        <v>648</v>
      </c>
      <c r="I11" s="451">
        <f>' Enrol &amp; Rev'!I35</f>
        <v>756</v>
      </c>
      <c r="J11" s="451">
        <f>' Enrol &amp; Rev'!J35</f>
        <v>864</v>
      </c>
      <c r="K11" s="451">
        <f>' Enrol &amp; Rev'!K35</f>
        <v>891</v>
      </c>
      <c r="L11" s="451">
        <f>' Enrol &amp; Rev'!L35</f>
        <v>918</v>
      </c>
      <c r="M11" s="55"/>
      <c r="N11" s="491"/>
    </row>
    <row r="12" spans="1:26">
      <c r="A12" s="356">
        <f>ROW()</f>
        <v>12</v>
      </c>
      <c r="B12" s="35" t="s">
        <v>726</v>
      </c>
      <c r="G12" s="1347">
        <f>+Staff!H23</f>
        <v>36</v>
      </c>
      <c r="H12" s="1347">
        <f>+Staff!I23</f>
        <v>47</v>
      </c>
      <c r="I12" s="1347">
        <f>+Staff!J23</f>
        <v>55</v>
      </c>
      <c r="J12" s="1347">
        <f>+Staff!K23</f>
        <v>60</v>
      </c>
      <c r="K12" s="1347">
        <f>+Staff!L23</f>
        <v>62</v>
      </c>
      <c r="L12" s="1347">
        <f>+Staff!M23</f>
        <v>63</v>
      </c>
      <c r="M12" s="55"/>
      <c r="N12" s="491"/>
    </row>
    <row r="13" spans="1:26">
      <c r="A13" s="356">
        <f>ROW()</f>
        <v>13</v>
      </c>
      <c r="F13" s="1710" t="s">
        <v>1479</v>
      </c>
      <c r="M13" s="43"/>
      <c r="N13" s="353"/>
    </row>
    <row r="14" spans="1:26">
      <c r="A14" s="356">
        <f>ROW()</f>
        <v>14</v>
      </c>
      <c r="B14" s="35" t="s">
        <v>727</v>
      </c>
      <c r="C14" s="1713"/>
      <c r="D14" s="317"/>
      <c r="E14" s="317"/>
      <c r="F14" s="1711">
        <v>0</v>
      </c>
      <c r="G14" s="1711">
        <v>0</v>
      </c>
      <c r="H14" s="1711">
        <v>0</v>
      </c>
      <c r="I14" s="1711">
        <v>0</v>
      </c>
      <c r="J14" s="1711">
        <v>0</v>
      </c>
      <c r="K14" s="1711">
        <v>0</v>
      </c>
      <c r="L14" s="1711">
        <v>0</v>
      </c>
      <c r="M14" s="43"/>
      <c r="N14" s="353"/>
    </row>
    <row r="15" spans="1:26">
      <c r="A15" s="356">
        <f>ROW()</f>
        <v>15</v>
      </c>
      <c r="B15" s="35" t="s">
        <v>728</v>
      </c>
      <c r="C15" s="1713"/>
      <c r="D15" s="317"/>
      <c r="E15" s="317"/>
      <c r="F15" s="1711">
        <v>0</v>
      </c>
      <c r="G15" s="1711">
        <v>0</v>
      </c>
      <c r="H15" s="1711">
        <v>0</v>
      </c>
      <c r="I15" s="1711">
        <v>0</v>
      </c>
      <c r="J15" s="1711">
        <v>0</v>
      </c>
      <c r="K15" s="1711">
        <v>0</v>
      </c>
      <c r="L15" s="1711">
        <v>0</v>
      </c>
      <c r="M15" s="43"/>
      <c r="N15" s="353"/>
    </row>
    <row r="16" spans="1:26">
      <c r="A16" s="356">
        <f>ROW()</f>
        <v>16</v>
      </c>
      <c r="B16" s="35" t="s">
        <v>729</v>
      </c>
      <c r="C16" s="858">
        <v>35</v>
      </c>
      <c r="D16" s="317" t="s">
        <v>282</v>
      </c>
      <c r="E16" s="317"/>
      <c r="F16" s="1712">
        <v>0</v>
      </c>
      <c r="G16" s="1712">
        <f t="shared" ref="G16:L16" si="0">$C$16*G11</f>
        <v>18900</v>
      </c>
      <c r="H16" s="1712">
        <f t="shared" si="0"/>
        <v>22680</v>
      </c>
      <c r="I16" s="1712">
        <f t="shared" si="0"/>
        <v>26460</v>
      </c>
      <c r="J16" s="1712">
        <f t="shared" si="0"/>
        <v>30240</v>
      </c>
      <c r="K16" s="1712">
        <f t="shared" si="0"/>
        <v>31185</v>
      </c>
      <c r="L16" s="1712">
        <f t="shared" si="0"/>
        <v>32130</v>
      </c>
      <c r="M16" s="43"/>
      <c r="N16" s="353"/>
    </row>
    <row r="17" spans="1:14">
      <c r="A17" s="356">
        <f>ROW()</f>
        <v>17</v>
      </c>
      <c r="B17" s="35" t="s">
        <v>730</v>
      </c>
      <c r="C17" s="858">
        <v>850</v>
      </c>
      <c r="D17" s="317" t="s">
        <v>731</v>
      </c>
      <c r="E17" s="317"/>
      <c r="F17" s="1712">
        <v>0</v>
      </c>
      <c r="G17" s="1712">
        <f>IF($C$17*(Staff!H23-Staff!G23)&gt;0,$C$17*(Staff!H23-Staff!G23),0)</f>
        <v>30090</v>
      </c>
      <c r="H17" s="1712">
        <f>IF($C$17*(Staff!I23-Staff!H23)&gt;0,$C$17*(Staff!I23-Staff!H23),0)</f>
        <v>9350</v>
      </c>
      <c r="I17" s="1712">
        <f>IF($C$17*(Staff!J23-Staff!I23)&gt;0,$C$17*(Staff!J23-Staff!I23),0)</f>
        <v>6800</v>
      </c>
      <c r="J17" s="1712">
        <f>IF($C$17*(Staff!K23-Staff!J23)&gt;0,$C$17*(Staff!K23-Staff!J23),0)</f>
        <v>4250</v>
      </c>
      <c r="K17" s="1712">
        <f>IF($C$17*(Staff!L23-Staff!K23)&gt;0,$C$17*(Staff!L23-Staff!K23),0)</f>
        <v>1700</v>
      </c>
      <c r="L17" s="1712">
        <f>IF($C$17*(Staff!M23-Staff!L23)&gt;0,$C$17*(Staff!M23-Staff!L23),0)+G17</f>
        <v>30940</v>
      </c>
      <c r="M17" s="43"/>
      <c r="N17" s="353" t="s">
        <v>1539</v>
      </c>
    </row>
    <row r="18" spans="1:14">
      <c r="A18" s="356">
        <f>ROW()</f>
        <v>18</v>
      </c>
      <c r="B18" s="35" t="s">
        <v>732</v>
      </c>
      <c r="C18" s="858">
        <v>0</v>
      </c>
      <c r="D18" s="317"/>
      <c r="E18" s="317"/>
      <c r="F18" s="1712">
        <v>0</v>
      </c>
      <c r="G18" s="1712"/>
      <c r="H18" s="1712"/>
      <c r="I18" s="1712"/>
      <c r="J18" s="1712"/>
      <c r="K18" s="1712"/>
      <c r="L18" s="1712"/>
      <c r="M18" s="43"/>
      <c r="N18" s="353"/>
    </row>
    <row r="19" spans="1:14">
      <c r="A19" s="356">
        <f>ROW()</f>
        <v>19</v>
      </c>
      <c r="B19" s="35" t="s">
        <v>733</v>
      </c>
      <c r="C19" s="858">
        <v>300</v>
      </c>
      <c r="D19" s="317"/>
      <c r="E19" s="317"/>
      <c r="F19" s="1712">
        <v>0</v>
      </c>
      <c r="G19" s="1712">
        <f>-PMT(0.05,5,(G11-F11)*300)</f>
        <v>37417.917296779437</v>
      </c>
      <c r="H19" s="1712">
        <f>(H11-G11)*300+$G$19</f>
        <v>69817.917296779429</v>
      </c>
      <c r="I19" s="1712">
        <f t="shared" ref="I19:K19" si="1">(I11-H11)*300+$G$19</f>
        <v>69817.917296779429</v>
      </c>
      <c r="J19" s="1712">
        <f t="shared" si="1"/>
        <v>69817.917296779429</v>
      </c>
      <c r="K19" s="1712">
        <f t="shared" si="1"/>
        <v>45517.917296779437</v>
      </c>
      <c r="L19" s="1712">
        <f>(L11-K11+G11)*C19</f>
        <v>170100</v>
      </c>
      <c r="M19" s="43"/>
      <c r="N19" s="353" t="s">
        <v>1541</v>
      </c>
    </row>
    <row r="20" spans="1:14">
      <c r="A20" s="356">
        <f>ROW()</f>
        <v>20</v>
      </c>
      <c r="B20" s="35" t="s">
        <v>734</v>
      </c>
      <c r="C20" s="858">
        <v>0</v>
      </c>
      <c r="D20" s="317"/>
      <c r="E20" s="317"/>
      <c r="F20" s="1712">
        <v>0</v>
      </c>
      <c r="G20" s="1712"/>
      <c r="H20" s="1712"/>
      <c r="I20" s="1712"/>
      <c r="J20" s="1712"/>
      <c r="K20" s="1712"/>
      <c r="L20" s="1712"/>
      <c r="M20" s="43"/>
      <c r="N20" s="353"/>
    </row>
    <row r="21" spans="1:14">
      <c r="A21" s="356">
        <f>ROW()</f>
        <v>21</v>
      </c>
      <c r="B21" s="35" t="s">
        <v>735</v>
      </c>
      <c r="C21" s="858">
        <v>0</v>
      </c>
      <c r="D21" s="317"/>
      <c r="E21" s="317"/>
      <c r="F21" s="1712">
        <v>0</v>
      </c>
      <c r="G21" s="1712"/>
      <c r="H21" s="1712"/>
      <c r="I21" s="1712"/>
      <c r="J21" s="1712"/>
      <c r="K21" s="1712"/>
      <c r="L21" s="1712"/>
      <c r="M21" s="43"/>
      <c r="N21" s="353"/>
    </row>
    <row r="22" spans="1:14">
      <c r="A22" s="356">
        <f>ROW()</f>
        <v>22</v>
      </c>
      <c r="B22" s="35" t="s">
        <v>736</v>
      </c>
      <c r="C22" s="858">
        <v>0</v>
      </c>
      <c r="D22" s="317" t="s">
        <v>737</v>
      </c>
      <c r="E22" s="317"/>
      <c r="F22" s="1712">
        <v>0</v>
      </c>
      <c r="G22" s="1712">
        <f>IF($C$22*(Staff!H23-Staff!G23)&gt;0,$C$22*(Staff!H23-Staff!G23),0)</f>
        <v>0</v>
      </c>
      <c r="H22" s="1712">
        <f>IF($C$22*(Staff!I23-Staff!H23)&gt;0,$C$22*(Staff!I23-Staff!H23),0)</f>
        <v>0</v>
      </c>
      <c r="I22" s="1712">
        <f>IF($C$22*(Staff!J23-Staff!I23)&gt;0,$C$22*(Staff!J23-Staff!I23),0)</f>
        <v>0</v>
      </c>
      <c r="J22" s="1712">
        <f>IF($C$22*(Staff!K23-Staff!J23)&gt;0,$C$22*(Staff!K23-Staff!J23),0)</f>
        <v>0</v>
      </c>
      <c r="K22" s="1712">
        <f>IF($C$22*(Staff!L23-Staff!K23)&gt;0,$C$22*(Staff!L23-Staff!K23),0)</f>
        <v>0</v>
      </c>
      <c r="L22" s="1712">
        <f>IF($C$22*(Staff!M23-Staff!L23)&gt;0,$C$22*(Staff!M23-Staff!L23),0)</f>
        <v>0</v>
      </c>
      <c r="M22" s="43"/>
      <c r="N22" s="353"/>
    </row>
    <row r="23" spans="1:14">
      <c r="A23" s="356">
        <f>ROW()</f>
        <v>23</v>
      </c>
      <c r="B23" s="35" t="s">
        <v>738</v>
      </c>
      <c r="C23" s="858">
        <v>0</v>
      </c>
      <c r="D23" s="317" t="s">
        <v>574</v>
      </c>
      <c r="E23" s="317"/>
      <c r="F23" s="1712">
        <v>0</v>
      </c>
      <c r="G23" s="1712">
        <f>($C$23*12)*Staff!H23</f>
        <v>0</v>
      </c>
      <c r="H23" s="1712">
        <f>($C$23*12)*Staff!I23</f>
        <v>0</v>
      </c>
      <c r="I23" s="1712">
        <f>($C$23*12)*Staff!J23</f>
        <v>0</v>
      </c>
      <c r="J23" s="1712">
        <f>($C$23*12)*Staff!K23</f>
        <v>0</v>
      </c>
      <c r="K23" s="1712">
        <f>($C$23*12)*Staff!L23</f>
        <v>0</v>
      </c>
      <c r="L23" s="1712">
        <f>($C$23*12)*Staff!M23</f>
        <v>0</v>
      </c>
      <c r="M23" s="43"/>
      <c r="N23" s="353"/>
    </row>
    <row r="24" spans="1:14">
      <c r="A24" s="356">
        <f>ROW()</f>
        <v>24</v>
      </c>
      <c r="B24" s="35" t="s">
        <v>739</v>
      </c>
      <c r="C24" s="519"/>
      <c r="D24" s="317"/>
      <c r="E24" s="317"/>
      <c r="F24" s="1712">
        <v>0</v>
      </c>
      <c r="G24" s="1712"/>
      <c r="H24" s="1712"/>
      <c r="I24" s="1712"/>
      <c r="J24" s="1712"/>
      <c r="K24" s="1712"/>
      <c r="L24" s="1712"/>
      <c r="M24" s="43"/>
      <c r="N24" s="353"/>
    </row>
    <row r="25" spans="1:14">
      <c r="A25" s="356">
        <f>ROW()</f>
        <v>25</v>
      </c>
      <c r="B25" s="35" t="s">
        <v>740</v>
      </c>
      <c r="C25" s="519"/>
      <c r="D25" s="317"/>
      <c r="E25" s="317"/>
      <c r="F25" s="1712">
        <v>0</v>
      </c>
      <c r="G25" s="1712">
        <f>-PMT(0.05,5,50000)</f>
        <v>11548.739906413406</v>
      </c>
      <c r="H25" s="1712">
        <f t="shared" ref="H25:K25" si="2">-PMT(0.05,5,50000)</f>
        <v>11548.739906413406</v>
      </c>
      <c r="I25" s="1712">
        <f t="shared" si="2"/>
        <v>11548.739906413406</v>
      </c>
      <c r="J25" s="1712">
        <f t="shared" si="2"/>
        <v>11548.739906413406</v>
      </c>
      <c r="K25" s="1712">
        <f t="shared" si="2"/>
        <v>11548.739906413406</v>
      </c>
      <c r="L25" s="1712">
        <v>60000</v>
      </c>
      <c r="M25" s="43"/>
      <c r="N25" s="353"/>
    </row>
    <row r="26" spans="1:14">
      <c r="A26" s="356">
        <f>ROW()</f>
        <v>26</v>
      </c>
      <c r="B26" s="35" t="s">
        <v>741</v>
      </c>
      <c r="C26" s="858">
        <v>3500</v>
      </c>
      <c r="D26" s="317" t="s">
        <v>742</v>
      </c>
      <c r="E26" s="317"/>
      <c r="F26" s="1712">
        <v>0</v>
      </c>
      <c r="G26" s="1712">
        <f>' Enrol &amp; Rev'!G18*'FFE&amp;T'!C26</f>
        <v>70000</v>
      </c>
      <c r="H26" s="1712">
        <f>$C$26*(' Enrol &amp; Rev'!H18-' Enrol &amp; Rev'!G18)</f>
        <v>14000</v>
      </c>
      <c r="I26" s="1712">
        <f>$C$26*(' Enrol &amp; Rev'!I18-' Enrol &amp; Rev'!H18)</f>
        <v>14000</v>
      </c>
      <c r="J26" s="1712">
        <f>$C$26*(' Enrol &amp; Rev'!J18-' Enrol &amp; Rev'!I18)</f>
        <v>14000</v>
      </c>
      <c r="K26" s="1712">
        <f>$C$26*(' Enrol &amp; Rev'!K18-' Enrol &amp; Rev'!J18)</f>
        <v>3500</v>
      </c>
      <c r="L26" s="1712">
        <f>$C$26*(' Enrol &amp; Rev'!L18-' Enrol &amp; Rev'!K18)</f>
        <v>3500</v>
      </c>
      <c r="M26" s="43"/>
      <c r="N26" s="353"/>
    </row>
    <row r="27" spans="1:14">
      <c r="A27" s="356">
        <f>ROW()</f>
        <v>27</v>
      </c>
      <c r="B27" s="35" t="s">
        <v>743</v>
      </c>
      <c r="C27" s="858">
        <v>36</v>
      </c>
      <c r="D27" s="317" t="s">
        <v>282</v>
      </c>
      <c r="E27" s="317"/>
      <c r="F27" s="1712">
        <v>0</v>
      </c>
      <c r="G27" s="1712">
        <f t="shared" ref="G27:L31" si="3">$C27*G$11</f>
        <v>19440</v>
      </c>
      <c r="H27" s="1712">
        <f t="shared" si="3"/>
        <v>23328</v>
      </c>
      <c r="I27" s="1712">
        <f t="shared" si="3"/>
        <v>27216</v>
      </c>
      <c r="J27" s="1712">
        <f t="shared" si="3"/>
        <v>31104</v>
      </c>
      <c r="K27" s="1712">
        <f t="shared" si="3"/>
        <v>32076</v>
      </c>
      <c r="L27" s="1712">
        <f t="shared" si="3"/>
        <v>33048</v>
      </c>
      <c r="M27" s="43"/>
      <c r="N27" s="353"/>
    </row>
    <row r="28" spans="1:14">
      <c r="A28" s="356">
        <f>ROW()</f>
        <v>28</v>
      </c>
      <c r="B28" s="35" t="s">
        <v>744</v>
      </c>
      <c r="C28" s="858">
        <v>24</v>
      </c>
      <c r="D28" s="317" t="s">
        <v>282</v>
      </c>
      <c r="E28" s="317"/>
      <c r="F28" s="1712">
        <v>0</v>
      </c>
      <c r="G28" s="1712">
        <f t="shared" si="3"/>
        <v>12960</v>
      </c>
      <c r="H28" s="1712">
        <f t="shared" si="3"/>
        <v>15552</v>
      </c>
      <c r="I28" s="1712">
        <f t="shared" si="3"/>
        <v>18144</v>
      </c>
      <c r="J28" s="1712">
        <f t="shared" si="3"/>
        <v>20736</v>
      </c>
      <c r="K28" s="1712">
        <f t="shared" si="3"/>
        <v>21384</v>
      </c>
      <c r="L28" s="1712">
        <f t="shared" si="3"/>
        <v>22032</v>
      </c>
      <c r="M28" s="43"/>
      <c r="N28" s="353"/>
    </row>
    <row r="29" spans="1:14">
      <c r="A29" s="356">
        <f>ROW()</f>
        <v>29</v>
      </c>
      <c r="B29" s="35" t="s">
        <v>745</v>
      </c>
      <c r="C29" s="858">
        <v>0</v>
      </c>
      <c r="D29" s="317" t="s">
        <v>282</v>
      </c>
      <c r="E29" s="317"/>
      <c r="F29" s="1712">
        <v>0</v>
      </c>
      <c r="G29" s="1712">
        <f t="shared" si="3"/>
        <v>0</v>
      </c>
      <c r="H29" s="1712">
        <f t="shared" si="3"/>
        <v>0</v>
      </c>
      <c r="I29" s="1712">
        <f t="shared" si="3"/>
        <v>0</v>
      </c>
      <c r="J29" s="1712">
        <f t="shared" si="3"/>
        <v>0</v>
      </c>
      <c r="K29" s="1712">
        <f t="shared" si="3"/>
        <v>0</v>
      </c>
      <c r="L29" s="1712">
        <f t="shared" si="3"/>
        <v>0</v>
      </c>
      <c r="M29" s="43"/>
      <c r="N29" s="353"/>
    </row>
    <row r="30" spans="1:14">
      <c r="A30" s="356">
        <f>ROW()</f>
        <v>30</v>
      </c>
      <c r="B30" s="35" t="s">
        <v>746</v>
      </c>
      <c r="C30" s="858">
        <v>0</v>
      </c>
      <c r="D30" s="317" t="s">
        <v>282</v>
      </c>
      <c r="E30" s="317"/>
      <c r="F30" s="1712">
        <v>0</v>
      </c>
      <c r="G30" s="1712">
        <f t="shared" si="3"/>
        <v>0</v>
      </c>
      <c r="H30" s="1712">
        <f t="shared" si="3"/>
        <v>0</v>
      </c>
      <c r="I30" s="1712">
        <f t="shared" si="3"/>
        <v>0</v>
      </c>
      <c r="J30" s="1712">
        <f t="shared" si="3"/>
        <v>0</v>
      </c>
      <c r="K30" s="1712">
        <f t="shared" si="3"/>
        <v>0</v>
      </c>
      <c r="L30" s="1712">
        <f t="shared" si="3"/>
        <v>0</v>
      </c>
      <c r="M30" s="43"/>
      <c r="N30" s="353"/>
    </row>
    <row r="31" spans="1:14">
      <c r="A31" s="356">
        <f>ROW()</f>
        <v>31</v>
      </c>
      <c r="B31" s="35" t="s">
        <v>747</v>
      </c>
      <c r="C31" s="858">
        <v>0</v>
      </c>
      <c r="D31" s="317" t="s">
        <v>282</v>
      </c>
      <c r="E31" s="317"/>
      <c r="F31" s="1712">
        <v>0</v>
      </c>
      <c r="G31" s="1712">
        <f t="shared" si="3"/>
        <v>0</v>
      </c>
      <c r="H31" s="1712">
        <f t="shared" si="3"/>
        <v>0</v>
      </c>
      <c r="I31" s="1712">
        <f t="shared" si="3"/>
        <v>0</v>
      </c>
      <c r="J31" s="1712">
        <f t="shared" si="3"/>
        <v>0</v>
      </c>
      <c r="K31" s="1712">
        <f t="shared" si="3"/>
        <v>0</v>
      </c>
      <c r="L31" s="1712">
        <f t="shared" si="3"/>
        <v>0</v>
      </c>
      <c r="M31" s="43"/>
      <c r="N31" s="353"/>
    </row>
    <row r="32" spans="1:14">
      <c r="A32" s="356">
        <f>ROW()</f>
        <v>32</v>
      </c>
      <c r="B32" s="35" t="s">
        <v>748</v>
      </c>
      <c r="C32" s="858">
        <v>0</v>
      </c>
      <c r="D32" s="317" t="s">
        <v>574</v>
      </c>
      <c r="E32" s="317"/>
      <c r="F32" s="1712">
        <v>0</v>
      </c>
      <c r="G32" s="1712">
        <f t="shared" ref="G32:L32" si="4">$C$32*12</f>
        <v>0</v>
      </c>
      <c r="H32" s="1712">
        <f t="shared" si="4"/>
        <v>0</v>
      </c>
      <c r="I32" s="1712">
        <f t="shared" si="4"/>
        <v>0</v>
      </c>
      <c r="J32" s="1712">
        <f t="shared" si="4"/>
        <v>0</v>
      </c>
      <c r="K32" s="1712">
        <f t="shared" si="4"/>
        <v>0</v>
      </c>
      <c r="L32" s="1712">
        <f t="shared" si="4"/>
        <v>0</v>
      </c>
      <c r="M32" s="43"/>
      <c r="N32" s="353"/>
    </row>
    <row r="33" spans="1:14">
      <c r="A33" s="356">
        <f>ROW()</f>
        <v>33</v>
      </c>
      <c r="B33" s="35" t="s">
        <v>749</v>
      </c>
      <c r="C33" s="858">
        <v>1000</v>
      </c>
      <c r="D33" s="317" t="s">
        <v>574</v>
      </c>
      <c r="E33" s="317"/>
      <c r="F33" s="1712">
        <v>0</v>
      </c>
      <c r="G33" s="1712">
        <f t="shared" ref="G33:L33" si="5">$C$33*12</f>
        <v>12000</v>
      </c>
      <c r="H33" s="1712">
        <f t="shared" si="5"/>
        <v>12000</v>
      </c>
      <c r="I33" s="1712">
        <f t="shared" si="5"/>
        <v>12000</v>
      </c>
      <c r="J33" s="1712">
        <f t="shared" si="5"/>
        <v>12000</v>
      </c>
      <c r="K33" s="1712">
        <f t="shared" si="5"/>
        <v>12000</v>
      </c>
      <c r="L33" s="1712">
        <f t="shared" si="5"/>
        <v>12000</v>
      </c>
      <c r="M33" s="43"/>
      <c r="N33" s="353"/>
    </row>
    <row r="34" spans="1:14" ht="27.6">
      <c r="A34" s="356">
        <f>ROW()</f>
        <v>34</v>
      </c>
      <c r="B34" s="45" t="s">
        <v>750</v>
      </c>
      <c r="C34" s="519"/>
      <c r="D34" s="317"/>
      <c r="E34" s="317"/>
      <c r="F34" s="1712">
        <v>0</v>
      </c>
      <c r="G34" s="1712">
        <v>52000</v>
      </c>
      <c r="H34" s="1712">
        <v>0</v>
      </c>
      <c r="I34" s="1712">
        <v>0</v>
      </c>
      <c r="J34" s="1712">
        <v>0</v>
      </c>
      <c r="K34" s="1712">
        <v>0</v>
      </c>
      <c r="L34" s="1712">
        <v>0</v>
      </c>
      <c r="M34" s="43"/>
      <c r="N34" s="353" t="s">
        <v>1540</v>
      </c>
    </row>
    <row r="35" spans="1:14">
      <c r="A35" s="356">
        <f>ROW()</f>
        <v>35</v>
      </c>
      <c r="B35" s="35" t="s">
        <v>751</v>
      </c>
      <c r="C35" s="858">
        <v>0</v>
      </c>
      <c r="D35" s="317" t="s">
        <v>752</v>
      </c>
      <c r="E35" s="317"/>
      <c r="F35" s="1712">
        <v>0</v>
      </c>
      <c r="G35" s="1712">
        <v>0</v>
      </c>
      <c r="H35" s="1712">
        <v>0</v>
      </c>
      <c r="I35" s="1712">
        <v>0</v>
      </c>
      <c r="J35" s="1712">
        <v>0</v>
      </c>
      <c r="K35" s="1712">
        <v>0</v>
      </c>
      <c r="L35" s="1712">
        <v>0</v>
      </c>
      <c r="M35" s="43"/>
      <c r="N35" s="353"/>
    </row>
    <row r="36" spans="1:14">
      <c r="A36" s="356">
        <f>ROW()</f>
        <v>36</v>
      </c>
      <c r="B36" s="35" t="s">
        <v>753</v>
      </c>
      <c r="C36" s="858">
        <v>500</v>
      </c>
      <c r="D36" s="317" t="s">
        <v>574</v>
      </c>
      <c r="E36" s="317"/>
      <c r="F36" s="1712">
        <v>0</v>
      </c>
      <c r="G36" s="1712">
        <f t="shared" ref="G36:L36" si="6">$C$36*12</f>
        <v>6000</v>
      </c>
      <c r="H36" s="1712">
        <f t="shared" si="6"/>
        <v>6000</v>
      </c>
      <c r="I36" s="1712">
        <f t="shared" si="6"/>
        <v>6000</v>
      </c>
      <c r="J36" s="1712">
        <f t="shared" si="6"/>
        <v>6000</v>
      </c>
      <c r="K36" s="1712">
        <f t="shared" si="6"/>
        <v>6000</v>
      </c>
      <c r="L36" s="1712">
        <f t="shared" si="6"/>
        <v>6000</v>
      </c>
      <c r="M36" s="43"/>
      <c r="N36" s="353"/>
    </row>
    <row r="37" spans="1:14">
      <c r="A37" s="356">
        <f>ROW()</f>
        <v>37</v>
      </c>
      <c r="B37" s="35" t="s">
        <v>754</v>
      </c>
      <c r="C37" s="858">
        <v>0</v>
      </c>
      <c r="D37" s="317" t="s">
        <v>590</v>
      </c>
      <c r="E37" s="317"/>
      <c r="F37" s="1712">
        <v>0</v>
      </c>
      <c r="G37" s="1712">
        <f>IF($C$37*(Staff!H23-Staff!G23)&gt;0,$C$37*(Staff!H23-Staff!G23),0)</f>
        <v>0</v>
      </c>
      <c r="H37" s="1712">
        <f>IF($C$37*(Staff!I23-Staff!H23)&gt;0,$C$37*(Staff!I23-Staff!H23),0)</f>
        <v>0</v>
      </c>
      <c r="I37" s="1712">
        <f>IF($C$37*(Staff!J23-Staff!I23)&gt;0,$C$37*(Staff!J23-Staff!I23),0)</f>
        <v>0</v>
      </c>
      <c r="J37" s="1712">
        <f>IF($C$37*(Staff!K23-Staff!J23)&gt;0,$C$37*(Staff!K23-Staff!J23),0)</f>
        <v>0</v>
      </c>
      <c r="K37" s="1712">
        <f>IF($C$37*(Staff!L23-Staff!K23)&gt;0,$C$37*(Staff!L23-Staff!K23),0)</f>
        <v>0</v>
      </c>
      <c r="L37" s="1712">
        <f>IF($C$37*(Staff!M23-Staff!L23)&gt;0,$C$37*(Staff!M23-Staff!L23),0)</f>
        <v>0</v>
      </c>
      <c r="M37" s="43"/>
      <c r="N37" s="353"/>
    </row>
    <row r="38" spans="1:14">
      <c r="A38" s="356">
        <f>ROW()</f>
        <v>38</v>
      </c>
      <c r="B38" s="35" t="s">
        <v>755</v>
      </c>
      <c r="C38" s="858">
        <v>0</v>
      </c>
      <c r="D38" s="317" t="s">
        <v>548</v>
      </c>
      <c r="E38" s="317"/>
      <c r="F38" s="1712">
        <v>0</v>
      </c>
      <c r="G38" s="1712">
        <f>$C$38*Staff!H23</f>
        <v>0</v>
      </c>
      <c r="H38" s="1712">
        <f>$C$38*Staff!I23</f>
        <v>0</v>
      </c>
      <c r="I38" s="1712">
        <f>$C$38*Staff!J23</f>
        <v>0</v>
      </c>
      <c r="J38" s="1712">
        <f>$C$38*Staff!K23</f>
        <v>0</v>
      </c>
      <c r="K38" s="1712">
        <f>$C$38*Staff!L23</f>
        <v>0</v>
      </c>
      <c r="L38" s="1712">
        <f>$C$38*Staff!M23</f>
        <v>0</v>
      </c>
      <c r="M38" s="43"/>
      <c r="N38" s="353"/>
    </row>
    <row r="39" spans="1:14">
      <c r="A39" s="356">
        <f>ROW()</f>
        <v>39</v>
      </c>
      <c r="B39" s="35" t="s">
        <v>1398</v>
      </c>
      <c r="C39" s="858">
        <v>480</v>
      </c>
      <c r="D39" s="317" t="s">
        <v>590</v>
      </c>
      <c r="E39" s="317"/>
      <c r="F39" s="1712">
        <v>0</v>
      </c>
      <c r="G39" s="1712">
        <f>IF($C$39*(Staff!H23-Staff!G23)&gt;0,$C$39*(Staff!H23-Staff!G23),0)</f>
        <v>16992</v>
      </c>
      <c r="H39" s="1712">
        <f>IF($C$39*(Staff!I23-Staff!H23)&gt;0,$C$39*(Staff!I23-Staff!H23),0)</f>
        <v>5280</v>
      </c>
      <c r="I39" s="1712">
        <f>IF($C$39*(Staff!J23-Staff!I23)&gt;0,$C$39*(Staff!J23-Staff!I23),0)</f>
        <v>3840</v>
      </c>
      <c r="J39" s="1712">
        <f>IF($C$39*(Staff!K23-Staff!J23)&gt;0,$C$39*(Staff!K23-Staff!J23),0)</f>
        <v>2400</v>
      </c>
      <c r="K39" s="1712">
        <f>IF($C$39*(Staff!L23-Staff!K23)&gt;0,$C$39*(Staff!L23-Staff!K23),0)</f>
        <v>960</v>
      </c>
      <c r="L39" s="1712">
        <f>IF($C$39*(Staff!M23-Staff!L23)&gt;0,$C$39*(Staff!M23-Staff!L23),0)</f>
        <v>480</v>
      </c>
      <c r="M39" s="43"/>
      <c r="N39" s="353"/>
    </row>
    <row r="40" spans="1:14">
      <c r="A40" s="356">
        <f>ROW()</f>
        <v>40</v>
      </c>
      <c r="B40" s="35" t="s">
        <v>1399</v>
      </c>
      <c r="C40" s="858">
        <v>185</v>
      </c>
      <c r="D40" s="317" t="s">
        <v>576</v>
      </c>
      <c r="E40" s="317"/>
      <c r="F40" s="1712">
        <v>0</v>
      </c>
      <c r="G40" s="1712">
        <f>$C$40*' Enrol &amp; Rev'!G35</f>
        <v>99900</v>
      </c>
      <c r="H40" s="1712">
        <f>IF($C$40*(' Enrol &amp; Rev'!H35-' Enrol &amp; Rev'!G35)&gt;0,$C$40*(' Enrol &amp; Rev'!H35-' Enrol &amp; Rev'!G35),0)</f>
        <v>19980</v>
      </c>
      <c r="I40" s="1712">
        <f>IF($C$40*(' Enrol &amp; Rev'!I35-' Enrol &amp; Rev'!H35)&gt;0,$C$40*(' Enrol &amp; Rev'!I35-' Enrol &amp; Rev'!H35),0)</f>
        <v>19980</v>
      </c>
      <c r="J40" s="1712">
        <f>IF($C$40*(' Enrol &amp; Rev'!J35-' Enrol &amp; Rev'!I35)&gt;0,$C$40*(' Enrol &amp; Rev'!J35-' Enrol &amp; Rev'!I35),0)</f>
        <v>19980</v>
      </c>
      <c r="K40" s="1712">
        <f>IF($C$40*(' Enrol &amp; Rev'!K35-' Enrol &amp; Rev'!J35)&gt;0,$C$40*(' Enrol &amp; Rev'!K35-' Enrol &amp; Rev'!J35),0)</f>
        <v>4995</v>
      </c>
      <c r="L40" s="1712">
        <f>IF($C$40*(' Enrol &amp; Rev'!L35-' Enrol &amp; Rev'!K35)&gt;0,$C$40*(' Enrol &amp; Rev'!L35-' Enrol &amp; Rev'!K35),0)</f>
        <v>4995</v>
      </c>
      <c r="M40" s="43"/>
      <c r="N40" s="353"/>
    </row>
    <row r="41" spans="1:14" ht="14.4" thickBot="1">
      <c r="A41" s="356">
        <f>ROW()</f>
        <v>41</v>
      </c>
      <c r="G41" s="56"/>
      <c r="H41" s="56"/>
      <c r="I41" s="56"/>
      <c r="J41" s="56"/>
      <c r="K41" s="56"/>
      <c r="L41" s="56"/>
      <c r="M41" s="43"/>
      <c r="N41" s="353"/>
    </row>
    <row r="42" spans="1:14" ht="28.2" thickBot="1">
      <c r="A42" s="356">
        <f>ROW()</f>
        <v>42</v>
      </c>
      <c r="B42" s="793" t="s">
        <v>756</v>
      </c>
      <c r="C42" s="794">
        <f>SUM(G42:L42)</f>
        <v>1580760.2860159641</v>
      </c>
      <c r="D42" s="795"/>
      <c r="E42" s="795"/>
      <c r="F42" s="796">
        <f t="shared" ref="F42:L42" si="7">SUM(F15:F41)</f>
        <v>0</v>
      </c>
      <c r="G42" s="796">
        <f t="shared" si="7"/>
        <v>387248.65720319282</v>
      </c>
      <c r="H42" s="796">
        <f t="shared" si="7"/>
        <v>209536.65720319282</v>
      </c>
      <c r="I42" s="796">
        <f t="shared" si="7"/>
        <v>215806.65720319282</v>
      </c>
      <c r="J42" s="796">
        <f t="shared" si="7"/>
        <v>222076.65720319282</v>
      </c>
      <c r="K42" s="796">
        <f t="shared" si="7"/>
        <v>170866.65720319282</v>
      </c>
      <c r="L42" s="796">
        <f t="shared" si="7"/>
        <v>375225</v>
      </c>
      <c r="M42" s="43"/>
      <c r="N42" s="353"/>
    </row>
    <row r="43" spans="1:14">
      <c r="A43" s="356">
        <f>ROW()</f>
        <v>43</v>
      </c>
      <c r="B43" s="82"/>
      <c r="N43" s="353"/>
    </row>
    <row r="44" spans="1:14" ht="14.4">
      <c r="A44" s="356">
        <f>ROW()</f>
        <v>44</v>
      </c>
      <c r="B44" s="192" t="s">
        <v>757</v>
      </c>
      <c r="N44" s="353"/>
    </row>
    <row r="45" spans="1:14">
      <c r="A45" s="356">
        <f>ROW()</f>
        <v>45</v>
      </c>
      <c r="B45" s="353"/>
      <c r="C45" s="355"/>
      <c r="D45" s="355"/>
      <c r="E45" s="355"/>
      <c r="F45" s="355"/>
      <c r="G45" s="355"/>
      <c r="H45" s="355"/>
      <c r="I45" s="355"/>
      <c r="J45" s="355"/>
      <c r="K45" s="355"/>
      <c r="L45" s="355"/>
      <c r="N45" s="353"/>
    </row>
    <row r="46" spans="1:14">
      <c r="A46" s="356">
        <f>ROW()</f>
        <v>46</v>
      </c>
      <c r="B46" s="353"/>
      <c r="C46" s="355"/>
      <c r="D46" s="355"/>
      <c r="E46" s="355"/>
      <c r="F46" s="355"/>
      <c r="G46" s="355"/>
      <c r="H46" s="355"/>
      <c r="I46" s="355"/>
      <c r="J46" s="355"/>
      <c r="K46" s="355"/>
      <c r="L46" s="355"/>
      <c r="N46" s="353"/>
    </row>
    <row r="47" spans="1:14">
      <c r="A47" s="356">
        <f>ROW()</f>
        <v>47</v>
      </c>
      <c r="B47" s="353"/>
      <c r="C47" s="355"/>
      <c r="D47" s="355"/>
      <c r="E47" s="355"/>
      <c r="F47" s="355"/>
      <c r="G47" s="355"/>
      <c r="H47" s="355"/>
      <c r="I47" s="355"/>
      <c r="J47" s="355"/>
      <c r="K47" s="355"/>
      <c r="L47" s="355"/>
      <c r="N47" s="353"/>
    </row>
    <row r="48" spans="1:14">
      <c r="A48" s="356">
        <f>ROW()</f>
        <v>48</v>
      </c>
      <c r="B48" s="353"/>
      <c r="C48" s="355"/>
      <c r="D48" s="355"/>
      <c r="E48" s="355"/>
      <c r="F48" s="355"/>
      <c r="G48" s="355"/>
      <c r="H48" s="355"/>
      <c r="I48" s="355"/>
      <c r="J48" s="355"/>
      <c r="K48" s="355"/>
      <c r="L48" s="355"/>
      <c r="N48" s="353"/>
    </row>
    <row r="49" spans="1:14">
      <c r="A49" s="356">
        <f>ROW()</f>
        <v>49</v>
      </c>
      <c r="B49" s="353"/>
      <c r="C49" s="355"/>
      <c r="D49" s="355"/>
      <c r="E49" s="355"/>
      <c r="F49" s="355"/>
      <c r="G49" s="355"/>
      <c r="H49" s="355"/>
      <c r="I49" s="355"/>
      <c r="J49" s="355"/>
      <c r="K49" s="355"/>
      <c r="L49" s="355"/>
      <c r="N49" s="353"/>
    </row>
    <row r="50" spans="1:14">
      <c r="A50" s="356">
        <f>ROW()</f>
        <v>50</v>
      </c>
      <c r="B50" s="353"/>
      <c r="C50" s="355"/>
      <c r="D50" s="355"/>
      <c r="E50" s="355"/>
      <c r="F50" s="355"/>
      <c r="G50" s="355"/>
      <c r="H50" s="355"/>
      <c r="I50" s="355"/>
      <c r="J50" s="355"/>
      <c r="K50" s="355"/>
      <c r="L50" s="355"/>
      <c r="N50" s="353"/>
    </row>
    <row r="51" spans="1:14">
      <c r="A51" s="356">
        <f>ROW()</f>
        <v>51</v>
      </c>
      <c r="B51" s="353"/>
      <c r="C51" s="355"/>
      <c r="D51" s="355"/>
      <c r="E51" s="355"/>
      <c r="F51" s="355"/>
      <c r="G51" s="355"/>
      <c r="H51" s="355"/>
      <c r="I51" s="355"/>
      <c r="J51" s="355"/>
      <c r="K51" s="355"/>
      <c r="L51" s="355"/>
      <c r="N51" s="353"/>
    </row>
    <row r="52" spans="1:14">
      <c r="A52" s="356">
        <f>ROW()</f>
        <v>52</v>
      </c>
      <c r="B52" s="353"/>
      <c r="C52" s="355"/>
      <c r="D52" s="355"/>
      <c r="E52" s="355"/>
      <c r="F52" s="355"/>
      <c r="G52" s="355"/>
      <c r="H52" s="355"/>
      <c r="I52" s="355"/>
      <c r="J52" s="355"/>
      <c r="K52" s="355"/>
      <c r="L52" s="355"/>
      <c r="N52" s="353"/>
    </row>
    <row r="53" spans="1:14">
      <c r="A53" s="356">
        <f>ROW()</f>
        <v>53</v>
      </c>
      <c r="B53" s="353"/>
      <c r="C53" s="355"/>
      <c r="D53" s="355"/>
      <c r="E53" s="355"/>
      <c r="F53" s="355"/>
      <c r="G53" s="355"/>
      <c r="H53" s="355"/>
      <c r="I53" s="355"/>
      <c r="J53" s="355"/>
      <c r="K53" s="355"/>
      <c r="L53" s="355"/>
      <c r="N53" s="353"/>
    </row>
    <row r="54" spans="1:14">
      <c r="A54" s="356">
        <f>ROW()</f>
        <v>54</v>
      </c>
      <c r="B54" s="353"/>
      <c r="C54" s="355"/>
      <c r="D54" s="355"/>
      <c r="E54" s="355"/>
      <c r="F54" s="355"/>
      <c r="G54" s="355"/>
      <c r="H54" s="355"/>
      <c r="I54" s="355"/>
      <c r="J54" s="355"/>
      <c r="K54" s="355"/>
      <c r="L54" s="355"/>
      <c r="N54" s="353"/>
    </row>
    <row r="55" spans="1:14">
      <c r="A55" s="356">
        <f>ROW()</f>
        <v>55</v>
      </c>
      <c r="N55" s="353"/>
    </row>
    <row r="56" spans="1:14">
      <c r="A56" s="356">
        <f>ROW()</f>
        <v>56</v>
      </c>
      <c r="N56" s="353"/>
    </row>
    <row r="57" spans="1:14">
      <c r="A57" s="356">
        <f>ROW()</f>
        <v>57</v>
      </c>
      <c r="C57" s="33" t="s">
        <v>1481</v>
      </c>
      <c r="F57" s="787" t="str">
        <f t="shared" ref="F57:L59" si="8">F6</f>
        <v>SY 0/Incu</v>
      </c>
      <c r="G57" s="788">
        <f t="shared" si="8"/>
        <v>1</v>
      </c>
      <c r="H57" s="788">
        <f t="shared" si="8"/>
        <v>2</v>
      </c>
      <c r="I57" s="788">
        <f t="shared" si="8"/>
        <v>3</v>
      </c>
      <c r="J57" s="788">
        <f t="shared" si="8"/>
        <v>4</v>
      </c>
      <c r="K57" s="788">
        <f t="shared" si="8"/>
        <v>5</v>
      </c>
      <c r="L57" s="789">
        <f t="shared" si="8"/>
        <v>6</v>
      </c>
      <c r="N57" s="353"/>
    </row>
    <row r="58" spans="1:14">
      <c r="A58" s="356">
        <f>ROW()</f>
        <v>58</v>
      </c>
      <c r="F58" s="790">
        <f t="shared" si="8"/>
        <v>2022</v>
      </c>
      <c r="G58" s="790">
        <f t="shared" si="8"/>
        <v>2023</v>
      </c>
      <c r="H58" s="791">
        <f t="shared" si="8"/>
        <v>2024</v>
      </c>
      <c r="I58" s="791">
        <f t="shared" si="8"/>
        <v>2025</v>
      </c>
      <c r="J58" s="791">
        <f t="shared" si="8"/>
        <v>2026</v>
      </c>
      <c r="K58" s="791">
        <f t="shared" si="8"/>
        <v>2027</v>
      </c>
      <c r="L58" s="792">
        <f t="shared" si="8"/>
        <v>2028</v>
      </c>
      <c r="N58" s="353"/>
    </row>
    <row r="59" spans="1:14">
      <c r="A59" s="356">
        <f>ROW()</f>
        <v>59</v>
      </c>
      <c r="D59" s="35" t="s">
        <v>123</v>
      </c>
      <c r="F59" s="784">
        <f t="shared" si="8"/>
        <v>2023</v>
      </c>
      <c r="G59" s="784">
        <f t="shared" si="8"/>
        <v>2024</v>
      </c>
      <c r="H59" s="785">
        <f t="shared" si="8"/>
        <v>2025</v>
      </c>
      <c r="I59" s="785">
        <f t="shared" si="8"/>
        <v>2026</v>
      </c>
      <c r="J59" s="785">
        <f t="shared" si="8"/>
        <v>2027</v>
      </c>
      <c r="K59" s="785">
        <f t="shared" si="8"/>
        <v>2028</v>
      </c>
      <c r="L59" s="786">
        <f t="shared" si="8"/>
        <v>2029</v>
      </c>
      <c r="N59" s="353"/>
    </row>
    <row r="60" spans="1:14">
      <c r="A60" s="356">
        <f>ROW()</f>
        <v>60</v>
      </c>
      <c r="C60" s="35" t="s">
        <v>758</v>
      </c>
      <c r="D60" s="428">
        <f>Levers!B9</f>
        <v>4617</v>
      </c>
      <c r="E60" s="428"/>
      <c r="F60" s="428"/>
      <c r="G60" s="429">
        <f>Levers!D9</f>
        <v>540</v>
      </c>
      <c r="H60" s="429">
        <f>Levers!E9</f>
        <v>648</v>
      </c>
      <c r="I60" s="429">
        <f>Levers!F9</f>
        <v>756</v>
      </c>
      <c r="J60" s="429">
        <f>Levers!G9</f>
        <v>864</v>
      </c>
      <c r="K60" s="429">
        <f>Levers!H9</f>
        <v>891</v>
      </c>
      <c r="L60" s="429">
        <f>Levers!I9</f>
        <v>918</v>
      </c>
      <c r="N60" s="353"/>
    </row>
    <row r="61" spans="1:14">
      <c r="A61" s="356">
        <f>ROW()</f>
        <v>61</v>
      </c>
      <c r="C61" s="35" t="s">
        <v>406</v>
      </c>
      <c r="D61" s="513">
        <f>Levers!B10</f>
        <v>50808735.680071488</v>
      </c>
      <c r="E61" s="513"/>
      <c r="F61" s="513">
        <f>Levers!C10</f>
        <v>150000</v>
      </c>
      <c r="G61" s="514">
        <f>Levers!D10</f>
        <v>5253734.6500000004</v>
      </c>
      <c r="H61" s="514">
        <f>Levers!E10</f>
        <v>7196317.5757038658</v>
      </c>
      <c r="I61" s="514">
        <f>Levers!F10</f>
        <v>8318281.1288446411</v>
      </c>
      <c r="J61" s="514">
        <f>Levers!G10</f>
        <v>9540244.6819854137</v>
      </c>
      <c r="K61" s="514">
        <f>Levers!H10</f>
        <v>10022333.377626188</v>
      </c>
      <c r="L61" s="514">
        <f>Levers!I10</f>
        <v>10327824.26591138</v>
      </c>
      <c r="N61" s="353"/>
    </row>
    <row r="62" spans="1:14">
      <c r="A62" s="356">
        <f>ROW()</f>
        <v>62</v>
      </c>
      <c r="C62" s="35" t="s">
        <v>759</v>
      </c>
      <c r="D62" s="513">
        <f>Levers!B11</f>
        <v>11004.707749636449</v>
      </c>
      <c r="E62" s="513"/>
      <c r="F62" s="515"/>
      <c r="G62" s="516">
        <f>Levers!D11</f>
        <v>9729.1382407407418</v>
      </c>
      <c r="H62" s="516">
        <f>Levers!E11</f>
        <v>11105.428357567695</v>
      </c>
      <c r="I62" s="516">
        <f>Levers!F11</f>
        <v>11003.017366196615</v>
      </c>
      <c r="J62" s="516">
        <f>Levers!G11</f>
        <v>11041.949863409043</v>
      </c>
      <c r="K62" s="516">
        <f>Levers!H11</f>
        <v>11248.410075899201</v>
      </c>
      <c r="L62" s="516">
        <f>Levers!I11</f>
        <v>11250.353230840283</v>
      </c>
      <c r="N62" s="353"/>
    </row>
    <row r="63" spans="1:14">
      <c r="A63" s="356">
        <f>ROW()</f>
        <v>63</v>
      </c>
      <c r="C63" s="35" t="s">
        <v>760</v>
      </c>
      <c r="D63" s="513">
        <f>Levers!B24</f>
        <v>1580760.2860159641</v>
      </c>
      <c r="E63" s="513"/>
      <c r="F63" s="515">
        <f>Levers!C24</f>
        <v>0</v>
      </c>
      <c r="G63" s="516">
        <f>Levers!D24</f>
        <v>387248.65720319282</v>
      </c>
      <c r="H63" s="516">
        <f>Levers!E24</f>
        <v>209536.65720319282</v>
      </c>
      <c r="I63" s="516">
        <f>Levers!F24</f>
        <v>215806.65720319282</v>
      </c>
      <c r="J63" s="516">
        <f>Levers!G24</f>
        <v>222076.65720319282</v>
      </c>
      <c r="K63" s="516">
        <f>Levers!H24</f>
        <v>170866.65720319282</v>
      </c>
      <c r="L63" s="516">
        <f>Levers!I24</f>
        <v>375225</v>
      </c>
      <c r="N63" s="353"/>
    </row>
    <row r="64" spans="1:14">
      <c r="A64" s="356">
        <f>ROW()</f>
        <v>64</v>
      </c>
      <c r="C64" s="35" t="s">
        <v>761</v>
      </c>
      <c r="D64" s="513">
        <f>Levers!B25</f>
        <v>342.37822958976915</v>
      </c>
      <c r="E64" s="513"/>
      <c r="F64" s="515"/>
      <c r="G64" s="516">
        <f>Levers!D25</f>
        <v>717.12714296887555</v>
      </c>
      <c r="H64" s="516">
        <f>Levers!E25</f>
        <v>323.35903889381609</v>
      </c>
      <c r="I64" s="516">
        <f>Levers!F25</f>
        <v>285.4585412740646</v>
      </c>
      <c r="J64" s="516">
        <f>Levers!G25</f>
        <v>257.03316805925095</v>
      </c>
      <c r="K64" s="516">
        <f>Levers!H25</f>
        <v>191.76953670392012</v>
      </c>
      <c r="L64" s="516">
        <f>Levers!I25</f>
        <v>408.74183006535947</v>
      </c>
      <c r="N64" s="353"/>
    </row>
    <row r="65" spans="1:14" ht="29.25" customHeight="1">
      <c r="A65" s="356">
        <f>ROW()</f>
        <v>65</v>
      </c>
      <c r="C65" s="45" t="s">
        <v>762</v>
      </c>
      <c r="D65" s="513">
        <f>Levers!B26</f>
        <v>49227975.394055523</v>
      </c>
      <c r="E65" s="513"/>
      <c r="F65" s="515">
        <f>Levers!C26</f>
        <v>150000</v>
      </c>
      <c r="G65" s="516">
        <f>Levers!D26</f>
        <v>4866485.9927968075</v>
      </c>
      <c r="H65" s="516">
        <f>Levers!E26</f>
        <v>6986780.918500673</v>
      </c>
      <c r="I65" s="516">
        <f>Levers!F26</f>
        <v>8102474.4716414483</v>
      </c>
      <c r="J65" s="516">
        <f>Levers!G26</f>
        <v>9318168.0247822218</v>
      </c>
      <c r="K65" s="516">
        <f>Levers!H26</f>
        <v>9851466.7204229943</v>
      </c>
      <c r="L65" s="516">
        <f>Levers!I26</f>
        <v>9952599.2659113798</v>
      </c>
      <c r="N65" s="353"/>
    </row>
    <row r="66" spans="1:14" ht="29.25" customHeight="1">
      <c r="A66" s="356">
        <f>ROW()</f>
        <v>66</v>
      </c>
      <c r="C66" s="45" t="s">
        <v>763</v>
      </c>
      <c r="D66" s="513">
        <f>Levers!B27</f>
        <v>10662.32952004668</v>
      </c>
      <c r="E66" s="513"/>
      <c r="F66" s="515"/>
      <c r="G66" s="516">
        <f>Levers!D27</f>
        <v>9012.011097771865</v>
      </c>
      <c r="H66" s="516">
        <f>Levers!E27</f>
        <v>10782.069318673879</v>
      </c>
      <c r="I66" s="516">
        <f>Levers!F27</f>
        <v>10717.558824922551</v>
      </c>
      <c r="J66" s="516">
        <f>Levers!G27</f>
        <v>10784.916695349793</v>
      </c>
      <c r="K66" s="516">
        <f>Levers!H27</f>
        <v>11056.640539195279</v>
      </c>
      <c r="L66" s="516">
        <f>Levers!I27</f>
        <v>10841.611400774924</v>
      </c>
      <c r="N66" s="353"/>
    </row>
    <row r="67" spans="1:14">
      <c r="A67" s="356">
        <f>ROW()</f>
        <v>67</v>
      </c>
      <c r="C67" s="35" t="s">
        <v>416</v>
      </c>
      <c r="D67" s="513">
        <f>Levers!B38</f>
        <v>7701988.8619042775</v>
      </c>
      <c r="E67" s="57"/>
      <c r="F67" s="515">
        <f>Levers!C38</f>
        <v>1495.195000000007</v>
      </c>
      <c r="G67" s="516">
        <f>Levers!D38</f>
        <v>408864.40679680783</v>
      </c>
      <c r="H67" s="516">
        <f>Levers!E38</f>
        <v>1018956.9745006727</v>
      </c>
      <c r="I67" s="516">
        <f>Levers!F38</f>
        <v>1035416.9928292485</v>
      </c>
      <c r="J67" s="516">
        <f>Levers!G38</f>
        <v>1589581.608885807</v>
      </c>
      <c r="K67" s="516">
        <f>Levers!H38</f>
        <v>1877911.2805726153</v>
      </c>
      <c r="L67" s="516">
        <f>Levers!I38</f>
        <v>1769762.4033191246</v>
      </c>
      <c r="N67" s="353"/>
    </row>
    <row r="68" spans="1:14" ht="30.75" customHeight="1">
      <c r="A68" s="356">
        <f>ROW()</f>
        <v>68</v>
      </c>
      <c r="C68" s="45" t="s">
        <v>417</v>
      </c>
      <c r="D68" s="513">
        <f>Levers!B39</f>
        <v>1668.1803902759968</v>
      </c>
      <c r="E68" s="57"/>
      <c r="F68" s="515">
        <f>Levers!C39</f>
        <v>0</v>
      </c>
      <c r="G68" s="516">
        <f>Levers!D39</f>
        <v>757.15630888297744</v>
      </c>
      <c r="H68" s="516">
        <f>Levers!E39</f>
        <v>1572.4644668220258</v>
      </c>
      <c r="I68" s="516">
        <f>Levers!F39</f>
        <v>1369.5991968640853</v>
      </c>
      <c r="J68" s="516">
        <f>Levers!G39</f>
        <v>1839.7935288030174</v>
      </c>
      <c r="K68" s="516">
        <f>Levers!H39</f>
        <v>2107.6445348738666</v>
      </c>
      <c r="L68" s="516">
        <f>Levers!I39</f>
        <v>1927.8457552495911</v>
      </c>
      <c r="N68" s="353"/>
    </row>
  </sheetData>
  <sheetProtection algorithmName="SHA-512" hashValue="cOlWDzt/MyFL9JDNcetXwhYKATnq31f+iE9ddk8Ocot/Fns/DiAzog13oZszbUewbodLInTZrKWOEPOPgDf0XA==" saltValue="kSDOciZRRHVcqE4iH7a/vw==" spinCount="100000" sheet="1" objects="1" scenarios="1"/>
  <mergeCells count="4">
    <mergeCell ref="F2:L2"/>
    <mergeCell ref="F3:L3"/>
    <mergeCell ref="F4:L4"/>
    <mergeCell ref="A1:B1"/>
  </mergeCells>
  <phoneticPr fontId="7" type="noConversion"/>
  <conditionalFormatting sqref="D1">
    <cfRule type="expression" dxfId="581" priority="3" stopIfTrue="1">
      <formula>MOD(ROW(),2)=0</formula>
    </cfRule>
  </conditionalFormatting>
  <conditionalFormatting sqref="O1:Z1">
    <cfRule type="cellIs" dxfId="580" priority="2" stopIfTrue="1" operator="equal">
      <formula>0</formula>
    </cfRule>
  </conditionalFormatting>
  <hyperlinks>
    <hyperlink ref="D1" location="HypLink1" display="HypLink1" xr:uid="{FE5E3821-D6F5-4A01-A4E3-53BCFCDA4265}"/>
  </hyperlinks>
  <pageMargins left="0.25" right="0.25" top="0.5" bottom="0.44999999999999996" header="0.25" footer="0.25"/>
  <pageSetup scale="65" fitToHeight="3" orientation="landscape" r:id="rId1"/>
  <headerFooter>
    <oddHeader xml:space="preserve">&amp;L &amp;C &amp;R </oddHeader>
    <oddFooter>&amp;L&amp;7&amp;D  at &amp;T Mike 702.486.8879&amp;C&amp;7&amp;F  &amp;A&amp;R&amp;7Page &amp;P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FAF7E-A647-4F3D-8696-C5678D6C7F58}">
  <sheetPr codeName="Sheet14">
    <tabColor rgb="FFFFFF00"/>
  </sheetPr>
  <dimension ref="A1:AM99"/>
  <sheetViews>
    <sheetView workbookViewId="0">
      <selection activeCell="G31" sqref="G31"/>
    </sheetView>
  </sheetViews>
  <sheetFormatPr defaultColWidth="8.88671875" defaultRowHeight="13.8"/>
  <cols>
    <col min="1" max="1" width="5.44140625" style="35" customWidth="1"/>
    <col min="2" max="2" width="57.44140625" style="35" customWidth="1"/>
    <col min="3" max="3" width="12.33203125" style="35" customWidth="1"/>
    <col min="4" max="4" width="8.6640625" style="35" customWidth="1"/>
    <col min="5" max="5" width="11.33203125" style="35" customWidth="1"/>
    <col min="6" max="6" width="12.88671875" style="35" customWidth="1"/>
    <col min="7" max="7" width="12.88671875" style="35" bestFit="1" customWidth="1"/>
    <col min="8" max="8" width="12.44140625" style="35" bestFit="1" customWidth="1"/>
    <col min="9" max="12" width="12.88671875" style="35" bestFit="1" customWidth="1"/>
    <col min="13" max="13" width="4.6640625" style="35" customWidth="1"/>
    <col min="14" max="14" width="56.6640625" style="317" customWidth="1"/>
    <col min="15" max="16384" width="8.88671875" style="35"/>
  </cols>
  <sheetData>
    <row r="1" spans="1:39" ht="15.6">
      <c r="A1" s="119" t="s">
        <v>764</v>
      </c>
      <c r="B1" s="120"/>
      <c r="C1" s="438" t="s">
        <v>2</v>
      </c>
      <c r="D1" s="192" t="s">
        <v>765</v>
      </c>
      <c r="K1" s="38"/>
      <c r="Y1" s="7" cm="1">
        <f t="array" aca="1" ref="Y1" ca="1">CELL("protect",A1)</f>
        <v>1</v>
      </c>
      <c r="Z1" s="7" cm="1">
        <f t="array" aca="1" ref="Z1" ca="1">CELL("protect",B1)</f>
        <v>1</v>
      </c>
      <c r="AA1" s="7" cm="1">
        <f t="array" aca="1" ref="AA1" ca="1">CELL("protect",C1)</f>
        <v>1</v>
      </c>
      <c r="AB1" s="7" cm="1">
        <f t="array" aca="1" ref="AB1" ca="1">CELL("protect",D1)</f>
        <v>1</v>
      </c>
      <c r="AC1" s="7" cm="1">
        <f t="array" aca="1" ref="AC1" ca="1">CELL("protect",E1)</f>
        <v>1</v>
      </c>
      <c r="AD1" s="7" cm="1">
        <f t="array" aca="1" ref="AD1" ca="1">CELL("protect",F1)</f>
        <v>1</v>
      </c>
      <c r="AE1" s="7" cm="1">
        <f t="array" aca="1" ref="AE1" ca="1">CELL("protect",G1)</f>
        <v>1</v>
      </c>
      <c r="AF1" s="7" cm="1">
        <f t="array" aca="1" ref="AF1" ca="1">CELL("protect",H1)</f>
        <v>1</v>
      </c>
      <c r="AG1" s="7" cm="1">
        <f t="array" aca="1" ref="AG1" ca="1">CELL("protect",I1)</f>
        <v>1</v>
      </c>
      <c r="AH1" s="7" cm="1">
        <f t="array" aca="1" ref="AH1" ca="1">CELL("protect",J1)</f>
        <v>1</v>
      </c>
      <c r="AI1" s="7" cm="1">
        <f t="array" aca="1" ref="AI1" ca="1">CELL("protect",K1)</f>
        <v>1</v>
      </c>
      <c r="AJ1" s="7" cm="1">
        <f t="array" aca="1" ref="AJ1" ca="1">CELL("protect",L1)</f>
        <v>1</v>
      </c>
      <c r="AK1" s="7"/>
      <c r="AL1" s="7"/>
      <c r="AM1" s="7"/>
    </row>
    <row r="2" spans="1:39" ht="15.6">
      <c r="A2" s="121" t="str">
        <f>SchoolName</f>
        <v>Eagle Charter Schools of Nevada</v>
      </c>
      <c r="B2" s="122"/>
      <c r="Y2" s="7" cm="1">
        <f t="array" aca="1" ref="Y2" ca="1">CELL("protect",A2)</f>
        <v>1</v>
      </c>
      <c r="Z2" s="7" cm="1">
        <f t="array" aca="1" ref="Z2" ca="1">CELL("protect",B2)</f>
        <v>1</v>
      </c>
      <c r="AA2" s="7" cm="1">
        <f t="array" aca="1" ref="AA2" ca="1">CELL("protect",C2)</f>
        <v>1</v>
      </c>
      <c r="AB2" s="7" cm="1">
        <f t="array" aca="1" ref="AB2" ca="1">CELL("protect",D2)</f>
        <v>1</v>
      </c>
      <c r="AC2" s="7" cm="1">
        <f t="array" aca="1" ref="AC2" ca="1">CELL("protect",E2)</f>
        <v>1</v>
      </c>
      <c r="AD2" s="7" cm="1">
        <f t="array" aca="1" ref="AD2" ca="1">CELL("protect",F2)</f>
        <v>1</v>
      </c>
      <c r="AE2" s="7" cm="1">
        <f t="array" aca="1" ref="AE2" ca="1">CELL("protect",G2)</f>
        <v>1</v>
      </c>
      <c r="AF2" s="7" cm="1">
        <f t="array" aca="1" ref="AF2" ca="1">CELL("protect",H2)</f>
        <v>1</v>
      </c>
      <c r="AG2" s="7" cm="1">
        <f t="array" aca="1" ref="AG2" ca="1">CELL("protect",I2)</f>
        <v>1</v>
      </c>
      <c r="AH2" s="7" cm="1">
        <f t="array" aca="1" ref="AH2" ca="1">CELL("protect",J2)</f>
        <v>1</v>
      </c>
      <c r="AI2" s="7" cm="1">
        <f t="array" aca="1" ref="AI2" ca="1">CELL("protect",K2)</f>
        <v>1</v>
      </c>
      <c r="AJ2" s="7" cm="1">
        <f t="array" aca="1" ref="AJ2" ca="1">CELL("protect",L2)</f>
        <v>1</v>
      </c>
      <c r="AK2" s="7"/>
      <c r="AL2" s="7"/>
      <c r="AM2" s="7"/>
    </row>
    <row r="3" spans="1:39">
      <c r="A3" s="41" t="s">
        <v>72</v>
      </c>
      <c r="Y3" s="7" cm="1">
        <f t="array" aca="1" ref="Y3" ca="1">CELL("protect",A3)</f>
        <v>1</v>
      </c>
      <c r="Z3" s="7" cm="1">
        <f t="array" aca="1" ref="Z3" ca="1">CELL("protect",B3)</f>
        <v>1</v>
      </c>
      <c r="AA3" s="7" cm="1">
        <f t="array" aca="1" ref="AA3" ca="1">CELL("protect",C3)</f>
        <v>1</v>
      </c>
      <c r="AB3" s="7" cm="1">
        <f t="array" aca="1" ref="AB3" ca="1">CELL("protect",D3)</f>
        <v>1</v>
      </c>
      <c r="AC3" s="7" cm="1">
        <f t="array" aca="1" ref="AC3" ca="1">CELL("protect",E3)</f>
        <v>1</v>
      </c>
      <c r="AD3" s="7" cm="1">
        <f t="array" aca="1" ref="AD3" ca="1">CELL("protect",F3)</f>
        <v>1</v>
      </c>
      <c r="AE3" s="7" cm="1">
        <f t="array" aca="1" ref="AE3" ca="1">CELL("protect",G3)</f>
        <v>1</v>
      </c>
      <c r="AF3" s="7" cm="1">
        <f t="array" aca="1" ref="AF3" ca="1">CELL("protect",H3)</f>
        <v>1</v>
      </c>
      <c r="AG3" s="7" cm="1">
        <f t="array" aca="1" ref="AG3" ca="1">CELL("protect",I3)</f>
        <v>1</v>
      </c>
      <c r="AH3" s="7" cm="1">
        <f t="array" aca="1" ref="AH3" ca="1">CELL("protect",J3)</f>
        <v>1</v>
      </c>
      <c r="AI3" s="7" cm="1">
        <f t="array" aca="1" ref="AI3" ca="1">CELL("protect",K3)</f>
        <v>1</v>
      </c>
      <c r="AJ3" s="7" cm="1">
        <f t="array" aca="1" ref="AJ3" ca="1">CELL("protect",L3)</f>
        <v>1</v>
      </c>
      <c r="AK3" s="7"/>
      <c r="AL3" s="7"/>
      <c r="AM3" s="7"/>
    </row>
    <row r="4" spans="1:39">
      <c r="A4" s="42" t="s">
        <v>73</v>
      </c>
      <c r="Y4" s="7" cm="1">
        <f t="array" aca="1" ref="Y4" ca="1">CELL("protect",A4)</f>
        <v>1</v>
      </c>
      <c r="Z4" s="7" cm="1">
        <f t="array" aca="1" ref="Z4" ca="1">CELL("protect",B4)</f>
        <v>1</v>
      </c>
      <c r="AA4" s="7" cm="1">
        <f t="array" aca="1" ref="AA4" ca="1">CELL("protect",C4)</f>
        <v>1</v>
      </c>
      <c r="AB4" s="7" cm="1">
        <f t="array" aca="1" ref="AB4" ca="1">CELL("protect",D4)</f>
        <v>1</v>
      </c>
      <c r="AC4" s="7" cm="1">
        <f t="array" aca="1" ref="AC4" ca="1">CELL("protect",E4)</f>
        <v>1</v>
      </c>
      <c r="AD4" s="7" cm="1">
        <f t="array" aca="1" ref="AD4" ca="1">CELL("protect",F4)</f>
        <v>1</v>
      </c>
      <c r="AE4" s="7" cm="1">
        <f t="array" aca="1" ref="AE4" ca="1">CELL("protect",G4)</f>
        <v>1</v>
      </c>
      <c r="AF4" s="7" cm="1">
        <f t="array" aca="1" ref="AF4" ca="1">CELL("protect",H4)</f>
        <v>1</v>
      </c>
      <c r="AG4" s="7" cm="1">
        <f t="array" aca="1" ref="AG4" ca="1">CELL("protect",I4)</f>
        <v>1</v>
      </c>
      <c r="AH4" s="7" cm="1">
        <f t="array" aca="1" ref="AH4" ca="1">CELL("protect",J4)</f>
        <v>1</v>
      </c>
      <c r="AI4" s="7" cm="1">
        <f t="array" aca="1" ref="AI4" ca="1">CELL("protect",K4)</f>
        <v>1</v>
      </c>
      <c r="AJ4" s="7" cm="1">
        <f t="array" aca="1" ref="AJ4" ca="1">CELL("protect",L4)</f>
        <v>1</v>
      </c>
      <c r="AK4" s="7"/>
      <c r="AL4" s="7"/>
      <c r="AM4" s="7"/>
    </row>
    <row r="5" spans="1:39">
      <c r="A5" s="32" t="str">
        <f ca="1">CELL("filename")</f>
        <v>C:\Users\Nicho\Desktop\[Attachment 2.  Eagle NV RFA 12.16.22.xlsx]CF Y1 Mo</v>
      </c>
      <c r="Y5" s="7" cm="1">
        <f t="array" aca="1" ref="Y5" ca="1">CELL("protect",A5)</f>
        <v>1</v>
      </c>
      <c r="Z5" s="7" cm="1">
        <f t="array" aca="1" ref="Z5" ca="1">CELL("protect",B5)</f>
        <v>1</v>
      </c>
      <c r="AA5" s="7" cm="1">
        <f t="array" aca="1" ref="AA5" ca="1">CELL("protect",C5)</f>
        <v>1</v>
      </c>
      <c r="AB5" s="7" cm="1">
        <f t="array" aca="1" ref="AB5" ca="1">CELL("protect",D5)</f>
        <v>1</v>
      </c>
      <c r="AC5" s="7" cm="1">
        <f t="array" aca="1" ref="AC5" ca="1">CELL("protect",E5)</f>
        <v>1</v>
      </c>
      <c r="AD5" s="7" cm="1">
        <f t="array" aca="1" ref="AD5" ca="1">CELL("protect",F5)</f>
        <v>1</v>
      </c>
      <c r="AE5" s="7" cm="1">
        <f t="array" aca="1" ref="AE5" ca="1">CELL("protect",G5)</f>
        <v>1</v>
      </c>
      <c r="AF5" s="7" cm="1">
        <f t="array" aca="1" ref="AF5" ca="1">CELL("protect",H5)</f>
        <v>1</v>
      </c>
      <c r="AG5" s="7" cm="1">
        <f t="array" aca="1" ref="AG5" ca="1">CELL("protect",I5)</f>
        <v>1</v>
      </c>
      <c r="AH5" s="7" cm="1">
        <f t="array" aca="1" ref="AH5" ca="1">CELL("protect",J5)</f>
        <v>1</v>
      </c>
      <c r="AI5" s="7" cm="1">
        <f t="array" aca="1" ref="AI5" ca="1">CELL("protect",K5)</f>
        <v>1</v>
      </c>
      <c r="AJ5" s="7" cm="1">
        <f t="array" aca="1" ref="AJ5" ca="1">CELL("protect",L5)</f>
        <v>1</v>
      </c>
      <c r="AK5" s="7"/>
      <c r="AL5" s="7"/>
      <c r="AM5" s="7"/>
    </row>
    <row r="6" spans="1:39" ht="14.4">
      <c r="F6" s="33" t="s">
        <v>766</v>
      </c>
      <c r="G6" s="192" t="s">
        <v>767</v>
      </c>
      <c r="Y6" s="7" cm="1">
        <f t="array" aca="1" ref="Y6" ca="1">CELL("protect",A6)</f>
        <v>1</v>
      </c>
      <c r="Z6" s="7" cm="1">
        <f t="array" aca="1" ref="Z6" ca="1">CELL("protect",B6)</f>
        <v>1</v>
      </c>
      <c r="AA6" s="7" cm="1">
        <f t="array" aca="1" ref="AA6" ca="1">CELL("protect",C6)</f>
        <v>1</v>
      </c>
      <c r="AB6" s="7" cm="1">
        <f t="array" aca="1" ref="AB6" ca="1">CELL("protect",D6)</f>
        <v>1</v>
      </c>
      <c r="AC6" s="7" cm="1">
        <f t="array" aca="1" ref="AC6" ca="1">CELL("protect",E6)</f>
        <v>1</v>
      </c>
      <c r="AD6" s="7" cm="1">
        <f t="array" aca="1" ref="AD6" ca="1">CELL("protect",F6)</f>
        <v>1</v>
      </c>
      <c r="AE6" s="7" cm="1">
        <f t="array" aca="1" ref="AE6" ca="1">CELL("protect",G6)</f>
        <v>1</v>
      </c>
      <c r="AF6" s="7" cm="1">
        <f t="array" aca="1" ref="AF6" ca="1">CELL("protect",H6)</f>
        <v>1</v>
      </c>
      <c r="AG6" s="7" cm="1">
        <f t="array" aca="1" ref="AG6" ca="1">CELL("protect",I6)</f>
        <v>1</v>
      </c>
      <c r="AH6" s="7" cm="1">
        <f t="array" aca="1" ref="AH6" ca="1">CELL("protect",J6)</f>
        <v>1</v>
      </c>
      <c r="AI6" s="7" cm="1">
        <f t="array" aca="1" ref="AI6" ca="1">CELL("protect",K6)</f>
        <v>1</v>
      </c>
      <c r="AJ6" s="7" cm="1">
        <f t="array" aca="1" ref="AJ6" ca="1">CELL("protect",L6)</f>
        <v>1</v>
      </c>
      <c r="AK6" s="7"/>
      <c r="AL6" s="7"/>
      <c r="AM6" s="7"/>
    </row>
    <row r="7" spans="1:39" ht="15.6">
      <c r="B7" s="1450" t="s">
        <v>768</v>
      </c>
      <c r="C7" s="1451" t="s">
        <v>769</v>
      </c>
      <c r="D7" s="1452" t="s">
        <v>770</v>
      </c>
      <c r="E7" s="1453" t="s">
        <v>244</v>
      </c>
      <c r="F7" s="1454">
        <v>0</v>
      </c>
      <c r="G7" s="1455">
        <v>1</v>
      </c>
      <c r="H7" s="1455">
        <f>+G7+1</f>
        <v>2</v>
      </c>
      <c r="I7" s="1455">
        <f>+H7+1</f>
        <v>3</v>
      </c>
      <c r="J7" s="1455">
        <f>+I7+1</f>
        <v>4</v>
      </c>
      <c r="K7" s="1455">
        <f>+J7+1</f>
        <v>5</v>
      </c>
      <c r="L7" s="1456">
        <f>+K7+1</f>
        <v>6</v>
      </c>
      <c r="N7" s="1615" t="s">
        <v>95</v>
      </c>
      <c r="Y7" s="7" cm="1">
        <f t="array" aca="1" ref="Y7" ca="1">CELL("protect",A7)</f>
        <v>1</v>
      </c>
      <c r="Z7" s="7" cm="1">
        <f t="array" aca="1" ref="Z7" ca="1">CELL("protect",B7)</f>
        <v>1</v>
      </c>
      <c r="AA7" s="7" cm="1">
        <f t="array" aca="1" ref="AA7" ca="1">CELL("protect",C7)</f>
        <v>1</v>
      </c>
      <c r="AB7" s="7" cm="1">
        <f t="array" aca="1" ref="AB7" ca="1">CELL("protect",D7)</f>
        <v>1</v>
      </c>
      <c r="AC7" s="7" cm="1">
        <f t="array" aca="1" ref="AC7" ca="1">CELL("protect",E7)</f>
        <v>1</v>
      </c>
      <c r="AD7" s="7" cm="1">
        <f t="array" aca="1" ref="AD7" ca="1">CELL("protect",F7)</f>
        <v>1</v>
      </c>
      <c r="AE7" s="7" cm="1">
        <f t="array" aca="1" ref="AE7" ca="1">CELL("protect",G7)</f>
        <v>1</v>
      </c>
      <c r="AF7" s="7" cm="1">
        <f t="array" aca="1" ref="AF7" ca="1">CELL("protect",H7)</f>
        <v>1</v>
      </c>
      <c r="AG7" s="7" cm="1">
        <f t="array" aca="1" ref="AG7" ca="1">CELL("protect",I7)</f>
        <v>1</v>
      </c>
      <c r="AH7" s="7" cm="1">
        <f t="array" aca="1" ref="AH7" ca="1">CELL("protect",J7)</f>
        <v>1</v>
      </c>
      <c r="AI7" s="7" cm="1">
        <f t="array" aca="1" ref="AI7" ca="1">CELL("protect",K7)</f>
        <v>1</v>
      </c>
      <c r="AJ7" s="7" cm="1">
        <f t="array" aca="1" ref="AJ7" ca="1">CELL("protect",L7)</f>
        <v>1</v>
      </c>
      <c r="AK7" s="7"/>
      <c r="AL7" s="7"/>
      <c r="AM7" s="7"/>
    </row>
    <row r="8" spans="1:39" s="33" customFormat="1" ht="15.6">
      <c r="B8" s="1457" t="s">
        <v>771</v>
      </c>
      <c r="C8" s="1458" t="s">
        <v>772</v>
      </c>
      <c r="D8" s="1452" t="s">
        <v>773</v>
      </c>
      <c r="E8" s="1459" t="s">
        <v>774</v>
      </c>
      <c r="F8" s="1460">
        <f>' Enrol &amp; Rev'!F11</f>
        <v>2023</v>
      </c>
      <c r="G8" s="1461">
        <f>' Enrol &amp; Rev'!G11</f>
        <v>2024</v>
      </c>
      <c r="H8" s="1462">
        <f>' Enrol &amp; Rev'!H11</f>
        <v>2025</v>
      </c>
      <c r="I8" s="1462">
        <f>' Enrol &amp; Rev'!I11</f>
        <v>2026</v>
      </c>
      <c r="J8" s="1462">
        <f>' Enrol &amp; Rev'!J11</f>
        <v>2027</v>
      </c>
      <c r="K8" s="1462">
        <f>' Enrol &amp; Rev'!K11</f>
        <v>2028</v>
      </c>
      <c r="L8" s="1463">
        <f>' Enrol &amp; Rev'!L11</f>
        <v>2029</v>
      </c>
      <c r="N8" s="491"/>
      <c r="Y8" s="7" cm="1">
        <f t="array" aca="1" ref="Y8" ca="1">CELL("protect",A8)</f>
        <v>1</v>
      </c>
      <c r="Z8" s="7" cm="1">
        <f t="array" aca="1" ref="Z8" ca="1">CELL("protect",B8)</f>
        <v>1</v>
      </c>
      <c r="AA8" s="7" cm="1">
        <f t="array" aca="1" ref="AA8" ca="1">CELL("protect",C8)</f>
        <v>1</v>
      </c>
      <c r="AB8" s="7" cm="1">
        <f t="array" aca="1" ref="AB8" ca="1">CELL("protect",D8)</f>
        <v>1</v>
      </c>
      <c r="AC8" s="7" cm="1">
        <f t="array" aca="1" ref="AC8" ca="1">CELL("protect",E8)</f>
        <v>1</v>
      </c>
      <c r="AD8" s="7" cm="1">
        <f t="array" aca="1" ref="AD8" ca="1">CELL("protect",F8)</f>
        <v>1</v>
      </c>
      <c r="AE8" s="7" cm="1">
        <f t="array" aca="1" ref="AE8" ca="1">CELL("protect",G8)</f>
        <v>1</v>
      </c>
      <c r="AF8" s="7" cm="1">
        <f t="array" aca="1" ref="AF8" ca="1">CELL("protect",H8)</f>
        <v>1</v>
      </c>
      <c r="AG8" s="7" cm="1">
        <f t="array" aca="1" ref="AG8" ca="1">CELL("protect",I8)</f>
        <v>1</v>
      </c>
      <c r="AH8" s="7" cm="1">
        <f t="array" aca="1" ref="AH8" ca="1">CELL("protect",J8)</f>
        <v>1</v>
      </c>
      <c r="AI8" s="7" cm="1">
        <f t="array" aca="1" ref="AI8" ca="1">CELL("protect",K8)</f>
        <v>1</v>
      </c>
      <c r="AJ8" s="7" cm="1">
        <f t="array" aca="1" ref="AJ8" ca="1">CELL("protect",L8)</f>
        <v>1</v>
      </c>
      <c r="AK8" s="7"/>
      <c r="AL8" s="7"/>
      <c r="AM8" s="7"/>
    </row>
    <row r="9" spans="1:39">
      <c r="A9" s="137"/>
      <c r="B9" s="423"/>
      <c r="C9" s="424"/>
      <c r="D9" s="424"/>
      <c r="E9" s="57"/>
      <c r="F9" s="921"/>
      <c r="G9" s="921"/>
      <c r="H9" s="427"/>
      <c r="I9" s="427"/>
      <c r="J9" s="427"/>
      <c r="K9" s="427"/>
      <c r="L9" s="427"/>
      <c r="N9" s="353"/>
      <c r="Y9" s="7" cm="1">
        <f t="array" aca="1" ref="Y9" ca="1">CELL("protect",A9)</f>
        <v>1</v>
      </c>
      <c r="Z9" s="7" cm="1">
        <f t="array" aca="1" ref="Z9" ca="1">CELL("protect",B9)</f>
        <v>0</v>
      </c>
      <c r="AA9" s="7" cm="1">
        <f t="array" aca="1" ref="AA9" ca="1">CELL("protect",C9)</f>
        <v>0</v>
      </c>
      <c r="AB9" s="7" cm="1">
        <f t="array" aca="1" ref="AB9" ca="1">CELL("protect",D9)</f>
        <v>0</v>
      </c>
      <c r="AC9" s="7" cm="1">
        <f t="array" aca="1" ref="AC9" ca="1">CELL("protect",E9)</f>
        <v>1</v>
      </c>
      <c r="AD9" s="7" cm="1">
        <f t="array" aca="1" ref="AD9" ca="1">CELL("protect",F9)</f>
        <v>1</v>
      </c>
      <c r="AE9" s="7" cm="1">
        <f t="array" aca="1" ref="AE9" ca="1">CELL("protect",G9)</f>
        <v>1</v>
      </c>
      <c r="AF9" s="7" cm="1">
        <f t="array" aca="1" ref="AF9" ca="1">CELL("protect",H9)</f>
        <v>1</v>
      </c>
      <c r="AG9" s="7" cm="1">
        <f t="array" aca="1" ref="AG9" ca="1">CELL("protect",I9)</f>
        <v>1</v>
      </c>
      <c r="AH9" s="7" cm="1">
        <f t="array" aca="1" ref="AH9" ca="1">CELL("protect",J9)</f>
        <v>1</v>
      </c>
      <c r="AI9" s="7" cm="1">
        <f t="array" aca="1" ref="AI9" ca="1">CELL("protect",K9)</f>
        <v>1</v>
      </c>
      <c r="AJ9" s="7" cm="1">
        <f t="array" aca="1" ref="AJ9" ca="1">CELL("protect",L9)</f>
        <v>1</v>
      </c>
      <c r="AK9" s="7"/>
      <c r="AL9" s="7"/>
      <c r="AM9" s="7"/>
    </row>
    <row r="10" spans="1:39">
      <c r="A10" s="137">
        <f>ROW()</f>
        <v>10</v>
      </c>
      <c r="B10" s="496" t="s">
        <v>775</v>
      </c>
      <c r="C10" s="497"/>
      <c r="D10" s="422"/>
      <c r="E10" s="52"/>
      <c r="F10" s="951"/>
      <c r="G10" s="951"/>
      <c r="H10" s="952"/>
      <c r="I10" s="952"/>
      <c r="J10" s="952"/>
      <c r="K10" s="952"/>
      <c r="L10" s="952"/>
      <c r="N10" s="353" t="s">
        <v>776</v>
      </c>
      <c r="Y10" s="7" cm="1">
        <f t="array" aca="1" ref="Y10" ca="1">CELL("protect",A10)</f>
        <v>1</v>
      </c>
      <c r="Z10" s="7" cm="1">
        <f t="array" aca="1" ref="Z10" ca="1">CELL("protect",B10)</f>
        <v>1</v>
      </c>
      <c r="AA10" s="7" cm="1">
        <f t="array" aca="1" ref="AA10" ca="1">CELL("protect",C10)</f>
        <v>1</v>
      </c>
      <c r="AB10" s="7" cm="1">
        <f t="array" aca="1" ref="AB10" ca="1">CELL("protect",D10)</f>
        <v>0</v>
      </c>
      <c r="AC10" s="7" cm="1">
        <f t="array" aca="1" ref="AC10" ca="1">CELL("protect",E10)</f>
        <v>1</v>
      </c>
      <c r="AD10" s="7" cm="1">
        <f t="array" aca="1" ref="AD10" ca="1">CELL("protect",F10)</f>
        <v>0</v>
      </c>
      <c r="AE10" s="7" cm="1">
        <f t="array" aca="1" ref="AE10" ca="1">CELL("protect",G10)</f>
        <v>0</v>
      </c>
      <c r="AF10" s="7" cm="1">
        <f t="array" aca="1" ref="AF10" ca="1">CELL("protect",H10)</f>
        <v>0</v>
      </c>
      <c r="AG10" s="7" cm="1">
        <f t="array" aca="1" ref="AG10" ca="1">CELL("protect",I10)</f>
        <v>0</v>
      </c>
      <c r="AH10" s="7" cm="1">
        <f t="array" aca="1" ref="AH10" ca="1">CELL("protect",J10)</f>
        <v>0</v>
      </c>
      <c r="AI10" s="7" cm="1">
        <f t="array" aca="1" ref="AI10" ca="1">CELL("protect",K10)</f>
        <v>0</v>
      </c>
      <c r="AJ10" s="7" cm="1">
        <f t="array" aca="1" ref="AJ10" ca="1">CELL("protect",L10)</f>
        <v>0</v>
      </c>
      <c r="AK10" s="7"/>
      <c r="AL10" s="7"/>
      <c r="AM10" s="7"/>
    </row>
    <row r="11" spans="1:39">
      <c r="A11" s="137">
        <f>ROW()</f>
        <v>11</v>
      </c>
      <c r="B11" s="498" t="s">
        <v>777</v>
      </c>
      <c r="C11" s="557">
        <v>0</v>
      </c>
      <c r="D11" s="558">
        <v>0</v>
      </c>
      <c r="E11" s="1716">
        <f t="shared" ref="E11:E47" si="0">SUM(F11:L11)</f>
        <v>0</v>
      </c>
      <c r="F11" s="977">
        <v>0</v>
      </c>
      <c r="G11" s="953">
        <f t="shared" ref="G11:G46" si="1">+$D11</f>
        <v>0</v>
      </c>
      <c r="H11" s="905">
        <f t="shared" ref="H11:L28" si="2">+$D11</f>
        <v>0</v>
      </c>
      <c r="I11" s="905">
        <f t="shared" si="2"/>
        <v>0</v>
      </c>
      <c r="J11" s="905">
        <f t="shared" si="2"/>
        <v>0</v>
      </c>
      <c r="K11" s="905">
        <f t="shared" si="2"/>
        <v>0</v>
      </c>
      <c r="L11" s="905">
        <f t="shared" si="2"/>
        <v>0</v>
      </c>
      <c r="N11" s="353"/>
      <c r="Y11" s="7" cm="1">
        <f t="array" aca="1" ref="Y11" ca="1">CELL("protect",A11)</f>
        <v>1</v>
      </c>
      <c r="Z11" s="7" cm="1">
        <f t="array" aca="1" ref="Z11" ca="1">CELL("protect",B11)</f>
        <v>1</v>
      </c>
      <c r="AA11" s="7" cm="1">
        <f t="array" aca="1" ref="AA11" ca="1">CELL("protect",C11)</f>
        <v>1</v>
      </c>
      <c r="AB11" s="7" cm="1">
        <f t="array" aca="1" ref="AB11" ca="1">CELL("protect",D11)</f>
        <v>0</v>
      </c>
      <c r="AC11" s="7" cm="1">
        <f t="array" aca="1" ref="AC11" ca="1">CELL("protect",E11)</f>
        <v>0</v>
      </c>
      <c r="AD11" s="7" cm="1">
        <f t="array" aca="1" ref="AD11" ca="1">CELL("protect",F11)</f>
        <v>0</v>
      </c>
      <c r="AE11" s="7" cm="1">
        <f t="array" aca="1" ref="AE11" ca="1">CELL("protect",G11)</f>
        <v>0</v>
      </c>
      <c r="AF11" s="7" cm="1">
        <f t="array" aca="1" ref="AF11" ca="1">CELL("protect",H11)</f>
        <v>0</v>
      </c>
      <c r="AG11" s="7" cm="1">
        <f t="array" aca="1" ref="AG11" ca="1">CELL("protect",I11)</f>
        <v>0</v>
      </c>
      <c r="AH11" s="7" cm="1">
        <f t="array" aca="1" ref="AH11" ca="1">CELL("protect",J11)</f>
        <v>0</v>
      </c>
      <c r="AI11" s="7" cm="1">
        <f t="array" aca="1" ref="AI11" ca="1">CELL("protect",K11)</f>
        <v>0</v>
      </c>
      <c r="AJ11" s="7" cm="1">
        <f t="array" aca="1" ref="AJ11" ca="1">CELL("protect",L11)</f>
        <v>0</v>
      </c>
      <c r="AK11" s="7"/>
      <c r="AL11" s="7"/>
      <c r="AM11" s="7"/>
    </row>
    <row r="12" spans="1:39" ht="41.4">
      <c r="A12" s="956">
        <f>ROW()</f>
        <v>12</v>
      </c>
      <c r="B12" s="499" t="s">
        <v>778</v>
      </c>
      <c r="C12" s="500">
        <v>1000000</v>
      </c>
      <c r="D12" s="266">
        <v>0</v>
      </c>
      <c r="E12" s="1715">
        <f t="shared" si="0"/>
        <v>0</v>
      </c>
      <c r="F12" s="978">
        <v>0</v>
      </c>
      <c r="G12" s="922">
        <f t="shared" si="1"/>
        <v>0</v>
      </c>
      <c r="H12" s="489">
        <f t="shared" si="2"/>
        <v>0</v>
      </c>
      <c r="I12" s="489">
        <f t="shared" si="2"/>
        <v>0</v>
      </c>
      <c r="J12" s="489">
        <f t="shared" si="2"/>
        <v>0</v>
      </c>
      <c r="K12" s="489">
        <f t="shared" si="2"/>
        <v>0</v>
      </c>
      <c r="L12" s="489">
        <f t="shared" si="2"/>
        <v>0</v>
      </c>
      <c r="N12" s="353"/>
      <c r="Y12" s="7" cm="1">
        <f t="array" aca="1" ref="Y12" ca="1">CELL("protect",A12)</f>
        <v>1</v>
      </c>
      <c r="Z12" s="7" cm="1">
        <f t="array" aca="1" ref="Z12" ca="1">CELL("protect",B12)</f>
        <v>1</v>
      </c>
      <c r="AA12" s="7" cm="1">
        <f t="array" aca="1" ref="AA12" ca="1">CELL("protect",C12)</f>
        <v>1</v>
      </c>
      <c r="AB12" s="7" cm="1">
        <f t="array" aca="1" ref="AB12" ca="1">CELL("protect",D12)</f>
        <v>0</v>
      </c>
      <c r="AC12" s="7" cm="1">
        <f t="array" aca="1" ref="AC12" ca="1">CELL("protect",E12)</f>
        <v>0</v>
      </c>
      <c r="AD12" s="7" cm="1">
        <f t="array" aca="1" ref="AD12" ca="1">CELL("protect",F12)</f>
        <v>0</v>
      </c>
      <c r="AE12" s="7" cm="1">
        <f t="array" aca="1" ref="AE12" ca="1">CELL("protect",G12)</f>
        <v>0</v>
      </c>
      <c r="AF12" s="7" cm="1">
        <f t="array" aca="1" ref="AF12" ca="1">CELL("protect",H12)</f>
        <v>0</v>
      </c>
      <c r="AG12" s="7" cm="1">
        <f t="array" aca="1" ref="AG12" ca="1">CELL("protect",I12)</f>
        <v>0</v>
      </c>
      <c r="AH12" s="7" cm="1">
        <f t="array" aca="1" ref="AH12" ca="1">CELL("protect",J12)</f>
        <v>0</v>
      </c>
      <c r="AI12" s="7" cm="1">
        <f t="array" aca="1" ref="AI12" ca="1">CELL("protect",K12)</f>
        <v>0</v>
      </c>
      <c r="AJ12" s="7" cm="1">
        <f t="array" aca="1" ref="AJ12" ca="1">CELL("protect",L12)</f>
        <v>0</v>
      </c>
      <c r="AK12" s="7"/>
      <c r="AL12" s="7"/>
      <c r="AM12" s="7"/>
    </row>
    <row r="13" spans="1:39">
      <c r="A13" s="137">
        <f>ROW()</f>
        <v>13</v>
      </c>
      <c r="B13" s="501" t="s">
        <v>779</v>
      </c>
      <c r="C13" s="502">
        <v>3000000</v>
      </c>
      <c r="D13" s="266">
        <v>0</v>
      </c>
      <c r="E13" s="1715">
        <f t="shared" si="0"/>
        <v>0</v>
      </c>
      <c r="F13" s="978">
        <v>0</v>
      </c>
      <c r="G13" s="922">
        <f t="shared" si="1"/>
        <v>0</v>
      </c>
      <c r="H13" s="489">
        <f t="shared" si="2"/>
        <v>0</v>
      </c>
      <c r="I13" s="489">
        <f t="shared" si="2"/>
        <v>0</v>
      </c>
      <c r="J13" s="489">
        <f t="shared" si="2"/>
        <v>0</v>
      </c>
      <c r="K13" s="489">
        <f t="shared" si="2"/>
        <v>0</v>
      </c>
      <c r="L13" s="489">
        <f t="shared" si="2"/>
        <v>0</v>
      </c>
      <c r="N13" s="353"/>
      <c r="Y13" s="7" cm="1">
        <f t="array" aca="1" ref="Y13" ca="1">CELL("protect",A13)</f>
        <v>1</v>
      </c>
      <c r="Z13" s="7" cm="1">
        <f t="array" aca="1" ref="Z13" ca="1">CELL("protect",B13)</f>
        <v>1</v>
      </c>
      <c r="AA13" s="7" cm="1">
        <f t="array" aca="1" ref="AA13" ca="1">CELL("protect",C13)</f>
        <v>1</v>
      </c>
      <c r="AB13" s="7" cm="1">
        <f t="array" aca="1" ref="AB13" ca="1">CELL("protect",D13)</f>
        <v>0</v>
      </c>
      <c r="AC13" s="7" cm="1">
        <f t="array" aca="1" ref="AC13" ca="1">CELL("protect",E13)</f>
        <v>0</v>
      </c>
      <c r="AD13" s="7" cm="1">
        <f t="array" aca="1" ref="AD13" ca="1">CELL("protect",F13)</f>
        <v>0</v>
      </c>
      <c r="AE13" s="7" cm="1">
        <f t="array" aca="1" ref="AE13" ca="1">CELL("protect",G13)</f>
        <v>0</v>
      </c>
      <c r="AF13" s="7" cm="1">
        <f t="array" aca="1" ref="AF13" ca="1">CELL("protect",H13)</f>
        <v>0</v>
      </c>
      <c r="AG13" s="7" cm="1">
        <f t="array" aca="1" ref="AG13" ca="1">CELL("protect",I13)</f>
        <v>0</v>
      </c>
      <c r="AH13" s="7" cm="1">
        <f t="array" aca="1" ref="AH13" ca="1">CELL("protect",J13)</f>
        <v>0</v>
      </c>
      <c r="AI13" s="7" cm="1">
        <f t="array" aca="1" ref="AI13" ca="1">CELL("protect",K13)</f>
        <v>0</v>
      </c>
      <c r="AJ13" s="7" cm="1">
        <f t="array" aca="1" ref="AJ13" ca="1">CELL("protect",L13)</f>
        <v>0</v>
      </c>
      <c r="AK13" s="7"/>
      <c r="AL13" s="7"/>
      <c r="AM13" s="7"/>
    </row>
    <row r="14" spans="1:39">
      <c r="A14" s="137">
        <f>ROW()</f>
        <v>14</v>
      </c>
      <c r="B14" s="501" t="s">
        <v>780</v>
      </c>
      <c r="C14" s="502">
        <v>1000000</v>
      </c>
      <c r="D14" s="266">
        <v>0</v>
      </c>
      <c r="E14" s="1715">
        <f t="shared" si="0"/>
        <v>0</v>
      </c>
      <c r="F14" s="978">
        <v>0</v>
      </c>
      <c r="G14" s="922">
        <f t="shared" si="1"/>
        <v>0</v>
      </c>
      <c r="H14" s="489">
        <f t="shared" si="2"/>
        <v>0</v>
      </c>
      <c r="I14" s="489">
        <f t="shared" si="2"/>
        <v>0</v>
      </c>
      <c r="J14" s="489">
        <f t="shared" si="2"/>
        <v>0</v>
      </c>
      <c r="K14" s="489">
        <f t="shared" si="2"/>
        <v>0</v>
      </c>
      <c r="L14" s="489">
        <f t="shared" si="2"/>
        <v>0</v>
      </c>
      <c r="N14" s="353"/>
      <c r="Y14" s="7" cm="1">
        <f t="array" aca="1" ref="Y14" ca="1">CELL("protect",A14)</f>
        <v>1</v>
      </c>
      <c r="Z14" s="7" cm="1">
        <f t="array" aca="1" ref="Z14" ca="1">CELL("protect",B14)</f>
        <v>1</v>
      </c>
      <c r="AA14" s="7" cm="1">
        <f t="array" aca="1" ref="AA14" ca="1">CELL("protect",C14)</f>
        <v>1</v>
      </c>
      <c r="AB14" s="7" cm="1">
        <f t="array" aca="1" ref="AB14" ca="1">CELL("protect",D14)</f>
        <v>0</v>
      </c>
      <c r="AC14" s="7" cm="1">
        <f t="array" aca="1" ref="AC14" ca="1">CELL("protect",E14)</f>
        <v>0</v>
      </c>
      <c r="AD14" s="7" cm="1">
        <f t="array" aca="1" ref="AD14" ca="1">CELL("protect",F14)</f>
        <v>0</v>
      </c>
      <c r="AE14" s="7" cm="1">
        <f t="array" aca="1" ref="AE14" ca="1">CELL("protect",G14)</f>
        <v>0</v>
      </c>
      <c r="AF14" s="7" cm="1">
        <f t="array" aca="1" ref="AF14" ca="1">CELL("protect",H14)</f>
        <v>0</v>
      </c>
      <c r="AG14" s="7" cm="1">
        <f t="array" aca="1" ref="AG14" ca="1">CELL("protect",I14)</f>
        <v>0</v>
      </c>
      <c r="AH14" s="7" cm="1">
        <f t="array" aca="1" ref="AH14" ca="1">CELL("protect",J14)</f>
        <v>0</v>
      </c>
      <c r="AI14" s="7" cm="1">
        <f t="array" aca="1" ref="AI14" ca="1">CELL("protect",K14)</f>
        <v>0</v>
      </c>
      <c r="AJ14" s="7" cm="1">
        <f t="array" aca="1" ref="AJ14" ca="1">CELL("protect",L14)</f>
        <v>0</v>
      </c>
      <c r="AK14" s="7"/>
      <c r="AL14" s="7"/>
      <c r="AM14" s="7"/>
    </row>
    <row r="15" spans="1:39">
      <c r="A15" s="137">
        <f>ROW()</f>
        <v>15</v>
      </c>
      <c r="B15" s="501" t="s">
        <v>781</v>
      </c>
      <c r="C15" s="502">
        <v>1000000</v>
      </c>
      <c r="D15" s="266">
        <v>0</v>
      </c>
      <c r="E15" s="1715">
        <f t="shared" si="0"/>
        <v>0</v>
      </c>
      <c r="F15" s="978">
        <v>0</v>
      </c>
      <c r="G15" s="922">
        <f t="shared" si="1"/>
        <v>0</v>
      </c>
      <c r="H15" s="489">
        <f t="shared" si="2"/>
        <v>0</v>
      </c>
      <c r="I15" s="489">
        <f t="shared" si="2"/>
        <v>0</v>
      </c>
      <c r="J15" s="489">
        <f t="shared" si="2"/>
        <v>0</v>
      </c>
      <c r="K15" s="489">
        <f t="shared" si="2"/>
        <v>0</v>
      </c>
      <c r="L15" s="489">
        <f t="shared" si="2"/>
        <v>0</v>
      </c>
      <c r="N15" s="353"/>
      <c r="Y15" s="7" cm="1">
        <f t="array" aca="1" ref="Y15" ca="1">CELL("protect",A15)</f>
        <v>1</v>
      </c>
      <c r="Z15" s="7" cm="1">
        <f t="array" aca="1" ref="Z15" ca="1">CELL("protect",B15)</f>
        <v>1</v>
      </c>
      <c r="AA15" s="7" cm="1">
        <f t="array" aca="1" ref="AA15" ca="1">CELL("protect",C15)</f>
        <v>1</v>
      </c>
      <c r="AB15" s="7" cm="1">
        <f t="array" aca="1" ref="AB15" ca="1">CELL("protect",D15)</f>
        <v>0</v>
      </c>
      <c r="AC15" s="7" cm="1">
        <f t="array" aca="1" ref="AC15" ca="1">CELL("protect",E15)</f>
        <v>0</v>
      </c>
      <c r="AD15" s="7" cm="1">
        <f t="array" aca="1" ref="AD15" ca="1">CELL("protect",F15)</f>
        <v>0</v>
      </c>
      <c r="AE15" s="7" cm="1">
        <f t="array" aca="1" ref="AE15" ca="1">CELL("protect",G15)</f>
        <v>0</v>
      </c>
      <c r="AF15" s="7" cm="1">
        <f t="array" aca="1" ref="AF15" ca="1">CELL("protect",H15)</f>
        <v>0</v>
      </c>
      <c r="AG15" s="7" cm="1">
        <f t="array" aca="1" ref="AG15" ca="1">CELL("protect",I15)</f>
        <v>0</v>
      </c>
      <c r="AH15" s="7" cm="1">
        <f t="array" aca="1" ref="AH15" ca="1">CELL("protect",J15)</f>
        <v>0</v>
      </c>
      <c r="AI15" s="7" cm="1">
        <f t="array" aca="1" ref="AI15" ca="1">CELL("protect",K15)</f>
        <v>0</v>
      </c>
      <c r="AJ15" s="7" cm="1">
        <f t="array" aca="1" ref="AJ15" ca="1">CELL("protect",L15)</f>
        <v>0</v>
      </c>
      <c r="AK15" s="7"/>
      <c r="AL15" s="7"/>
      <c r="AM15" s="7"/>
    </row>
    <row r="16" spans="1:39">
      <c r="A16" s="137">
        <f>ROW()</f>
        <v>16</v>
      </c>
      <c r="B16" s="503" t="s">
        <v>782</v>
      </c>
      <c r="C16" s="502">
        <v>1000000</v>
      </c>
      <c r="D16" s="266">
        <v>0</v>
      </c>
      <c r="E16" s="1715">
        <f t="shared" si="0"/>
        <v>0</v>
      </c>
      <c r="F16" s="978">
        <v>0</v>
      </c>
      <c r="G16" s="922">
        <f t="shared" si="1"/>
        <v>0</v>
      </c>
      <c r="H16" s="489">
        <f t="shared" si="2"/>
        <v>0</v>
      </c>
      <c r="I16" s="489">
        <f t="shared" si="2"/>
        <v>0</v>
      </c>
      <c r="J16" s="489">
        <f t="shared" si="2"/>
        <v>0</v>
      </c>
      <c r="K16" s="489">
        <f t="shared" si="2"/>
        <v>0</v>
      </c>
      <c r="L16" s="489">
        <f t="shared" si="2"/>
        <v>0</v>
      </c>
      <c r="N16" s="353"/>
      <c r="Y16" s="7" cm="1">
        <f t="array" aca="1" ref="Y16" ca="1">CELL("protect",A16)</f>
        <v>1</v>
      </c>
      <c r="Z16" s="7" cm="1">
        <f t="array" aca="1" ref="Z16" ca="1">CELL("protect",B16)</f>
        <v>1</v>
      </c>
      <c r="AA16" s="7" cm="1">
        <f t="array" aca="1" ref="AA16" ca="1">CELL("protect",C16)</f>
        <v>1</v>
      </c>
      <c r="AB16" s="7" cm="1">
        <f t="array" aca="1" ref="AB16" ca="1">CELL("protect",D16)</f>
        <v>0</v>
      </c>
      <c r="AC16" s="7" cm="1">
        <f t="array" aca="1" ref="AC16" ca="1">CELL("protect",E16)</f>
        <v>0</v>
      </c>
      <c r="AD16" s="7" cm="1">
        <f t="array" aca="1" ref="AD16" ca="1">CELL("protect",F16)</f>
        <v>0</v>
      </c>
      <c r="AE16" s="7" cm="1">
        <f t="array" aca="1" ref="AE16" ca="1">CELL("protect",G16)</f>
        <v>0</v>
      </c>
      <c r="AF16" s="7" cm="1">
        <f t="array" aca="1" ref="AF16" ca="1">CELL("protect",H16)</f>
        <v>0</v>
      </c>
      <c r="AG16" s="7" cm="1">
        <f t="array" aca="1" ref="AG16" ca="1">CELL("protect",I16)</f>
        <v>0</v>
      </c>
      <c r="AH16" s="7" cm="1">
        <f t="array" aca="1" ref="AH16" ca="1">CELL("protect",J16)</f>
        <v>0</v>
      </c>
      <c r="AI16" s="7" cm="1">
        <f t="array" aca="1" ref="AI16" ca="1">CELL("protect",K16)</f>
        <v>0</v>
      </c>
      <c r="AJ16" s="7" cm="1">
        <f t="array" aca="1" ref="AJ16" ca="1">CELL("protect",L16)</f>
        <v>0</v>
      </c>
      <c r="AK16" s="7"/>
      <c r="AL16" s="7"/>
      <c r="AM16" s="7"/>
    </row>
    <row r="17" spans="1:39" ht="30" customHeight="1">
      <c r="A17" s="956">
        <f>ROW()</f>
        <v>17</v>
      </c>
      <c r="B17" s="499" t="s">
        <v>783</v>
      </c>
      <c r="C17" s="502">
        <v>1000000</v>
      </c>
      <c r="D17" s="266">
        <v>0</v>
      </c>
      <c r="E17" s="1715">
        <f t="shared" si="0"/>
        <v>0</v>
      </c>
      <c r="F17" s="978">
        <v>0</v>
      </c>
      <c r="G17" s="922">
        <f t="shared" si="1"/>
        <v>0</v>
      </c>
      <c r="H17" s="489">
        <f t="shared" si="2"/>
        <v>0</v>
      </c>
      <c r="I17" s="489">
        <f t="shared" si="2"/>
        <v>0</v>
      </c>
      <c r="J17" s="489">
        <f t="shared" si="2"/>
        <v>0</v>
      </c>
      <c r="K17" s="489">
        <f t="shared" si="2"/>
        <v>0</v>
      </c>
      <c r="L17" s="489">
        <f t="shared" si="2"/>
        <v>0</v>
      </c>
      <c r="N17" s="353"/>
      <c r="Y17" s="7" cm="1">
        <f t="array" aca="1" ref="Y17" ca="1">CELL("protect",A17)</f>
        <v>1</v>
      </c>
      <c r="Z17" s="7" cm="1">
        <f t="array" aca="1" ref="Z17" ca="1">CELL("protect",B17)</f>
        <v>1</v>
      </c>
      <c r="AA17" s="7" cm="1">
        <f t="array" aca="1" ref="AA17" ca="1">CELL("protect",C17)</f>
        <v>1</v>
      </c>
      <c r="AB17" s="7" cm="1">
        <f t="array" aca="1" ref="AB17" ca="1">CELL("protect",D17)</f>
        <v>0</v>
      </c>
      <c r="AC17" s="7" cm="1">
        <f t="array" aca="1" ref="AC17" ca="1">CELL("protect",E17)</f>
        <v>0</v>
      </c>
      <c r="AD17" s="7" cm="1">
        <f t="array" aca="1" ref="AD17" ca="1">CELL("protect",F17)</f>
        <v>0</v>
      </c>
      <c r="AE17" s="7" cm="1">
        <f t="array" aca="1" ref="AE17" ca="1">CELL("protect",G17)</f>
        <v>0</v>
      </c>
      <c r="AF17" s="7" cm="1">
        <f t="array" aca="1" ref="AF17" ca="1">CELL("protect",H17)</f>
        <v>0</v>
      </c>
      <c r="AG17" s="7" cm="1">
        <f t="array" aca="1" ref="AG17" ca="1">CELL("protect",I17)</f>
        <v>0</v>
      </c>
      <c r="AH17" s="7" cm="1">
        <f t="array" aca="1" ref="AH17" ca="1">CELL("protect",J17)</f>
        <v>0</v>
      </c>
      <c r="AI17" s="7" cm="1">
        <f t="array" aca="1" ref="AI17" ca="1">CELL("protect",K17)</f>
        <v>0</v>
      </c>
      <c r="AJ17" s="7" cm="1">
        <f t="array" aca="1" ref="AJ17" ca="1">CELL("protect",L17)</f>
        <v>0</v>
      </c>
      <c r="AK17" s="7"/>
      <c r="AL17" s="7"/>
      <c r="AM17" s="7"/>
    </row>
    <row r="18" spans="1:39">
      <c r="A18" s="137">
        <f>ROW()</f>
        <v>18</v>
      </c>
      <c r="B18" s="501" t="s">
        <v>784</v>
      </c>
      <c r="C18" s="502">
        <v>1000000</v>
      </c>
      <c r="D18" s="266">
        <v>0</v>
      </c>
      <c r="E18" s="1715">
        <f t="shared" si="0"/>
        <v>0</v>
      </c>
      <c r="F18" s="978">
        <v>0</v>
      </c>
      <c r="G18" s="922">
        <f t="shared" si="1"/>
        <v>0</v>
      </c>
      <c r="H18" s="489">
        <f t="shared" si="2"/>
        <v>0</v>
      </c>
      <c r="I18" s="489">
        <f t="shared" si="2"/>
        <v>0</v>
      </c>
      <c r="J18" s="489">
        <f t="shared" si="2"/>
        <v>0</v>
      </c>
      <c r="K18" s="489">
        <f t="shared" si="2"/>
        <v>0</v>
      </c>
      <c r="L18" s="489">
        <f t="shared" si="2"/>
        <v>0</v>
      </c>
      <c r="N18" s="353"/>
      <c r="Y18" s="7" cm="1">
        <f t="array" aca="1" ref="Y18" ca="1">CELL("protect",A18)</f>
        <v>1</v>
      </c>
      <c r="Z18" s="7" cm="1">
        <f t="array" aca="1" ref="Z18" ca="1">CELL("protect",B18)</f>
        <v>1</v>
      </c>
      <c r="AA18" s="7" cm="1">
        <f t="array" aca="1" ref="AA18" ca="1">CELL("protect",C18)</f>
        <v>1</v>
      </c>
      <c r="AB18" s="7" cm="1">
        <f t="array" aca="1" ref="AB18" ca="1">CELL("protect",D18)</f>
        <v>0</v>
      </c>
      <c r="AC18" s="7" cm="1">
        <f t="array" aca="1" ref="AC18" ca="1">CELL("protect",E18)</f>
        <v>0</v>
      </c>
      <c r="AD18" s="7" cm="1">
        <f t="array" aca="1" ref="AD18" ca="1">CELL("protect",F18)</f>
        <v>0</v>
      </c>
      <c r="AE18" s="7" cm="1">
        <f t="array" aca="1" ref="AE18" ca="1">CELL("protect",G18)</f>
        <v>0</v>
      </c>
      <c r="AF18" s="7" cm="1">
        <f t="array" aca="1" ref="AF18" ca="1">CELL("protect",H18)</f>
        <v>0</v>
      </c>
      <c r="AG18" s="7" cm="1">
        <f t="array" aca="1" ref="AG18" ca="1">CELL("protect",I18)</f>
        <v>0</v>
      </c>
      <c r="AH18" s="7" cm="1">
        <f t="array" aca="1" ref="AH18" ca="1">CELL("protect",J18)</f>
        <v>0</v>
      </c>
      <c r="AI18" s="7" cm="1">
        <f t="array" aca="1" ref="AI18" ca="1">CELL("protect",K18)</f>
        <v>0</v>
      </c>
      <c r="AJ18" s="7" cm="1">
        <f t="array" aca="1" ref="AJ18" ca="1">CELL("protect",L18)</f>
        <v>0</v>
      </c>
      <c r="AK18" s="7"/>
      <c r="AL18" s="7"/>
      <c r="AM18" s="7"/>
    </row>
    <row r="19" spans="1:39">
      <c r="A19" s="137">
        <f>ROW()</f>
        <v>19</v>
      </c>
      <c r="B19" s="501" t="s">
        <v>785</v>
      </c>
      <c r="C19" s="502">
        <v>1000000</v>
      </c>
      <c r="D19" s="266">
        <v>0</v>
      </c>
      <c r="E19" s="1715">
        <f t="shared" si="0"/>
        <v>0</v>
      </c>
      <c r="F19" s="978">
        <v>0</v>
      </c>
      <c r="G19" s="922">
        <f t="shared" si="1"/>
        <v>0</v>
      </c>
      <c r="H19" s="489">
        <f t="shared" si="2"/>
        <v>0</v>
      </c>
      <c r="I19" s="489">
        <f t="shared" si="2"/>
        <v>0</v>
      </c>
      <c r="J19" s="489">
        <f t="shared" si="2"/>
        <v>0</v>
      </c>
      <c r="K19" s="489">
        <f t="shared" si="2"/>
        <v>0</v>
      </c>
      <c r="L19" s="489">
        <f t="shared" si="2"/>
        <v>0</v>
      </c>
      <c r="N19" s="353"/>
      <c r="Y19" s="7" cm="1">
        <f t="array" aca="1" ref="Y19" ca="1">CELL("protect",A19)</f>
        <v>1</v>
      </c>
      <c r="Z19" s="7" cm="1">
        <f t="array" aca="1" ref="Z19" ca="1">CELL("protect",B19)</f>
        <v>1</v>
      </c>
      <c r="AA19" s="7" cm="1">
        <f t="array" aca="1" ref="AA19" ca="1">CELL("protect",C19)</f>
        <v>1</v>
      </c>
      <c r="AB19" s="7" cm="1">
        <f t="array" aca="1" ref="AB19" ca="1">CELL("protect",D19)</f>
        <v>0</v>
      </c>
      <c r="AC19" s="7" cm="1">
        <f t="array" aca="1" ref="AC19" ca="1">CELL("protect",E19)</f>
        <v>0</v>
      </c>
      <c r="AD19" s="7" cm="1">
        <f t="array" aca="1" ref="AD19" ca="1">CELL("protect",F19)</f>
        <v>0</v>
      </c>
      <c r="AE19" s="7" cm="1">
        <f t="array" aca="1" ref="AE19" ca="1">CELL("protect",G19)</f>
        <v>0</v>
      </c>
      <c r="AF19" s="7" cm="1">
        <f t="array" aca="1" ref="AF19" ca="1">CELL("protect",H19)</f>
        <v>0</v>
      </c>
      <c r="AG19" s="7" cm="1">
        <f t="array" aca="1" ref="AG19" ca="1">CELL("protect",I19)</f>
        <v>0</v>
      </c>
      <c r="AH19" s="7" cm="1">
        <f t="array" aca="1" ref="AH19" ca="1">CELL("protect",J19)</f>
        <v>0</v>
      </c>
      <c r="AI19" s="7" cm="1">
        <f t="array" aca="1" ref="AI19" ca="1">CELL("protect",K19)</f>
        <v>0</v>
      </c>
      <c r="AJ19" s="7" cm="1">
        <f t="array" aca="1" ref="AJ19" ca="1">CELL("protect",L19)</f>
        <v>0</v>
      </c>
      <c r="AK19" s="7"/>
      <c r="AL19" s="7"/>
      <c r="AM19" s="7"/>
    </row>
    <row r="20" spans="1:39">
      <c r="A20" s="137">
        <f>ROW()</f>
        <v>20</v>
      </c>
      <c r="B20" s="430"/>
      <c r="C20" s="425"/>
      <c r="D20" s="425"/>
      <c r="E20" s="1715"/>
      <c r="F20" s="979"/>
      <c r="G20" s="923"/>
      <c r="H20" s="560"/>
      <c r="I20" s="560"/>
      <c r="J20" s="560"/>
      <c r="K20" s="560"/>
      <c r="L20" s="560"/>
      <c r="N20" s="353"/>
      <c r="Y20" s="7" cm="1">
        <f t="array" aca="1" ref="Y20" ca="1">CELL("protect",A20)</f>
        <v>1</v>
      </c>
      <c r="Z20" s="7" cm="1">
        <f t="array" aca="1" ref="Z20" ca="1">CELL("protect",B20)</f>
        <v>0</v>
      </c>
      <c r="AA20" s="7" cm="1">
        <f t="array" aca="1" ref="AA20" ca="1">CELL("protect",C20)</f>
        <v>0</v>
      </c>
      <c r="AB20" s="7" cm="1">
        <f t="array" aca="1" ref="AB20" ca="1">CELL("protect",D20)</f>
        <v>0</v>
      </c>
      <c r="AC20" s="7" cm="1">
        <f t="array" aca="1" ref="AC20" ca="1">CELL("protect",E20)</f>
        <v>0</v>
      </c>
      <c r="AD20" s="7" cm="1">
        <f t="array" aca="1" ref="AD20" ca="1">CELL("protect",F20)</f>
        <v>0</v>
      </c>
      <c r="AE20" s="7" cm="1">
        <f t="array" aca="1" ref="AE20" ca="1">CELL("protect",G20)</f>
        <v>0</v>
      </c>
      <c r="AF20" s="7" cm="1">
        <f t="array" aca="1" ref="AF20" ca="1">CELL("protect",H20)</f>
        <v>0</v>
      </c>
      <c r="AG20" s="7" cm="1">
        <f t="array" aca="1" ref="AG20" ca="1">CELL("protect",I20)</f>
        <v>0</v>
      </c>
      <c r="AH20" s="7" cm="1">
        <f t="array" aca="1" ref="AH20" ca="1">CELL("protect",J20)</f>
        <v>0</v>
      </c>
      <c r="AI20" s="7" cm="1">
        <f t="array" aca="1" ref="AI20" ca="1">CELL("protect",K20)</f>
        <v>0</v>
      </c>
      <c r="AJ20" s="7" cm="1">
        <f t="array" aca="1" ref="AJ20" ca="1">CELL("protect",L20)</f>
        <v>0</v>
      </c>
      <c r="AK20" s="7"/>
      <c r="AL20" s="7"/>
      <c r="AM20" s="7"/>
    </row>
    <row r="21" spans="1:39">
      <c r="A21" s="137">
        <f>ROW()</f>
        <v>21</v>
      </c>
      <c r="B21" s="496" t="s">
        <v>786</v>
      </c>
      <c r="C21" s="975"/>
      <c r="D21" s="975"/>
      <c r="E21" s="1717"/>
      <c r="F21" s="980"/>
      <c r="G21" s="947"/>
      <c r="H21" s="948"/>
      <c r="I21" s="948"/>
      <c r="J21" s="948"/>
      <c r="K21" s="948"/>
      <c r="L21" s="948"/>
      <c r="N21" s="353"/>
      <c r="Y21" s="7"/>
      <c r="Z21" s="7"/>
      <c r="AA21" s="7"/>
      <c r="AB21" s="7"/>
      <c r="AC21" s="7"/>
      <c r="AD21" s="7"/>
      <c r="AE21" s="7"/>
      <c r="AF21" s="7"/>
      <c r="AG21" s="7"/>
      <c r="AH21" s="7"/>
      <c r="AI21" s="7"/>
      <c r="AJ21" s="7"/>
      <c r="AK21" s="7"/>
      <c r="AL21" s="7"/>
      <c r="AM21" s="7"/>
    </row>
    <row r="22" spans="1:39">
      <c r="A22" s="137">
        <f>ROW()</f>
        <v>22</v>
      </c>
      <c r="B22" s="976" t="s">
        <v>787</v>
      </c>
      <c r="C22" s="502" t="s">
        <v>788</v>
      </c>
      <c r="D22" s="266">
        <v>0</v>
      </c>
      <c r="E22" s="1718">
        <f t="shared" ref="E22" si="3">SUM(F22:L22)</f>
        <v>0</v>
      </c>
      <c r="F22" s="978">
        <v>0</v>
      </c>
      <c r="G22" s="922">
        <v>0</v>
      </c>
      <c r="H22" s="489">
        <v>0</v>
      </c>
      <c r="I22" s="489">
        <v>0</v>
      </c>
      <c r="J22" s="489">
        <v>0</v>
      </c>
      <c r="K22" s="489">
        <v>0</v>
      </c>
      <c r="L22" s="489">
        <v>0</v>
      </c>
      <c r="N22" s="353"/>
      <c r="Y22" s="7"/>
      <c r="Z22" s="7"/>
      <c r="AA22" s="7"/>
      <c r="AB22" s="7"/>
      <c r="AC22" s="7"/>
      <c r="AD22" s="7"/>
      <c r="AE22" s="7"/>
      <c r="AF22" s="7"/>
      <c r="AG22" s="7"/>
      <c r="AH22" s="7"/>
      <c r="AI22" s="7"/>
      <c r="AJ22" s="7"/>
      <c r="AK22" s="7"/>
      <c r="AL22" s="7"/>
      <c r="AM22" s="7"/>
    </row>
    <row r="23" spans="1:39">
      <c r="A23" s="137">
        <f>ROW()</f>
        <v>23</v>
      </c>
      <c r="B23" s="976" t="s">
        <v>789</v>
      </c>
      <c r="C23" s="975"/>
      <c r="D23" s="975"/>
      <c r="E23" s="920"/>
      <c r="F23" s="980"/>
      <c r="G23" s="947"/>
      <c r="H23" s="948"/>
      <c r="I23" s="948"/>
      <c r="J23" s="948"/>
      <c r="K23" s="948"/>
      <c r="L23" s="948"/>
      <c r="N23" s="353"/>
      <c r="Y23" s="7"/>
      <c r="Z23" s="7"/>
      <c r="AA23" s="7"/>
      <c r="AB23" s="7"/>
      <c r="AC23" s="7"/>
      <c r="AD23" s="7"/>
      <c r="AE23" s="7"/>
      <c r="AF23" s="7"/>
      <c r="AG23" s="7"/>
      <c r="AH23" s="7"/>
      <c r="AI23" s="7"/>
      <c r="AJ23" s="7"/>
      <c r="AK23" s="7"/>
      <c r="AL23" s="7"/>
      <c r="AM23" s="7"/>
    </row>
    <row r="24" spans="1:39">
      <c r="A24" s="137">
        <f>ROW()</f>
        <v>24</v>
      </c>
      <c r="B24" s="974"/>
      <c r="C24" s="975"/>
      <c r="D24" s="975"/>
      <c r="E24" s="920"/>
      <c r="F24" s="980"/>
      <c r="G24" s="947"/>
      <c r="H24" s="948"/>
      <c r="I24" s="948"/>
      <c r="J24" s="948"/>
      <c r="K24" s="948"/>
      <c r="L24" s="948"/>
      <c r="N24" s="353"/>
      <c r="Y24" s="7"/>
      <c r="Z24" s="7"/>
      <c r="AA24" s="7"/>
      <c r="AB24" s="7"/>
      <c r="AC24" s="7"/>
      <c r="AD24" s="7"/>
      <c r="AE24" s="7"/>
      <c r="AF24" s="7"/>
      <c r="AG24" s="7"/>
      <c r="AH24" s="7"/>
      <c r="AI24" s="7"/>
      <c r="AJ24" s="7"/>
      <c r="AK24" s="7"/>
      <c r="AL24" s="7"/>
      <c r="AM24" s="7"/>
    </row>
    <row r="25" spans="1:39">
      <c r="A25" s="137">
        <f>ROW()</f>
        <v>25</v>
      </c>
      <c r="B25" s="426" t="s">
        <v>790</v>
      </c>
      <c r="C25" s="422"/>
      <c r="D25" s="422"/>
      <c r="E25" s="920"/>
      <c r="F25" s="980"/>
      <c r="G25" s="947"/>
      <c r="H25" s="948"/>
      <c r="I25" s="948"/>
      <c r="J25" s="948"/>
      <c r="K25" s="948"/>
      <c r="L25" s="948"/>
      <c r="N25" s="353"/>
      <c r="Y25" s="7" cm="1">
        <f t="array" aca="1" ref="Y25" ca="1">CELL("protect",A25)</f>
        <v>1</v>
      </c>
      <c r="Z25" s="7" cm="1">
        <f t="array" aca="1" ref="Z25" ca="1">CELL("protect",B25)</f>
        <v>0</v>
      </c>
      <c r="AA25" s="7" cm="1">
        <f t="array" aca="1" ref="AA25" ca="1">CELL("protect",C25)</f>
        <v>0</v>
      </c>
      <c r="AB25" s="7" cm="1">
        <f t="array" aca="1" ref="AB25" ca="1">CELL("protect",D25)</f>
        <v>0</v>
      </c>
      <c r="AC25" s="7" cm="1">
        <f t="array" aca="1" ref="AC25" ca="1">CELL("protect",E25)</f>
        <v>1</v>
      </c>
      <c r="AD25" s="7" cm="1">
        <f t="array" aca="1" ref="AD25" ca="1">CELL("protect",F25)</f>
        <v>0</v>
      </c>
      <c r="AE25" s="7" cm="1">
        <f t="array" aca="1" ref="AE25" ca="1">CELL("protect",G25)</f>
        <v>0</v>
      </c>
      <c r="AF25" s="7" cm="1">
        <f t="array" aca="1" ref="AF25" ca="1">CELL("protect",H25)</f>
        <v>0</v>
      </c>
      <c r="AG25" s="7" cm="1">
        <f t="array" aca="1" ref="AG25" ca="1">CELL("protect",I25)</f>
        <v>0</v>
      </c>
      <c r="AH25" s="7" cm="1">
        <f t="array" aca="1" ref="AH25" ca="1">CELL("protect",J25)</f>
        <v>0</v>
      </c>
      <c r="AI25" s="7" cm="1">
        <f t="array" aca="1" ref="AI25" ca="1">CELL("protect",K25)</f>
        <v>0</v>
      </c>
      <c r="AJ25" s="7" cm="1">
        <f t="array" aca="1" ref="AJ25" ca="1">CELL("protect",L25)</f>
        <v>0</v>
      </c>
      <c r="AK25" s="7"/>
      <c r="AL25" s="7"/>
      <c r="AM25" s="7"/>
    </row>
    <row r="26" spans="1:39">
      <c r="A26" s="137">
        <f>ROW()</f>
        <v>26</v>
      </c>
      <c r="B26" s="262" t="s">
        <v>791</v>
      </c>
      <c r="C26" s="421"/>
      <c r="D26" s="421"/>
      <c r="E26" s="1714">
        <f t="shared" si="0"/>
        <v>0</v>
      </c>
      <c r="F26" s="981">
        <v>0</v>
      </c>
      <c r="G26" s="949"/>
      <c r="H26" s="950">
        <f t="shared" si="2"/>
        <v>0</v>
      </c>
      <c r="I26" s="950">
        <f t="shared" si="2"/>
        <v>0</v>
      </c>
      <c r="J26" s="950">
        <f t="shared" si="2"/>
        <v>0</v>
      </c>
      <c r="K26" s="950">
        <f t="shared" si="2"/>
        <v>0</v>
      </c>
      <c r="L26" s="950">
        <f t="shared" si="2"/>
        <v>0</v>
      </c>
      <c r="N26" s="353"/>
      <c r="Y26" s="7" cm="1">
        <f t="array" aca="1" ref="Y26" ca="1">CELL("protect",A26)</f>
        <v>1</v>
      </c>
      <c r="Z26" s="7" cm="1">
        <f t="array" aca="1" ref="Z26" ca="1">CELL("protect",B26)</f>
        <v>0</v>
      </c>
      <c r="AA26" s="7" cm="1">
        <f t="array" aca="1" ref="AA26" ca="1">CELL("protect",C26)</f>
        <v>0</v>
      </c>
      <c r="AB26" s="7" cm="1">
        <f t="array" aca="1" ref="AB26" ca="1">CELL("protect",D26)</f>
        <v>0</v>
      </c>
      <c r="AC26" s="7" cm="1">
        <f t="array" aca="1" ref="AC26" ca="1">CELL("protect",E26)</f>
        <v>0</v>
      </c>
      <c r="AD26" s="7" cm="1">
        <f t="array" aca="1" ref="AD26" ca="1">CELL("protect",F26)</f>
        <v>0</v>
      </c>
      <c r="AE26" s="7" cm="1">
        <f t="array" aca="1" ref="AE26" ca="1">CELL("protect",G26)</f>
        <v>0</v>
      </c>
      <c r="AF26" s="7" cm="1">
        <f t="array" aca="1" ref="AF26" ca="1">CELL("protect",H26)</f>
        <v>0</v>
      </c>
      <c r="AG26" s="7" cm="1">
        <f t="array" aca="1" ref="AG26" ca="1">CELL("protect",I26)</f>
        <v>0</v>
      </c>
      <c r="AH26" s="7" cm="1">
        <f t="array" aca="1" ref="AH26" ca="1">CELL("protect",J26)</f>
        <v>0</v>
      </c>
      <c r="AI26" s="7" cm="1">
        <f t="array" aca="1" ref="AI26" ca="1">CELL("protect",K26)</f>
        <v>0</v>
      </c>
      <c r="AJ26" s="7" cm="1">
        <f t="array" aca="1" ref="AJ26" ca="1">CELL("protect",L26)</f>
        <v>0</v>
      </c>
      <c r="AK26" s="7"/>
      <c r="AL26" s="7"/>
      <c r="AM26" s="7"/>
    </row>
    <row r="27" spans="1:39">
      <c r="A27" s="137">
        <f>ROW()</f>
        <v>27</v>
      </c>
      <c r="B27" s="267" t="s">
        <v>792</v>
      </c>
      <c r="C27" s="266">
        <v>0</v>
      </c>
      <c r="D27" s="266"/>
      <c r="E27" s="1715">
        <f t="shared" si="0"/>
        <v>0</v>
      </c>
      <c r="F27" s="978">
        <v>0</v>
      </c>
      <c r="G27" s="922">
        <f t="shared" si="1"/>
        <v>0</v>
      </c>
      <c r="H27" s="489">
        <f t="shared" si="2"/>
        <v>0</v>
      </c>
      <c r="I27" s="489">
        <f t="shared" si="2"/>
        <v>0</v>
      </c>
      <c r="J27" s="489">
        <f t="shared" si="2"/>
        <v>0</v>
      </c>
      <c r="K27" s="489">
        <f t="shared" si="2"/>
        <v>0</v>
      </c>
      <c r="L27" s="489">
        <f t="shared" si="2"/>
        <v>0</v>
      </c>
      <c r="N27" s="353"/>
      <c r="Y27" s="7" cm="1">
        <f t="array" aca="1" ref="Y27" ca="1">CELL("protect",A27)</f>
        <v>1</v>
      </c>
      <c r="Z27" s="7" cm="1">
        <f t="array" aca="1" ref="Z27" ca="1">CELL("protect",B27)</f>
        <v>0</v>
      </c>
      <c r="AA27" s="7" cm="1">
        <f t="array" aca="1" ref="AA27" ca="1">CELL("protect",C27)</f>
        <v>0</v>
      </c>
      <c r="AB27" s="7" cm="1">
        <f t="array" aca="1" ref="AB27" ca="1">CELL("protect",D27)</f>
        <v>0</v>
      </c>
      <c r="AC27" s="7" cm="1">
        <f t="array" aca="1" ref="AC27" ca="1">CELL("protect",E27)</f>
        <v>0</v>
      </c>
      <c r="AD27" s="7" cm="1">
        <f t="array" aca="1" ref="AD27" ca="1">CELL("protect",F27)</f>
        <v>0</v>
      </c>
      <c r="AE27" s="7" cm="1">
        <f t="array" aca="1" ref="AE27" ca="1">CELL("protect",G27)</f>
        <v>0</v>
      </c>
      <c r="AF27" s="7" cm="1">
        <f t="array" aca="1" ref="AF27" ca="1">CELL("protect",H27)</f>
        <v>0</v>
      </c>
      <c r="AG27" s="7" cm="1">
        <f t="array" aca="1" ref="AG27" ca="1">CELL("protect",I27)</f>
        <v>0</v>
      </c>
      <c r="AH27" s="7" cm="1">
        <f t="array" aca="1" ref="AH27" ca="1">CELL("protect",J27)</f>
        <v>0</v>
      </c>
      <c r="AI27" s="7" cm="1">
        <f t="array" aca="1" ref="AI27" ca="1">CELL("protect",K27)</f>
        <v>0</v>
      </c>
      <c r="AJ27" s="7" cm="1">
        <f t="array" aca="1" ref="AJ27" ca="1">CELL("protect",L27)</f>
        <v>0</v>
      </c>
      <c r="AK27" s="7"/>
      <c r="AL27" s="7"/>
      <c r="AM27" s="7"/>
    </row>
    <row r="28" spans="1:39">
      <c r="A28" s="137">
        <f>ROW()</f>
        <v>28</v>
      </c>
      <c r="B28" s="1330" t="s">
        <v>793</v>
      </c>
      <c r="C28" s="266">
        <v>0</v>
      </c>
      <c r="D28" s="266"/>
      <c r="E28" s="1715">
        <f t="shared" si="0"/>
        <v>0</v>
      </c>
      <c r="F28" s="978">
        <v>0</v>
      </c>
      <c r="G28" s="922">
        <f t="shared" si="1"/>
        <v>0</v>
      </c>
      <c r="H28" s="489">
        <f t="shared" si="2"/>
        <v>0</v>
      </c>
      <c r="I28" s="489">
        <f t="shared" si="2"/>
        <v>0</v>
      </c>
      <c r="J28" s="489">
        <f t="shared" si="2"/>
        <v>0</v>
      </c>
      <c r="K28" s="489">
        <f t="shared" si="2"/>
        <v>0</v>
      </c>
      <c r="L28" s="489">
        <f t="shared" si="2"/>
        <v>0</v>
      </c>
      <c r="N28" s="353"/>
      <c r="Y28" s="7" cm="1">
        <f t="array" aca="1" ref="Y28" ca="1">CELL("protect",A28)</f>
        <v>1</v>
      </c>
      <c r="Z28" s="7" cm="1">
        <f t="array" aca="1" ref="Z28" ca="1">CELL("protect",B28)</f>
        <v>0</v>
      </c>
      <c r="AA28" s="7" cm="1">
        <f t="array" aca="1" ref="AA28" ca="1">CELL("protect",C28)</f>
        <v>0</v>
      </c>
      <c r="AB28" s="7" cm="1">
        <f t="array" aca="1" ref="AB28" ca="1">CELL("protect",D28)</f>
        <v>0</v>
      </c>
      <c r="AC28" s="7" cm="1">
        <f t="array" aca="1" ref="AC28" ca="1">CELL("protect",E28)</f>
        <v>0</v>
      </c>
      <c r="AD28" s="7" cm="1">
        <f t="array" aca="1" ref="AD28" ca="1">CELL("protect",F28)</f>
        <v>0</v>
      </c>
      <c r="AE28" s="7" cm="1">
        <f t="array" aca="1" ref="AE28" ca="1">CELL("protect",G28)</f>
        <v>0</v>
      </c>
      <c r="AF28" s="7" cm="1">
        <f t="array" aca="1" ref="AF28" ca="1">CELL("protect",H28)</f>
        <v>0</v>
      </c>
      <c r="AG28" s="7" cm="1">
        <f t="array" aca="1" ref="AG28" ca="1">CELL("protect",I28)</f>
        <v>0</v>
      </c>
      <c r="AH28" s="7" cm="1">
        <f t="array" aca="1" ref="AH28" ca="1">CELL("protect",J28)</f>
        <v>0</v>
      </c>
      <c r="AI28" s="7" cm="1">
        <f t="array" aca="1" ref="AI28" ca="1">CELL("protect",K28)</f>
        <v>0</v>
      </c>
      <c r="AJ28" s="7" cm="1">
        <f t="array" aca="1" ref="AJ28" ca="1">CELL("protect",L28)</f>
        <v>0</v>
      </c>
      <c r="AK28" s="7"/>
      <c r="AL28" s="7"/>
      <c r="AM28" s="7"/>
    </row>
    <row r="29" spans="1:39">
      <c r="A29" s="137">
        <f>ROW()</f>
        <v>29</v>
      </c>
      <c r="B29" s="1330" t="s">
        <v>794</v>
      </c>
      <c r="C29" s="266">
        <v>0</v>
      </c>
      <c r="D29" s="266"/>
      <c r="E29" s="1715">
        <f t="shared" si="0"/>
        <v>0</v>
      </c>
      <c r="F29" s="978">
        <v>0</v>
      </c>
      <c r="G29" s="922">
        <f t="shared" si="1"/>
        <v>0</v>
      </c>
      <c r="H29" s="489">
        <f t="shared" ref="H29:L38" si="4">+$D29</f>
        <v>0</v>
      </c>
      <c r="I29" s="489">
        <f t="shared" si="4"/>
        <v>0</v>
      </c>
      <c r="J29" s="489">
        <f t="shared" si="4"/>
        <v>0</v>
      </c>
      <c r="K29" s="489">
        <f t="shared" si="4"/>
        <v>0</v>
      </c>
      <c r="L29" s="489">
        <f t="shared" si="4"/>
        <v>0</v>
      </c>
      <c r="N29" s="353"/>
      <c r="Y29" s="7" cm="1">
        <f t="array" aca="1" ref="Y29" ca="1">CELL("protect",A29)</f>
        <v>1</v>
      </c>
      <c r="Z29" s="7" cm="1">
        <f t="array" aca="1" ref="Z29" ca="1">CELL("protect",B29)</f>
        <v>0</v>
      </c>
      <c r="AA29" s="7" cm="1">
        <f t="array" aca="1" ref="AA29" ca="1">CELL("protect",C29)</f>
        <v>0</v>
      </c>
      <c r="AB29" s="7" cm="1">
        <f t="array" aca="1" ref="AB29" ca="1">CELL("protect",D29)</f>
        <v>0</v>
      </c>
      <c r="AC29" s="7" cm="1">
        <f t="array" aca="1" ref="AC29" ca="1">CELL("protect",E29)</f>
        <v>0</v>
      </c>
      <c r="AD29" s="7" cm="1">
        <f t="array" aca="1" ref="AD29" ca="1">CELL("protect",F29)</f>
        <v>0</v>
      </c>
      <c r="AE29" s="7" cm="1">
        <f t="array" aca="1" ref="AE29" ca="1">CELL("protect",G29)</f>
        <v>0</v>
      </c>
      <c r="AF29" s="7" cm="1">
        <f t="array" aca="1" ref="AF29" ca="1">CELL("protect",H29)</f>
        <v>0</v>
      </c>
      <c r="AG29" s="7" cm="1">
        <f t="array" aca="1" ref="AG29" ca="1">CELL("protect",I29)</f>
        <v>0</v>
      </c>
      <c r="AH29" s="7" cm="1">
        <f t="array" aca="1" ref="AH29" ca="1">CELL("protect",J29)</f>
        <v>0</v>
      </c>
      <c r="AI29" s="7" cm="1">
        <f t="array" aca="1" ref="AI29" ca="1">CELL("protect",K29)</f>
        <v>0</v>
      </c>
      <c r="AJ29" s="7" cm="1">
        <f t="array" aca="1" ref="AJ29" ca="1">CELL("protect",L29)</f>
        <v>0</v>
      </c>
      <c r="AK29" s="7"/>
      <c r="AL29" s="7"/>
      <c r="AM29" s="7"/>
    </row>
    <row r="30" spans="1:39">
      <c r="A30" s="137">
        <f>ROW()</f>
        <v>30</v>
      </c>
      <c r="B30" s="1330" t="s">
        <v>795</v>
      </c>
      <c r="C30" s="266">
        <v>0</v>
      </c>
      <c r="D30" s="266"/>
      <c r="E30" s="1715">
        <f t="shared" si="0"/>
        <v>0</v>
      </c>
      <c r="F30" s="978">
        <v>0</v>
      </c>
      <c r="G30" s="922">
        <f t="shared" si="1"/>
        <v>0</v>
      </c>
      <c r="H30" s="489">
        <f t="shared" si="4"/>
        <v>0</v>
      </c>
      <c r="I30" s="489">
        <f t="shared" si="4"/>
        <v>0</v>
      </c>
      <c r="J30" s="489">
        <f t="shared" si="4"/>
        <v>0</v>
      </c>
      <c r="K30" s="489">
        <f t="shared" si="4"/>
        <v>0</v>
      </c>
      <c r="L30" s="489">
        <f t="shared" si="4"/>
        <v>0</v>
      </c>
      <c r="N30" s="353"/>
      <c r="Y30" s="7" cm="1">
        <f t="array" aca="1" ref="Y30" ca="1">CELL("protect",A30)</f>
        <v>1</v>
      </c>
      <c r="Z30" s="7" cm="1">
        <f t="array" aca="1" ref="Z30" ca="1">CELL("protect",B30)</f>
        <v>0</v>
      </c>
      <c r="AA30" s="7" cm="1">
        <f t="array" aca="1" ref="AA30" ca="1">CELL("protect",C30)</f>
        <v>0</v>
      </c>
      <c r="AB30" s="7" cm="1">
        <f t="array" aca="1" ref="AB30" ca="1">CELL("protect",D30)</f>
        <v>0</v>
      </c>
      <c r="AC30" s="7" cm="1">
        <f t="array" aca="1" ref="AC30" ca="1">CELL("protect",E30)</f>
        <v>0</v>
      </c>
      <c r="AD30" s="7" cm="1">
        <f t="array" aca="1" ref="AD30" ca="1">CELL("protect",F30)</f>
        <v>0</v>
      </c>
      <c r="AE30" s="7" cm="1">
        <f t="array" aca="1" ref="AE30" ca="1">CELL("protect",G30)</f>
        <v>0</v>
      </c>
      <c r="AF30" s="7" cm="1">
        <f t="array" aca="1" ref="AF30" ca="1">CELL("protect",H30)</f>
        <v>0</v>
      </c>
      <c r="AG30" s="7" cm="1">
        <f t="array" aca="1" ref="AG30" ca="1">CELL("protect",I30)</f>
        <v>0</v>
      </c>
      <c r="AH30" s="7" cm="1">
        <f t="array" aca="1" ref="AH30" ca="1">CELL("protect",J30)</f>
        <v>0</v>
      </c>
      <c r="AI30" s="7" cm="1">
        <f t="array" aca="1" ref="AI30" ca="1">CELL("protect",K30)</f>
        <v>0</v>
      </c>
      <c r="AJ30" s="7" cm="1">
        <f t="array" aca="1" ref="AJ30" ca="1">CELL("protect",L30)</f>
        <v>0</v>
      </c>
      <c r="AK30" s="7"/>
      <c r="AL30" s="7"/>
      <c r="AM30" s="7"/>
    </row>
    <row r="31" spans="1:39">
      <c r="A31" s="137">
        <f>ROW()</f>
        <v>31</v>
      </c>
      <c r="B31" s="1330" t="s">
        <v>1224</v>
      </c>
      <c r="C31" s="266">
        <v>0</v>
      </c>
      <c r="D31" s="266"/>
      <c r="E31" s="1715">
        <f t="shared" si="0"/>
        <v>0</v>
      </c>
      <c r="F31" s="978">
        <v>0</v>
      </c>
      <c r="G31" s="922">
        <f t="shared" si="1"/>
        <v>0</v>
      </c>
      <c r="H31" s="489">
        <f t="shared" si="4"/>
        <v>0</v>
      </c>
      <c r="I31" s="489">
        <f t="shared" si="4"/>
        <v>0</v>
      </c>
      <c r="J31" s="489">
        <f t="shared" si="4"/>
        <v>0</v>
      </c>
      <c r="K31" s="489">
        <f t="shared" si="4"/>
        <v>0</v>
      </c>
      <c r="L31" s="489">
        <f t="shared" si="4"/>
        <v>0</v>
      </c>
      <c r="N31" s="353"/>
      <c r="Y31" s="7" cm="1">
        <f t="array" aca="1" ref="Y31" ca="1">CELL("protect",A31)</f>
        <v>1</v>
      </c>
      <c r="Z31" s="7" cm="1">
        <f t="array" aca="1" ref="Z31" ca="1">CELL("protect",B31)</f>
        <v>0</v>
      </c>
      <c r="AA31" s="7" cm="1">
        <f t="array" aca="1" ref="AA31" ca="1">CELL("protect",C31)</f>
        <v>0</v>
      </c>
      <c r="AB31" s="7" cm="1">
        <f t="array" aca="1" ref="AB31" ca="1">CELL("protect",D31)</f>
        <v>0</v>
      </c>
      <c r="AC31" s="7" cm="1">
        <f t="array" aca="1" ref="AC31" ca="1">CELL("protect",E31)</f>
        <v>0</v>
      </c>
      <c r="AD31" s="7" cm="1">
        <f t="array" aca="1" ref="AD31" ca="1">CELL("protect",F31)</f>
        <v>0</v>
      </c>
      <c r="AE31" s="7" cm="1">
        <f t="array" aca="1" ref="AE31" ca="1">CELL("protect",G31)</f>
        <v>0</v>
      </c>
      <c r="AF31" s="7" cm="1">
        <f t="array" aca="1" ref="AF31" ca="1">CELL("protect",H31)</f>
        <v>0</v>
      </c>
      <c r="AG31" s="7" cm="1">
        <f t="array" aca="1" ref="AG31" ca="1">CELL("protect",I31)</f>
        <v>0</v>
      </c>
      <c r="AH31" s="7" cm="1">
        <f t="array" aca="1" ref="AH31" ca="1">CELL("protect",J31)</f>
        <v>0</v>
      </c>
      <c r="AI31" s="7" cm="1">
        <f t="array" aca="1" ref="AI31" ca="1">CELL("protect",K31)</f>
        <v>0</v>
      </c>
      <c r="AJ31" s="7" cm="1">
        <f t="array" aca="1" ref="AJ31" ca="1">CELL("protect",L31)</f>
        <v>0</v>
      </c>
      <c r="AK31" s="7"/>
      <c r="AL31" s="7"/>
      <c r="AM31" s="7"/>
    </row>
    <row r="32" spans="1:39">
      <c r="A32" s="137">
        <f>ROW()</f>
        <v>32</v>
      </c>
      <c r="B32" s="1330" t="s">
        <v>796</v>
      </c>
      <c r="C32" s="266">
        <v>0</v>
      </c>
      <c r="D32" s="266">
        <v>0</v>
      </c>
      <c r="E32" s="1715">
        <f t="shared" si="0"/>
        <v>0</v>
      </c>
      <c r="F32" s="978">
        <v>0</v>
      </c>
      <c r="G32" s="922">
        <f t="shared" si="1"/>
        <v>0</v>
      </c>
      <c r="H32" s="489">
        <f t="shared" si="4"/>
        <v>0</v>
      </c>
      <c r="I32" s="489">
        <f t="shared" si="4"/>
        <v>0</v>
      </c>
      <c r="J32" s="489">
        <f t="shared" si="4"/>
        <v>0</v>
      </c>
      <c r="K32" s="489">
        <f t="shared" si="4"/>
        <v>0</v>
      </c>
      <c r="L32" s="489">
        <f t="shared" si="4"/>
        <v>0</v>
      </c>
      <c r="N32" s="353"/>
      <c r="Y32" s="7" cm="1">
        <f t="array" aca="1" ref="Y32" ca="1">CELL("protect",A32)</f>
        <v>1</v>
      </c>
      <c r="Z32" s="7" cm="1">
        <f t="array" aca="1" ref="Z32" ca="1">CELL("protect",B32)</f>
        <v>0</v>
      </c>
      <c r="AA32" s="7" cm="1">
        <f t="array" aca="1" ref="AA32" ca="1">CELL("protect",C32)</f>
        <v>0</v>
      </c>
      <c r="AB32" s="7" cm="1">
        <f t="array" aca="1" ref="AB32" ca="1">CELL("protect",D32)</f>
        <v>0</v>
      </c>
      <c r="AC32" s="7" cm="1">
        <f t="array" aca="1" ref="AC32" ca="1">CELL("protect",E32)</f>
        <v>0</v>
      </c>
      <c r="AD32" s="7" cm="1">
        <f t="array" aca="1" ref="AD32" ca="1">CELL("protect",F32)</f>
        <v>0</v>
      </c>
      <c r="AE32" s="7" cm="1">
        <f t="array" aca="1" ref="AE32" ca="1">CELL("protect",G32)</f>
        <v>0</v>
      </c>
      <c r="AF32" s="7" cm="1">
        <f t="array" aca="1" ref="AF32" ca="1">CELL("protect",H32)</f>
        <v>0</v>
      </c>
      <c r="AG32" s="7" cm="1">
        <f t="array" aca="1" ref="AG32" ca="1">CELL("protect",I32)</f>
        <v>0</v>
      </c>
      <c r="AH32" s="7" cm="1">
        <f t="array" aca="1" ref="AH32" ca="1">CELL("protect",J32)</f>
        <v>0</v>
      </c>
      <c r="AI32" s="7" cm="1">
        <f t="array" aca="1" ref="AI32" ca="1">CELL("protect",K32)</f>
        <v>0</v>
      </c>
      <c r="AJ32" s="7" cm="1">
        <f t="array" aca="1" ref="AJ32" ca="1">CELL("protect",L32)</f>
        <v>0</v>
      </c>
      <c r="AK32" s="7"/>
      <c r="AL32" s="7"/>
      <c r="AM32" s="7"/>
    </row>
    <row r="33" spans="1:39">
      <c r="A33" s="137">
        <f>ROW()</f>
        <v>33</v>
      </c>
      <c r="B33" s="1330" t="s">
        <v>797</v>
      </c>
      <c r="C33" s="266">
        <v>0</v>
      </c>
      <c r="D33" s="266">
        <v>0</v>
      </c>
      <c r="E33" s="1715">
        <f t="shared" si="0"/>
        <v>0</v>
      </c>
      <c r="F33" s="978">
        <v>0</v>
      </c>
      <c r="G33" s="922">
        <f t="shared" si="1"/>
        <v>0</v>
      </c>
      <c r="H33" s="489">
        <f t="shared" si="4"/>
        <v>0</v>
      </c>
      <c r="I33" s="489">
        <f t="shared" si="4"/>
        <v>0</v>
      </c>
      <c r="J33" s="489">
        <f t="shared" si="4"/>
        <v>0</v>
      </c>
      <c r="K33" s="489">
        <f t="shared" si="4"/>
        <v>0</v>
      </c>
      <c r="L33" s="489">
        <f t="shared" si="4"/>
        <v>0</v>
      </c>
      <c r="N33" s="353"/>
      <c r="Y33" s="7" cm="1">
        <f t="array" aca="1" ref="Y33" ca="1">CELL("protect",A33)</f>
        <v>1</v>
      </c>
      <c r="Z33" s="7" cm="1">
        <f t="array" aca="1" ref="Z33" ca="1">CELL("protect",B33)</f>
        <v>0</v>
      </c>
      <c r="AA33" s="7" cm="1">
        <f t="array" aca="1" ref="AA33" ca="1">CELL("protect",C33)</f>
        <v>0</v>
      </c>
      <c r="AB33" s="7" cm="1">
        <f t="array" aca="1" ref="AB33" ca="1">CELL("protect",D33)</f>
        <v>0</v>
      </c>
      <c r="AC33" s="7" cm="1">
        <f t="array" aca="1" ref="AC33" ca="1">CELL("protect",E33)</f>
        <v>0</v>
      </c>
      <c r="AD33" s="7" cm="1">
        <f t="array" aca="1" ref="AD33" ca="1">CELL("protect",F33)</f>
        <v>0</v>
      </c>
      <c r="AE33" s="7" cm="1">
        <f t="array" aca="1" ref="AE33" ca="1">CELL("protect",G33)</f>
        <v>0</v>
      </c>
      <c r="AF33" s="7" cm="1">
        <f t="array" aca="1" ref="AF33" ca="1">CELL("protect",H33)</f>
        <v>0</v>
      </c>
      <c r="AG33" s="7" cm="1">
        <f t="array" aca="1" ref="AG33" ca="1">CELL("protect",I33)</f>
        <v>0</v>
      </c>
      <c r="AH33" s="7" cm="1">
        <f t="array" aca="1" ref="AH33" ca="1">CELL("protect",J33)</f>
        <v>0</v>
      </c>
      <c r="AI33" s="7" cm="1">
        <f t="array" aca="1" ref="AI33" ca="1">CELL("protect",K33)</f>
        <v>0</v>
      </c>
      <c r="AJ33" s="7" cm="1">
        <f t="array" aca="1" ref="AJ33" ca="1">CELL("protect",L33)</f>
        <v>0</v>
      </c>
      <c r="AK33" s="7"/>
      <c r="AL33" s="7"/>
      <c r="AM33" s="7"/>
    </row>
    <row r="34" spans="1:39">
      <c r="A34" s="137">
        <f>ROW()</f>
        <v>34</v>
      </c>
      <c r="B34" s="1330" t="s">
        <v>798</v>
      </c>
      <c r="C34" s="266">
        <v>0</v>
      </c>
      <c r="D34" s="266">
        <v>0</v>
      </c>
      <c r="E34" s="1715">
        <f t="shared" si="0"/>
        <v>0</v>
      </c>
      <c r="F34" s="978">
        <v>0</v>
      </c>
      <c r="G34" s="922">
        <f t="shared" si="1"/>
        <v>0</v>
      </c>
      <c r="H34" s="489">
        <f t="shared" si="4"/>
        <v>0</v>
      </c>
      <c r="I34" s="489">
        <f t="shared" si="4"/>
        <v>0</v>
      </c>
      <c r="J34" s="489">
        <f t="shared" si="4"/>
        <v>0</v>
      </c>
      <c r="K34" s="489">
        <f t="shared" si="4"/>
        <v>0</v>
      </c>
      <c r="L34" s="489">
        <f t="shared" si="4"/>
        <v>0</v>
      </c>
      <c r="N34" s="353"/>
      <c r="Y34" s="7" cm="1">
        <f t="array" aca="1" ref="Y34" ca="1">CELL("protect",A34)</f>
        <v>1</v>
      </c>
      <c r="Z34" s="7" cm="1">
        <f t="array" aca="1" ref="Z34" ca="1">CELL("protect",B34)</f>
        <v>0</v>
      </c>
      <c r="AA34" s="7" cm="1">
        <f t="array" aca="1" ref="AA34" ca="1">CELL("protect",C34)</f>
        <v>0</v>
      </c>
      <c r="AB34" s="7" cm="1">
        <f t="array" aca="1" ref="AB34" ca="1">CELL("protect",D34)</f>
        <v>0</v>
      </c>
      <c r="AC34" s="7" cm="1">
        <f t="array" aca="1" ref="AC34" ca="1">CELL("protect",E34)</f>
        <v>0</v>
      </c>
      <c r="AD34" s="7" cm="1">
        <f t="array" aca="1" ref="AD34" ca="1">CELL("protect",F34)</f>
        <v>0</v>
      </c>
      <c r="AE34" s="7" cm="1">
        <f t="array" aca="1" ref="AE34" ca="1">CELL("protect",G34)</f>
        <v>0</v>
      </c>
      <c r="AF34" s="7" cm="1">
        <f t="array" aca="1" ref="AF34" ca="1">CELL("protect",H34)</f>
        <v>0</v>
      </c>
      <c r="AG34" s="7" cm="1">
        <f t="array" aca="1" ref="AG34" ca="1">CELL("protect",I34)</f>
        <v>0</v>
      </c>
      <c r="AH34" s="7" cm="1">
        <f t="array" aca="1" ref="AH34" ca="1">CELL("protect",J34)</f>
        <v>0</v>
      </c>
      <c r="AI34" s="7" cm="1">
        <f t="array" aca="1" ref="AI34" ca="1">CELL("protect",K34)</f>
        <v>0</v>
      </c>
      <c r="AJ34" s="7" cm="1">
        <f t="array" aca="1" ref="AJ34" ca="1">CELL("protect",L34)</f>
        <v>0</v>
      </c>
      <c r="AK34" s="7"/>
      <c r="AL34" s="7"/>
      <c r="AM34" s="7"/>
    </row>
    <row r="35" spans="1:39">
      <c r="A35" s="137">
        <f>ROW()</f>
        <v>35</v>
      </c>
      <c r="B35" s="1330" t="s">
        <v>799</v>
      </c>
      <c r="C35" s="266">
        <v>0</v>
      </c>
      <c r="D35" s="266">
        <v>0</v>
      </c>
      <c r="E35" s="1715">
        <f t="shared" si="0"/>
        <v>0</v>
      </c>
      <c r="F35" s="978">
        <v>0</v>
      </c>
      <c r="G35" s="922">
        <f t="shared" si="1"/>
        <v>0</v>
      </c>
      <c r="H35" s="489">
        <f t="shared" si="4"/>
        <v>0</v>
      </c>
      <c r="I35" s="489">
        <f t="shared" si="4"/>
        <v>0</v>
      </c>
      <c r="J35" s="489">
        <f t="shared" si="4"/>
        <v>0</v>
      </c>
      <c r="K35" s="489">
        <f t="shared" si="4"/>
        <v>0</v>
      </c>
      <c r="L35" s="489">
        <f t="shared" si="4"/>
        <v>0</v>
      </c>
      <c r="N35" s="353"/>
      <c r="Y35" s="7" cm="1">
        <f t="array" aca="1" ref="Y35" ca="1">CELL("protect",A35)</f>
        <v>1</v>
      </c>
      <c r="Z35" s="7" cm="1">
        <f t="array" aca="1" ref="Z35" ca="1">CELL("protect",B35)</f>
        <v>0</v>
      </c>
      <c r="AA35" s="7" cm="1">
        <f t="array" aca="1" ref="AA35" ca="1">CELL("protect",C35)</f>
        <v>0</v>
      </c>
      <c r="AB35" s="7" cm="1">
        <f t="array" aca="1" ref="AB35" ca="1">CELL("protect",D35)</f>
        <v>0</v>
      </c>
      <c r="AC35" s="7" cm="1">
        <f t="array" aca="1" ref="AC35" ca="1">CELL("protect",E35)</f>
        <v>0</v>
      </c>
      <c r="AD35" s="7" cm="1">
        <f t="array" aca="1" ref="AD35" ca="1">CELL("protect",F35)</f>
        <v>0</v>
      </c>
      <c r="AE35" s="7" cm="1">
        <f t="array" aca="1" ref="AE35" ca="1">CELL("protect",G35)</f>
        <v>0</v>
      </c>
      <c r="AF35" s="7" cm="1">
        <f t="array" aca="1" ref="AF35" ca="1">CELL("protect",H35)</f>
        <v>0</v>
      </c>
      <c r="AG35" s="7" cm="1">
        <f t="array" aca="1" ref="AG35" ca="1">CELL("protect",I35)</f>
        <v>0</v>
      </c>
      <c r="AH35" s="7" cm="1">
        <f t="array" aca="1" ref="AH35" ca="1">CELL("protect",J35)</f>
        <v>0</v>
      </c>
      <c r="AI35" s="7" cm="1">
        <f t="array" aca="1" ref="AI35" ca="1">CELL("protect",K35)</f>
        <v>0</v>
      </c>
      <c r="AJ35" s="7" cm="1">
        <f t="array" aca="1" ref="AJ35" ca="1">CELL("protect",L35)</f>
        <v>0</v>
      </c>
      <c r="AK35" s="7"/>
      <c r="AL35" s="7"/>
      <c r="AM35" s="7"/>
    </row>
    <row r="36" spans="1:39">
      <c r="A36" s="137">
        <f>ROW()</f>
        <v>36</v>
      </c>
      <c r="B36" s="340" t="s">
        <v>800</v>
      </c>
      <c r="C36" s="266">
        <v>0</v>
      </c>
      <c r="D36" s="266">
        <v>0</v>
      </c>
      <c r="E36" s="1715">
        <f t="shared" si="0"/>
        <v>0</v>
      </c>
      <c r="F36" s="978">
        <v>0</v>
      </c>
      <c r="G36" s="922">
        <f t="shared" si="1"/>
        <v>0</v>
      </c>
      <c r="H36" s="489">
        <f t="shared" si="4"/>
        <v>0</v>
      </c>
      <c r="I36" s="489">
        <f t="shared" si="4"/>
        <v>0</v>
      </c>
      <c r="J36" s="489">
        <f t="shared" si="4"/>
        <v>0</v>
      </c>
      <c r="K36" s="489">
        <f t="shared" si="4"/>
        <v>0</v>
      </c>
      <c r="L36" s="489">
        <f t="shared" si="4"/>
        <v>0</v>
      </c>
      <c r="N36" s="353"/>
      <c r="Y36" s="7" cm="1">
        <f t="array" aca="1" ref="Y36" ca="1">CELL("protect",A36)</f>
        <v>1</v>
      </c>
      <c r="Z36" s="7" cm="1">
        <f t="array" aca="1" ref="Z36" ca="1">CELL("protect",B36)</f>
        <v>0</v>
      </c>
      <c r="AA36" s="7" cm="1">
        <f t="array" aca="1" ref="AA36" ca="1">CELL("protect",C36)</f>
        <v>0</v>
      </c>
      <c r="AB36" s="7" cm="1">
        <f t="array" aca="1" ref="AB36" ca="1">CELL("protect",D36)</f>
        <v>0</v>
      </c>
      <c r="AC36" s="7" cm="1">
        <f t="array" aca="1" ref="AC36" ca="1">CELL("protect",E36)</f>
        <v>0</v>
      </c>
      <c r="AD36" s="7" cm="1">
        <f t="array" aca="1" ref="AD36" ca="1">CELL("protect",F36)</f>
        <v>0</v>
      </c>
      <c r="AE36" s="7" cm="1">
        <f t="array" aca="1" ref="AE36" ca="1">CELL("protect",G36)</f>
        <v>0</v>
      </c>
      <c r="AF36" s="7" cm="1">
        <f t="array" aca="1" ref="AF36" ca="1">CELL("protect",H36)</f>
        <v>0</v>
      </c>
      <c r="AG36" s="7" cm="1">
        <f t="array" aca="1" ref="AG36" ca="1">CELL("protect",I36)</f>
        <v>0</v>
      </c>
      <c r="AH36" s="7" cm="1">
        <f t="array" aca="1" ref="AH36" ca="1">CELL("protect",J36)</f>
        <v>0</v>
      </c>
      <c r="AI36" s="7" cm="1">
        <f t="array" aca="1" ref="AI36" ca="1">CELL("protect",K36)</f>
        <v>0</v>
      </c>
      <c r="AJ36" s="7" cm="1">
        <f t="array" aca="1" ref="AJ36" ca="1">CELL("protect",L36)</f>
        <v>0</v>
      </c>
      <c r="AK36" s="7"/>
      <c r="AL36" s="7"/>
      <c r="AM36" s="7"/>
    </row>
    <row r="37" spans="1:39">
      <c r="A37" s="137">
        <f>ROW()</f>
        <v>37</v>
      </c>
      <c r="B37" s="340" t="s">
        <v>801</v>
      </c>
      <c r="C37" s="266">
        <v>0</v>
      </c>
      <c r="D37" s="266">
        <v>0</v>
      </c>
      <c r="E37" s="1715">
        <f t="shared" si="0"/>
        <v>0</v>
      </c>
      <c r="F37" s="978">
        <v>0</v>
      </c>
      <c r="G37" s="922">
        <f t="shared" si="1"/>
        <v>0</v>
      </c>
      <c r="H37" s="489">
        <f t="shared" si="4"/>
        <v>0</v>
      </c>
      <c r="I37" s="489">
        <f t="shared" si="4"/>
        <v>0</v>
      </c>
      <c r="J37" s="489">
        <f t="shared" si="4"/>
        <v>0</v>
      </c>
      <c r="K37" s="489">
        <f t="shared" si="4"/>
        <v>0</v>
      </c>
      <c r="L37" s="489">
        <f t="shared" si="4"/>
        <v>0</v>
      </c>
      <c r="N37" s="353"/>
      <c r="Y37" s="7" cm="1">
        <f t="array" aca="1" ref="Y37" ca="1">CELL("protect",A37)</f>
        <v>1</v>
      </c>
      <c r="Z37" s="7" cm="1">
        <f t="array" aca="1" ref="Z37" ca="1">CELL("protect",B37)</f>
        <v>0</v>
      </c>
      <c r="AA37" s="7" cm="1">
        <f t="array" aca="1" ref="AA37" ca="1">CELL("protect",C37)</f>
        <v>0</v>
      </c>
      <c r="AB37" s="7" cm="1">
        <f t="array" aca="1" ref="AB37" ca="1">CELL("protect",D37)</f>
        <v>0</v>
      </c>
      <c r="AC37" s="7" cm="1">
        <f t="array" aca="1" ref="AC37" ca="1">CELL("protect",E37)</f>
        <v>0</v>
      </c>
      <c r="AD37" s="7" cm="1">
        <f t="array" aca="1" ref="AD37" ca="1">CELL("protect",F37)</f>
        <v>0</v>
      </c>
      <c r="AE37" s="7" cm="1">
        <f t="array" aca="1" ref="AE37" ca="1">CELL("protect",G37)</f>
        <v>0</v>
      </c>
      <c r="AF37" s="7" cm="1">
        <f t="array" aca="1" ref="AF37" ca="1">CELL("protect",H37)</f>
        <v>0</v>
      </c>
      <c r="AG37" s="7" cm="1">
        <f t="array" aca="1" ref="AG37" ca="1">CELL("protect",I37)</f>
        <v>0</v>
      </c>
      <c r="AH37" s="7" cm="1">
        <f t="array" aca="1" ref="AH37" ca="1">CELL("protect",J37)</f>
        <v>0</v>
      </c>
      <c r="AI37" s="7" cm="1">
        <f t="array" aca="1" ref="AI37" ca="1">CELL("protect",K37)</f>
        <v>0</v>
      </c>
      <c r="AJ37" s="7" cm="1">
        <f t="array" aca="1" ref="AJ37" ca="1">CELL("protect",L37)</f>
        <v>0</v>
      </c>
      <c r="AK37" s="7"/>
      <c r="AL37" s="7"/>
      <c r="AM37" s="7"/>
    </row>
    <row r="38" spans="1:39">
      <c r="A38" s="137">
        <f>ROW()</f>
        <v>38</v>
      </c>
      <c r="B38" s="1330" t="s">
        <v>802</v>
      </c>
      <c r="C38" s="266">
        <v>0</v>
      </c>
      <c r="D38" s="266">
        <v>0</v>
      </c>
      <c r="E38" s="1715">
        <f t="shared" si="0"/>
        <v>0</v>
      </c>
      <c r="F38" s="978">
        <v>0</v>
      </c>
      <c r="G38" s="922">
        <f t="shared" si="1"/>
        <v>0</v>
      </c>
      <c r="H38" s="489">
        <f t="shared" si="4"/>
        <v>0</v>
      </c>
      <c r="I38" s="489">
        <f t="shared" si="4"/>
        <v>0</v>
      </c>
      <c r="J38" s="489">
        <f t="shared" si="4"/>
        <v>0</v>
      </c>
      <c r="K38" s="489">
        <f t="shared" si="4"/>
        <v>0</v>
      </c>
      <c r="L38" s="489">
        <f t="shared" si="4"/>
        <v>0</v>
      </c>
      <c r="N38" s="353"/>
      <c r="Y38" s="7" cm="1">
        <f t="array" aca="1" ref="Y38" ca="1">CELL("protect",A38)</f>
        <v>1</v>
      </c>
      <c r="Z38" s="7" cm="1">
        <f t="array" aca="1" ref="Z38" ca="1">CELL("protect",B38)</f>
        <v>0</v>
      </c>
      <c r="AA38" s="7" cm="1">
        <f t="array" aca="1" ref="AA38" ca="1">CELL("protect",C38)</f>
        <v>0</v>
      </c>
      <c r="AB38" s="7" cm="1">
        <f t="array" aca="1" ref="AB38" ca="1">CELL("protect",D38)</f>
        <v>0</v>
      </c>
      <c r="AC38" s="7" cm="1">
        <f t="array" aca="1" ref="AC38" ca="1">CELL("protect",E38)</f>
        <v>0</v>
      </c>
      <c r="AD38" s="7" cm="1">
        <f t="array" aca="1" ref="AD38" ca="1">CELL("protect",F38)</f>
        <v>0</v>
      </c>
      <c r="AE38" s="7" cm="1">
        <f t="array" aca="1" ref="AE38" ca="1">CELL("protect",G38)</f>
        <v>0</v>
      </c>
      <c r="AF38" s="7" cm="1">
        <f t="array" aca="1" ref="AF38" ca="1">CELL("protect",H38)</f>
        <v>0</v>
      </c>
      <c r="AG38" s="7" cm="1">
        <f t="array" aca="1" ref="AG38" ca="1">CELL("protect",I38)</f>
        <v>0</v>
      </c>
      <c r="AH38" s="7" cm="1">
        <f t="array" aca="1" ref="AH38" ca="1">CELL("protect",J38)</f>
        <v>0</v>
      </c>
      <c r="AI38" s="7" cm="1">
        <f t="array" aca="1" ref="AI38" ca="1">CELL("protect",K38)</f>
        <v>0</v>
      </c>
      <c r="AJ38" s="7" cm="1">
        <f t="array" aca="1" ref="AJ38" ca="1">CELL("protect",L38)</f>
        <v>0</v>
      </c>
      <c r="AK38" s="7"/>
      <c r="AL38" s="7"/>
      <c r="AM38" s="7"/>
    </row>
    <row r="39" spans="1:39">
      <c r="A39" s="137">
        <f>ROW()</f>
        <v>39</v>
      </c>
      <c r="B39" s="1330" t="s">
        <v>803</v>
      </c>
      <c r="C39" s="266"/>
      <c r="D39" s="266"/>
      <c r="E39" s="1715">
        <f t="shared" si="0"/>
        <v>0</v>
      </c>
      <c r="F39" s="978">
        <v>0</v>
      </c>
      <c r="G39" s="922">
        <f t="shared" si="1"/>
        <v>0</v>
      </c>
      <c r="H39" s="489">
        <f t="shared" ref="H39:L46" si="5">+$D39</f>
        <v>0</v>
      </c>
      <c r="I39" s="489">
        <f t="shared" si="5"/>
        <v>0</v>
      </c>
      <c r="J39" s="489">
        <f t="shared" si="5"/>
        <v>0</v>
      </c>
      <c r="K39" s="489">
        <f t="shared" si="5"/>
        <v>0</v>
      </c>
      <c r="L39" s="489">
        <f t="shared" si="5"/>
        <v>0</v>
      </c>
      <c r="N39" s="353"/>
      <c r="Y39" s="7" cm="1">
        <f t="array" aca="1" ref="Y39" ca="1">CELL("protect",A39)</f>
        <v>1</v>
      </c>
      <c r="Z39" s="7" cm="1">
        <f t="array" aca="1" ref="Z39" ca="1">CELL("protect",B39)</f>
        <v>0</v>
      </c>
      <c r="AA39" s="7" cm="1">
        <f t="array" aca="1" ref="AA39" ca="1">CELL("protect",C39)</f>
        <v>0</v>
      </c>
      <c r="AB39" s="7" cm="1">
        <f t="array" aca="1" ref="AB39" ca="1">CELL("protect",D39)</f>
        <v>0</v>
      </c>
      <c r="AC39" s="7" cm="1">
        <f t="array" aca="1" ref="AC39" ca="1">CELL("protect",E39)</f>
        <v>0</v>
      </c>
      <c r="AD39" s="7" cm="1">
        <f t="array" aca="1" ref="AD39" ca="1">CELL("protect",F39)</f>
        <v>0</v>
      </c>
      <c r="AE39" s="7" cm="1">
        <f t="array" aca="1" ref="AE39" ca="1">CELL("protect",G39)</f>
        <v>0</v>
      </c>
      <c r="AF39" s="7" cm="1">
        <f t="array" aca="1" ref="AF39" ca="1">CELL("protect",H39)</f>
        <v>0</v>
      </c>
      <c r="AG39" s="7" cm="1">
        <f t="array" aca="1" ref="AG39" ca="1">CELL("protect",I39)</f>
        <v>0</v>
      </c>
      <c r="AH39" s="7" cm="1">
        <f t="array" aca="1" ref="AH39" ca="1">CELL("protect",J39)</f>
        <v>0</v>
      </c>
      <c r="AI39" s="7" cm="1">
        <f t="array" aca="1" ref="AI39" ca="1">CELL("protect",K39)</f>
        <v>0</v>
      </c>
      <c r="AJ39" s="7" cm="1">
        <f t="array" aca="1" ref="AJ39" ca="1">CELL("protect",L39)</f>
        <v>0</v>
      </c>
      <c r="AK39" s="7"/>
      <c r="AL39" s="7"/>
      <c r="AM39" s="7"/>
    </row>
    <row r="40" spans="1:39">
      <c r="A40" s="137">
        <f>ROW()</f>
        <v>40</v>
      </c>
      <c r="B40" s="1330" t="s">
        <v>1499</v>
      </c>
      <c r="C40" s="268"/>
      <c r="D40" s="268"/>
      <c r="E40" s="1715">
        <f t="shared" si="0"/>
        <v>325822.8</v>
      </c>
      <c r="F40" s="978">
        <v>0</v>
      </c>
      <c r="G40" s="922">
        <f>51230*1.06</f>
        <v>54303.8</v>
      </c>
      <c r="H40" s="922">
        <f t="shared" ref="H40:L40" si="6">51230*1.06</f>
        <v>54303.8</v>
      </c>
      <c r="I40" s="922">
        <f t="shared" si="6"/>
        <v>54303.8</v>
      </c>
      <c r="J40" s="922">
        <f t="shared" si="6"/>
        <v>54303.8</v>
      </c>
      <c r="K40" s="922">
        <f t="shared" si="6"/>
        <v>54303.8</v>
      </c>
      <c r="L40" s="922">
        <f t="shared" si="6"/>
        <v>54303.8</v>
      </c>
      <c r="N40" s="353"/>
      <c r="Y40" s="7" cm="1">
        <f t="array" aca="1" ref="Y40" ca="1">CELL("protect",A40)</f>
        <v>1</v>
      </c>
      <c r="Z40" s="7" cm="1">
        <f t="array" aca="1" ref="Z40" ca="1">CELL("protect",B40)</f>
        <v>0</v>
      </c>
      <c r="AA40" s="7" cm="1">
        <f t="array" aca="1" ref="AA40" ca="1">CELL("protect",C40)</f>
        <v>0</v>
      </c>
      <c r="AB40" s="7" cm="1">
        <f t="array" aca="1" ref="AB40" ca="1">CELL("protect",D40)</f>
        <v>0</v>
      </c>
      <c r="AC40" s="7" cm="1">
        <f t="array" aca="1" ref="AC40" ca="1">CELL("protect",E40)</f>
        <v>0</v>
      </c>
      <c r="AD40" s="7" cm="1">
        <f t="array" aca="1" ref="AD40" ca="1">CELL("protect",F40)</f>
        <v>0</v>
      </c>
      <c r="AE40" s="7" cm="1">
        <f t="array" aca="1" ref="AE40" ca="1">CELL("protect",G40)</f>
        <v>0</v>
      </c>
      <c r="AF40" s="7" cm="1">
        <f t="array" aca="1" ref="AF40" ca="1">CELL("protect",H40)</f>
        <v>0</v>
      </c>
      <c r="AG40" s="7" cm="1">
        <f t="array" aca="1" ref="AG40" ca="1">CELL("protect",I40)</f>
        <v>0</v>
      </c>
      <c r="AH40" s="7" cm="1">
        <f t="array" aca="1" ref="AH40" ca="1">CELL("protect",J40)</f>
        <v>0</v>
      </c>
      <c r="AI40" s="7" cm="1">
        <f t="array" aca="1" ref="AI40" ca="1">CELL("protect",K40)</f>
        <v>0</v>
      </c>
      <c r="AJ40" s="7" cm="1">
        <f t="array" aca="1" ref="AJ40" ca="1">CELL("protect",L40)</f>
        <v>0</v>
      </c>
      <c r="AK40" s="7"/>
      <c r="AL40" s="7"/>
      <c r="AM40" s="7"/>
    </row>
    <row r="41" spans="1:39">
      <c r="A41" s="137">
        <f>ROW()</f>
        <v>41</v>
      </c>
      <c r="B41" s="1330"/>
      <c r="C41" s="268"/>
      <c r="D41" s="268"/>
      <c r="E41" s="1715">
        <f t="shared" si="0"/>
        <v>0</v>
      </c>
      <c r="F41" s="978">
        <v>0</v>
      </c>
      <c r="G41" s="922">
        <f t="shared" si="1"/>
        <v>0</v>
      </c>
      <c r="H41" s="489">
        <f t="shared" si="5"/>
        <v>0</v>
      </c>
      <c r="I41" s="489">
        <f t="shared" si="5"/>
        <v>0</v>
      </c>
      <c r="J41" s="489">
        <f t="shared" si="5"/>
        <v>0</v>
      </c>
      <c r="K41" s="489">
        <f t="shared" si="5"/>
        <v>0</v>
      </c>
      <c r="L41" s="489">
        <f t="shared" si="5"/>
        <v>0</v>
      </c>
      <c r="N41" s="353"/>
      <c r="Y41" s="7" cm="1">
        <f t="array" aca="1" ref="Y41" ca="1">CELL("protect",A41)</f>
        <v>1</v>
      </c>
      <c r="Z41" s="7" cm="1">
        <f t="array" aca="1" ref="Z41" ca="1">CELL("protect",B41)</f>
        <v>0</v>
      </c>
      <c r="AA41" s="7" cm="1">
        <f t="array" aca="1" ref="AA41" ca="1">CELL("protect",C41)</f>
        <v>0</v>
      </c>
      <c r="AB41" s="7" cm="1">
        <f t="array" aca="1" ref="AB41" ca="1">CELL("protect",D41)</f>
        <v>0</v>
      </c>
      <c r="AC41" s="7" cm="1">
        <f t="array" aca="1" ref="AC41" ca="1">CELL("protect",E41)</f>
        <v>0</v>
      </c>
      <c r="AD41" s="7" cm="1">
        <f t="array" aca="1" ref="AD41" ca="1">CELL("protect",F41)</f>
        <v>0</v>
      </c>
      <c r="AE41" s="7" cm="1">
        <f t="array" aca="1" ref="AE41" ca="1">CELL("protect",G41)</f>
        <v>0</v>
      </c>
      <c r="AF41" s="7" cm="1">
        <f t="array" aca="1" ref="AF41" ca="1">CELL("protect",H41)</f>
        <v>0</v>
      </c>
      <c r="AG41" s="7" cm="1">
        <f t="array" aca="1" ref="AG41" ca="1">CELL("protect",I41)</f>
        <v>0</v>
      </c>
      <c r="AH41" s="7" cm="1">
        <f t="array" aca="1" ref="AH41" ca="1">CELL("protect",J41)</f>
        <v>0</v>
      </c>
      <c r="AI41" s="7" cm="1">
        <f t="array" aca="1" ref="AI41" ca="1">CELL("protect",K41)</f>
        <v>0</v>
      </c>
      <c r="AJ41" s="7" cm="1">
        <f t="array" aca="1" ref="AJ41" ca="1">CELL("protect",L41)</f>
        <v>0</v>
      </c>
      <c r="AK41" s="7"/>
      <c r="AL41" s="7"/>
      <c r="AM41" s="7"/>
    </row>
    <row r="42" spans="1:39">
      <c r="A42" s="137">
        <f>ROW()</f>
        <v>42</v>
      </c>
      <c r="B42" s="1330"/>
      <c r="C42" s="268"/>
      <c r="D42" s="268"/>
      <c r="E42" s="1715">
        <f t="shared" si="0"/>
        <v>0</v>
      </c>
      <c r="F42" s="978">
        <v>0</v>
      </c>
      <c r="G42" s="922">
        <f t="shared" si="1"/>
        <v>0</v>
      </c>
      <c r="H42" s="489">
        <f t="shared" si="5"/>
        <v>0</v>
      </c>
      <c r="I42" s="489">
        <f t="shared" si="5"/>
        <v>0</v>
      </c>
      <c r="J42" s="489">
        <f t="shared" si="5"/>
        <v>0</v>
      </c>
      <c r="K42" s="489">
        <f t="shared" si="5"/>
        <v>0</v>
      </c>
      <c r="L42" s="489">
        <f t="shared" si="5"/>
        <v>0</v>
      </c>
      <c r="N42" s="353"/>
      <c r="Y42" s="7" cm="1">
        <f t="array" aca="1" ref="Y42" ca="1">CELL("protect",A42)</f>
        <v>1</v>
      </c>
      <c r="Z42" s="7" cm="1">
        <f t="array" aca="1" ref="Z42" ca="1">CELL("protect",B42)</f>
        <v>0</v>
      </c>
      <c r="AA42" s="7" cm="1">
        <f t="array" aca="1" ref="AA42" ca="1">CELL("protect",C42)</f>
        <v>0</v>
      </c>
      <c r="AB42" s="7" cm="1">
        <f t="array" aca="1" ref="AB42" ca="1">CELL("protect",D42)</f>
        <v>0</v>
      </c>
      <c r="AC42" s="7" cm="1">
        <f t="array" aca="1" ref="AC42" ca="1">CELL("protect",E42)</f>
        <v>0</v>
      </c>
      <c r="AD42" s="7" cm="1">
        <f t="array" aca="1" ref="AD42" ca="1">CELL("protect",F42)</f>
        <v>0</v>
      </c>
      <c r="AE42" s="7" cm="1">
        <f t="array" aca="1" ref="AE42" ca="1">CELL("protect",G42)</f>
        <v>0</v>
      </c>
      <c r="AF42" s="7" cm="1">
        <f t="array" aca="1" ref="AF42" ca="1">CELL("protect",H42)</f>
        <v>0</v>
      </c>
      <c r="AG42" s="7" cm="1">
        <f t="array" aca="1" ref="AG42" ca="1">CELL("protect",I42)</f>
        <v>0</v>
      </c>
      <c r="AH42" s="7" cm="1">
        <f t="array" aca="1" ref="AH42" ca="1">CELL("protect",J42)</f>
        <v>0</v>
      </c>
      <c r="AI42" s="7" cm="1">
        <f t="array" aca="1" ref="AI42" ca="1">CELL("protect",K42)</f>
        <v>0</v>
      </c>
      <c r="AJ42" s="7" cm="1">
        <f t="array" aca="1" ref="AJ42" ca="1">CELL("protect",L42)</f>
        <v>0</v>
      </c>
      <c r="AK42" s="7"/>
      <c r="AL42" s="7"/>
      <c r="AM42" s="7"/>
    </row>
    <row r="43" spans="1:39">
      <c r="A43" s="137">
        <f>ROW()</f>
        <v>43</v>
      </c>
      <c r="B43" s="1330"/>
      <c r="C43" s="268"/>
      <c r="D43" s="268"/>
      <c r="E43" s="1715">
        <f t="shared" si="0"/>
        <v>0</v>
      </c>
      <c r="F43" s="978">
        <v>0</v>
      </c>
      <c r="G43" s="922">
        <f t="shared" si="1"/>
        <v>0</v>
      </c>
      <c r="H43" s="489">
        <f t="shared" si="5"/>
        <v>0</v>
      </c>
      <c r="I43" s="489">
        <f t="shared" si="5"/>
        <v>0</v>
      </c>
      <c r="J43" s="489">
        <f t="shared" si="5"/>
        <v>0</v>
      </c>
      <c r="K43" s="489">
        <f t="shared" si="5"/>
        <v>0</v>
      </c>
      <c r="L43" s="489">
        <f t="shared" si="5"/>
        <v>0</v>
      </c>
      <c r="N43" s="353"/>
      <c r="Y43" s="7" cm="1">
        <f t="array" aca="1" ref="Y43" ca="1">CELL("protect",A43)</f>
        <v>1</v>
      </c>
      <c r="Z43" s="7" cm="1">
        <f t="array" aca="1" ref="Z43" ca="1">CELL("protect",B43)</f>
        <v>0</v>
      </c>
      <c r="AA43" s="7" cm="1">
        <f t="array" aca="1" ref="AA43" ca="1">CELL("protect",C43)</f>
        <v>0</v>
      </c>
      <c r="AB43" s="7" cm="1">
        <f t="array" aca="1" ref="AB43" ca="1">CELL("protect",D43)</f>
        <v>0</v>
      </c>
      <c r="AC43" s="7" cm="1">
        <f t="array" aca="1" ref="AC43" ca="1">CELL("protect",E43)</f>
        <v>0</v>
      </c>
      <c r="AD43" s="7" cm="1">
        <f t="array" aca="1" ref="AD43" ca="1">CELL("protect",F43)</f>
        <v>0</v>
      </c>
      <c r="AE43" s="7" cm="1">
        <f t="array" aca="1" ref="AE43" ca="1">CELL("protect",G43)</f>
        <v>0</v>
      </c>
      <c r="AF43" s="7" cm="1">
        <f t="array" aca="1" ref="AF43" ca="1">CELL("protect",H43)</f>
        <v>0</v>
      </c>
      <c r="AG43" s="7" cm="1">
        <f t="array" aca="1" ref="AG43" ca="1">CELL("protect",I43)</f>
        <v>0</v>
      </c>
      <c r="AH43" s="7" cm="1">
        <f t="array" aca="1" ref="AH43" ca="1">CELL("protect",J43)</f>
        <v>0</v>
      </c>
      <c r="AI43" s="7" cm="1">
        <f t="array" aca="1" ref="AI43" ca="1">CELL("protect",K43)</f>
        <v>0</v>
      </c>
      <c r="AJ43" s="7" cm="1">
        <f t="array" aca="1" ref="AJ43" ca="1">CELL("protect",L43)</f>
        <v>0</v>
      </c>
      <c r="AK43" s="7"/>
      <c r="AL43" s="7"/>
      <c r="AM43" s="7"/>
    </row>
    <row r="44" spans="1:39">
      <c r="A44" s="137">
        <f>ROW()</f>
        <v>44</v>
      </c>
      <c r="B44" s="1330"/>
      <c r="C44" s="268"/>
      <c r="D44" s="268"/>
      <c r="E44" s="1715">
        <f t="shared" si="0"/>
        <v>0</v>
      </c>
      <c r="F44" s="978">
        <v>0</v>
      </c>
      <c r="G44" s="922">
        <f t="shared" si="1"/>
        <v>0</v>
      </c>
      <c r="H44" s="489">
        <f t="shared" si="5"/>
        <v>0</v>
      </c>
      <c r="I44" s="489">
        <f t="shared" si="5"/>
        <v>0</v>
      </c>
      <c r="J44" s="489">
        <f t="shared" si="5"/>
        <v>0</v>
      </c>
      <c r="K44" s="489">
        <f t="shared" si="5"/>
        <v>0</v>
      </c>
      <c r="L44" s="489">
        <f t="shared" si="5"/>
        <v>0</v>
      </c>
      <c r="N44" s="353"/>
      <c r="Y44" s="7" cm="1">
        <f t="array" aca="1" ref="Y44" ca="1">CELL("protect",A44)</f>
        <v>1</v>
      </c>
      <c r="Z44" s="7" cm="1">
        <f t="array" aca="1" ref="Z44" ca="1">CELL("protect",B44)</f>
        <v>0</v>
      </c>
      <c r="AA44" s="7" cm="1">
        <f t="array" aca="1" ref="AA44" ca="1">CELL("protect",C44)</f>
        <v>0</v>
      </c>
      <c r="AB44" s="7" cm="1">
        <f t="array" aca="1" ref="AB44" ca="1">CELL("protect",D44)</f>
        <v>0</v>
      </c>
      <c r="AC44" s="7" cm="1">
        <f t="array" aca="1" ref="AC44" ca="1">CELL("protect",E44)</f>
        <v>0</v>
      </c>
      <c r="AD44" s="7" cm="1">
        <f t="array" aca="1" ref="AD44" ca="1">CELL("protect",F44)</f>
        <v>0</v>
      </c>
      <c r="AE44" s="7" cm="1">
        <f t="array" aca="1" ref="AE44" ca="1">CELL("protect",G44)</f>
        <v>0</v>
      </c>
      <c r="AF44" s="7" cm="1">
        <f t="array" aca="1" ref="AF44" ca="1">CELL("protect",H44)</f>
        <v>0</v>
      </c>
      <c r="AG44" s="7" cm="1">
        <f t="array" aca="1" ref="AG44" ca="1">CELL("protect",I44)</f>
        <v>0</v>
      </c>
      <c r="AH44" s="7" cm="1">
        <f t="array" aca="1" ref="AH44" ca="1">CELL("protect",J44)</f>
        <v>0</v>
      </c>
      <c r="AI44" s="7" cm="1">
        <f t="array" aca="1" ref="AI44" ca="1">CELL("protect",K44)</f>
        <v>0</v>
      </c>
      <c r="AJ44" s="7" cm="1">
        <f t="array" aca="1" ref="AJ44" ca="1">CELL("protect",L44)</f>
        <v>0</v>
      </c>
      <c r="AK44" s="7"/>
      <c r="AL44" s="7"/>
      <c r="AM44" s="7"/>
    </row>
    <row r="45" spans="1:39">
      <c r="A45" s="137">
        <f>ROW()</f>
        <v>45</v>
      </c>
      <c r="B45" s="1330"/>
      <c r="C45" s="268"/>
      <c r="D45" s="268"/>
      <c r="E45" s="1715">
        <f t="shared" si="0"/>
        <v>0</v>
      </c>
      <c r="F45" s="978">
        <v>0</v>
      </c>
      <c r="G45" s="922">
        <f t="shared" si="1"/>
        <v>0</v>
      </c>
      <c r="H45" s="489">
        <f t="shared" si="5"/>
        <v>0</v>
      </c>
      <c r="I45" s="489">
        <f t="shared" si="5"/>
        <v>0</v>
      </c>
      <c r="J45" s="489">
        <f t="shared" si="5"/>
        <v>0</v>
      </c>
      <c r="K45" s="489">
        <f t="shared" si="5"/>
        <v>0</v>
      </c>
      <c r="L45" s="489">
        <f t="shared" si="5"/>
        <v>0</v>
      </c>
      <c r="N45" s="353"/>
      <c r="Y45" s="7" cm="1">
        <f t="array" aca="1" ref="Y45" ca="1">CELL("protect",A45)</f>
        <v>1</v>
      </c>
      <c r="Z45" s="7" cm="1">
        <f t="array" aca="1" ref="Z45" ca="1">CELL("protect",B45)</f>
        <v>0</v>
      </c>
      <c r="AA45" s="7" cm="1">
        <f t="array" aca="1" ref="AA45" ca="1">CELL("protect",C45)</f>
        <v>0</v>
      </c>
      <c r="AB45" s="7" cm="1">
        <f t="array" aca="1" ref="AB45" ca="1">CELL("protect",D45)</f>
        <v>0</v>
      </c>
      <c r="AC45" s="7" cm="1">
        <f t="array" aca="1" ref="AC45" ca="1">CELL("protect",E45)</f>
        <v>0</v>
      </c>
      <c r="AD45" s="7" cm="1">
        <f t="array" aca="1" ref="AD45" ca="1">CELL("protect",F45)</f>
        <v>0</v>
      </c>
      <c r="AE45" s="7" cm="1">
        <f t="array" aca="1" ref="AE45" ca="1">CELL("protect",G45)</f>
        <v>0</v>
      </c>
      <c r="AF45" s="7" cm="1">
        <f t="array" aca="1" ref="AF45" ca="1">CELL("protect",H45)</f>
        <v>0</v>
      </c>
      <c r="AG45" s="7" cm="1">
        <f t="array" aca="1" ref="AG45" ca="1">CELL("protect",I45)</f>
        <v>0</v>
      </c>
      <c r="AH45" s="7" cm="1">
        <f t="array" aca="1" ref="AH45" ca="1">CELL("protect",J45)</f>
        <v>0</v>
      </c>
      <c r="AI45" s="7" cm="1">
        <f t="array" aca="1" ref="AI45" ca="1">CELL("protect",K45)</f>
        <v>0</v>
      </c>
      <c r="AJ45" s="7" cm="1">
        <f t="array" aca="1" ref="AJ45" ca="1">CELL("protect",L45)</f>
        <v>0</v>
      </c>
      <c r="AK45" s="7"/>
      <c r="AL45" s="7"/>
      <c r="AM45" s="7"/>
    </row>
    <row r="46" spans="1:39">
      <c r="A46" s="137">
        <f>ROW()</f>
        <v>46</v>
      </c>
      <c r="B46" s="1330"/>
      <c r="C46" s="268"/>
      <c r="D46" s="268"/>
      <c r="E46" s="1715">
        <f t="shared" si="0"/>
        <v>0</v>
      </c>
      <c r="F46" s="978">
        <v>0</v>
      </c>
      <c r="G46" s="922">
        <f t="shared" si="1"/>
        <v>0</v>
      </c>
      <c r="H46" s="489">
        <f t="shared" si="5"/>
        <v>0</v>
      </c>
      <c r="I46" s="489">
        <f t="shared" si="5"/>
        <v>0</v>
      </c>
      <c r="J46" s="489">
        <f t="shared" si="5"/>
        <v>0</v>
      </c>
      <c r="K46" s="489">
        <f t="shared" si="5"/>
        <v>0</v>
      </c>
      <c r="L46" s="489">
        <f t="shared" si="5"/>
        <v>0</v>
      </c>
      <c r="N46" s="353"/>
      <c r="Y46" s="7" cm="1">
        <f t="array" aca="1" ref="Y46" ca="1">CELL("protect",A46)</f>
        <v>1</v>
      </c>
      <c r="Z46" s="7" cm="1">
        <f t="array" aca="1" ref="Z46" ca="1">CELL("protect",B46)</f>
        <v>0</v>
      </c>
      <c r="AA46" s="7" cm="1">
        <f t="array" aca="1" ref="AA46" ca="1">CELL("protect",C46)</f>
        <v>0</v>
      </c>
      <c r="AB46" s="7" cm="1">
        <f t="array" aca="1" ref="AB46" ca="1">CELL("protect",D46)</f>
        <v>0</v>
      </c>
      <c r="AC46" s="7" cm="1">
        <f t="array" aca="1" ref="AC46" ca="1">CELL("protect",E46)</f>
        <v>0</v>
      </c>
      <c r="AD46" s="7" cm="1">
        <f t="array" aca="1" ref="AD46" ca="1">CELL("protect",F46)</f>
        <v>0</v>
      </c>
      <c r="AE46" s="7" cm="1">
        <f t="array" aca="1" ref="AE46" ca="1">CELL("protect",G46)</f>
        <v>0</v>
      </c>
      <c r="AF46" s="7" cm="1">
        <f t="array" aca="1" ref="AF46" ca="1">CELL("protect",H46)</f>
        <v>0</v>
      </c>
      <c r="AG46" s="7" cm="1">
        <f t="array" aca="1" ref="AG46" ca="1">CELL("protect",I46)</f>
        <v>0</v>
      </c>
      <c r="AH46" s="7" cm="1">
        <f t="array" aca="1" ref="AH46" ca="1">CELL("protect",J46)</f>
        <v>0</v>
      </c>
      <c r="AI46" s="7" cm="1">
        <f t="array" aca="1" ref="AI46" ca="1">CELL("protect",K46)</f>
        <v>0</v>
      </c>
      <c r="AJ46" s="7" cm="1">
        <f t="array" aca="1" ref="AJ46" ca="1">CELL("protect",L46)</f>
        <v>0</v>
      </c>
      <c r="AK46" s="7"/>
      <c r="AL46" s="7"/>
      <c r="AM46" s="7"/>
    </row>
    <row r="47" spans="1:39">
      <c r="A47" s="137">
        <f>ROW()</f>
        <v>47</v>
      </c>
      <c r="B47" s="1331"/>
      <c r="C47" s="268">
        <v>0</v>
      </c>
      <c r="D47" s="268">
        <v>0</v>
      </c>
      <c r="E47" s="1625">
        <f t="shared" si="0"/>
        <v>0</v>
      </c>
      <c r="F47" s="982">
        <v>0</v>
      </c>
      <c r="G47" s="924">
        <f t="shared" ref="G47:L47" si="7">+$D47</f>
        <v>0</v>
      </c>
      <c r="H47" s="490">
        <f t="shared" si="7"/>
        <v>0</v>
      </c>
      <c r="I47" s="490">
        <f t="shared" si="7"/>
        <v>0</v>
      </c>
      <c r="J47" s="490">
        <f t="shared" si="7"/>
        <v>0</v>
      </c>
      <c r="K47" s="490">
        <f t="shared" si="7"/>
        <v>0</v>
      </c>
      <c r="L47" s="490">
        <f t="shared" si="7"/>
        <v>0</v>
      </c>
      <c r="N47" s="353"/>
      <c r="Y47" s="7" cm="1">
        <f t="array" aca="1" ref="Y47" ca="1">CELL("protect",A47)</f>
        <v>1</v>
      </c>
      <c r="Z47" s="7" cm="1">
        <f t="array" aca="1" ref="Z47" ca="1">CELL("protect",B47)</f>
        <v>0</v>
      </c>
      <c r="AA47" s="7" cm="1">
        <f t="array" aca="1" ref="AA47" ca="1">CELL("protect",C47)</f>
        <v>0</v>
      </c>
      <c r="AB47" s="7" cm="1">
        <f t="array" aca="1" ref="AB47" ca="1">CELL("protect",D47)</f>
        <v>0</v>
      </c>
      <c r="AC47" s="7" cm="1">
        <f t="array" aca="1" ref="AC47" ca="1">CELL("protect",E47)</f>
        <v>0</v>
      </c>
      <c r="AD47" s="7" cm="1">
        <f t="array" aca="1" ref="AD47" ca="1">CELL("protect",F47)</f>
        <v>0</v>
      </c>
      <c r="AE47" s="7" cm="1">
        <f t="array" aca="1" ref="AE47" ca="1">CELL("protect",G47)</f>
        <v>0</v>
      </c>
      <c r="AF47" s="7" cm="1">
        <f t="array" aca="1" ref="AF47" ca="1">CELL("protect",H47)</f>
        <v>0</v>
      </c>
      <c r="AG47" s="7" cm="1">
        <f t="array" aca="1" ref="AG47" ca="1">CELL("protect",I47)</f>
        <v>0</v>
      </c>
      <c r="AH47" s="7" cm="1">
        <f t="array" aca="1" ref="AH47" ca="1">CELL("protect",J47)</f>
        <v>0</v>
      </c>
      <c r="AI47" s="7" cm="1">
        <f t="array" aca="1" ref="AI47" ca="1">CELL("protect",K47)</f>
        <v>0</v>
      </c>
      <c r="AJ47" s="7" cm="1">
        <f t="array" aca="1" ref="AJ47" ca="1">CELL("protect",L47)</f>
        <v>0</v>
      </c>
      <c r="AK47" s="7"/>
      <c r="AL47" s="7"/>
      <c r="AM47" s="7"/>
    </row>
    <row r="48" spans="1:39">
      <c r="A48" s="137">
        <f>ROW()</f>
        <v>48</v>
      </c>
      <c r="B48" s="367" t="s">
        <v>804</v>
      </c>
      <c r="C48" s="368"/>
      <c r="D48" s="368"/>
      <c r="E48" s="369"/>
      <c r="F48" s="925">
        <f t="shared" ref="F48:L48" si="8">SUM(F9:F47)</f>
        <v>0</v>
      </c>
      <c r="G48" s="925">
        <f t="shared" si="8"/>
        <v>54303.8</v>
      </c>
      <c r="H48" s="370">
        <f t="shared" si="8"/>
        <v>54303.8</v>
      </c>
      <c r="I48" s="370">
        <f t="shared" si="8"/>
        <v>54303.8</v>
      </c>
      <c r="J48" s="370">
        <f t="shared" si="8"/>
        <v>54303.8</v>
      </c>
      <c r="K48" s="370">
        <f t="shared" si="8"/>
        <v>54303.8</v>
      </c>
      <c r="L48" s="370">
        <f t="shared" si="8"/>
        <v>54303.8</v>
      </c>
      <c r="N48" s="353"/>
      <c r="Y48" s="7" cm="1">
        <f t="array" aca="1" ref="Y48" ca="1">CELL("protect",A48)</f>
        <v>1</v>
      </c>
      <c r="Z48" s="7" cm="1">
        <f t="array" aca="1" ref="Z48" ca="1">CELL("protect",B48)</f>
        <v>0</v>
      </c>
      <c r="AA48" s="7" cm="1">
        <f t="array" aca="1" ref="AA48" ca="1">CELL("protect",C48)</f>
        <v>0</v>
      </c>
      <c r="AB48" s="7" cm="1">
        <f t="array" aca="1" ref="AB48" ca="1">CELL("protect",D48)</f>
        <v>0</v>
      </c>
      <c r="AC48" s="7" cm="1">
        <f t="array" aca="1" ref="AC48" ca="1">CELL("protect",E48)</f>
        <v>1</v>
      </c>
      <c r="AD48" s="7" cm="1">
        <f t="array" aca="1" ref="AD48" ca="1">CELL("protect",F48)</f>
        <v>1</v>
      </c>
      <c r="AE48" s="7" cm="1">
        <f t="array" aca="1" ref="AE48" ca="1">CELL("protect",G48)</f>
        <v>1</v>
      </c>
      <c r="AF48" s="7" cm="1">
        <f t="array" aca="1" ref="AF48" ca="1">CELL("protect",H48)</f>
        <v>1</v>
      </c>
      <c r="AG48" s="7" cm="1">
        <f t="array" aca="1" ref="AG48" ca="1">CELL("protect",I48)</f>
        <v>1</v>
      </c>
      <c r="AH48" s="7" cm="1">
        <f t="array" aca="1" ref="AH48" ca="1">CELL("protect",J48)</f>
        <v>1</v>
      </c>
      <c r="AI48" s="7" cm="1">
        <f t="array" aca="1" ref="AI48" ca="1">CELL("protect",K48)</f>
        <v>1</v>
      </c>
      <c r="AJ48" s="7" cm="1">
        <f t="array" aca="1" ref="AJ48" ca="1">CELL("protect",L48)</f>
        <v>1</v>
      </c>
      <c r="AK48" s="7"/>
      <c r="AL48" s="7"/>
      <c r="AM48" s="7"/>
    </row>
    <row r="49" spans="1:39">
      <c r="A49" s="137">
        <f>ROW()</f>
        <v>49</v>
      </c>
      <c r="B49" s="364" t="s">
        <v>805</v>
      </c>
      <c r="C49" s="363"/>
      <c r="D49" s="954">
        <v>0.02</v>
      </c>
      <c r="E49" s="955"/>
      <c r="F49" s="365">
        <f t="shared" ref="F49:L49" si="9">+F48*((1+$D$49)^F7-1)</f>
        <v>0</v>
      </c>
      <c r="G49" s="365">
        <f t="shared" si="9"/>
        <v>1086.0760000000009</v>
      </c>
      <c r="H49" s="366">
        <f t="shared" si="9"/>
        <v>2193.8735199999996</v>
      </c>
      <c r="I49" s="366">
        <f t="shared" si="9"/>
        <v>3323.8269903999962</v>
      </c>
      <c r="J49" s="366">
        <f t="shared" si="9"/>
        <v>4476.3795302079989</v>
      </c>
      <c r="K49" s="366">
        <f t="shared" si="9"/>
        <v>5651.9831208121614</v>
      </c>
      <c r="L49" s="366">
        <f t="shared" si="9"/>
        <v>6851.0987832284072</v>
      </c>
      <c r="N49" s="353"/>
      <c r="Y49" s="7" cm="1">
        <f t="array" aca="1" ref="Y49" ca="1">CELL("protect",A49)</f>
        <v>1</v>
      </c>
      <c r="Z49" s="7" cm="1">
        <f t="array" aca="1" ref="Z49" ca="1">CELL("protect",B49)</f>
        <v>0</v>
      </c>
      <c r="AA49" s="7" cm="1">
        <f t="array" aca="1" ref="AA49" ca="1">CELL("protect",C49)</f>
        <v>0</v>
      </c>
      <c r="AB49" s="7" cm="1">
        <f t="array" aca="1" ref="AB49" ca="1">CELL("protect",D49)</f>
        <v>0</v>
      </c>
      <c r="AC49" s="7" cm="1">
        <f t="array" aca="1" ref="AC49" ca="1">CELL("protect",E49)</f>
        <v>1</v>
      </c>
      <c r="AD49" s="7" cm="1">
        <f t="array" aca="1" ref="AD49" ca="1">CELL("protect",F49)</f>
        <v>1</v>
      </c>
      <c r="AE49" s="7" cm="1">
        <f t="array" aca="1" ref="AE49" ca="1">CELL("protect",G49)</f>
        <v>1</v>
      </c>
      <c r="AF49" s="7" cm="1">
        <f t="array" aca="1" ref="AF49" ca="1">CELL("protect",H49)</f>
        <v>1</v>
      </c>
      <c r="AG49" s="7" cm="1">
        <f t="array" aca="1" ref="AG49" ca="1">CELL("protect",I49)</f>
        <v>1</v>
      </c>
      <c r="AH49" s="7" cm="1">
        <f t="array" aca="1" ref="AH49" ca="1">CELL("protect",J49)</f>
        <v>1</v>
      </c>
      <c r="AI49" s="7" cm="1">
        <f t="array" aca="1" ref="AI49" ca="1">CELL("protect",K49)</f>
        <v>1</v>
      </c>
      <c r="AJ49" s="7" cm="1">
        <f t="array" aca="1" ref="AJ49" ca="1">CELL("protect",L49)</f>
        <v>1</v>
      </c>
      <c r="AK49" s="7"/>
      <c r="AL49" s="7"/>
      <c r="AM49" s="7"/>
    </row>
    <row r="50" spans="1:39" ht="15.6">
      <c r="A50" s="137"/>
      <c r="D50" s="1317">
        <f>SUM(D9:D47)</f>
        <v>0</v>
      </c>
      <c r="E50" s="248">
        <f>SUM(E9:E47)</f>
        <v>325822.8</v>
      </c>
      <c r="F50" s="248">
        <f>SUM(F9:F47)</f>
        <v>0</v>
      </c>
      <c r="G50" s="248">
        <f t="shared" ref="G50:L50" si="10">SUM(G9:G47)+G49</f>
        <v>55389.876000000004</v>
      </c>
      <c r="H50" s="248">
        <f t="shared" si="10"/>
        <v>56497.673520000004</v>
      </c>
      <c r="I50" s="248">
        <f t="shared" si="10"/>
        <v>57627.6269904</v>
      </c>
      <c r="J50" s="248">
        <f t="shared" si="10"/>
        <v>58780.179530207999</v>
      </c>
      <c r="K50" s="248">
        <f t="shared" si="10"/>
        <v>59955.783120812164</v>
      </c>
      <c r="L50" s="248">
        <f t="shared" si="10"/>
        <v>61154.898783228411</v>
      </c>
      <c r="N50" s="353"/>
      <c r="Y50" s="7" cm="1">
        <f t="array" aca="1" ref="Y50" ca="1">CELL("protect",A50)</f>
        <v>1</v>
      </c>
      <c r="Z50" s="7" cm="1">
        <f t="array" aca="1" ref="Z50" ca="1">CELL("protect",B50)</f>
        <v>1</v>
      </c>
      <c r="AA50" s="7" cm="1">
        <f t="array" aca="1" ref="AA50" ca="1">CELL("protect",C50)</f>
        <v>1</v>
      </c>
      <c r="AB50" s="7" cm="1">
        <f t="array" aca="1" ref="AB50" ca="1">CELL("protect",D50)</f>
        <v>1</v>
      </c>
      <c r="AC50" s="7" cm="1">
        <f t="array" aca="1" ref="AC50" ca="1">CELL("protect",E50)</f>
        <v>1</v>
      </c>
      <c r="AD50" s="7" cm="1">
        <f t="array" aca="1" ref="AD50" ca="1">CELL("protect",F50)</f>
        <v>1</v>
      </c>
      <c r="AE50" s="7" cm="1">
        <f t="array" aca="1" ref="AE50" ca="1">CELL("protect",G50)</f>
        <v>1</v>
      </c>
      <c r="AF50" s="7" cm="1">
        <f t="array" aca="1" ref="AF50" ca="1">CELL("protect",H50)</f>
        <v>1</v>
      </c>
      <c r="AG50" s="7" cm="1">
        <f t="array" aca="1" ref="AG50" ca="1">CELL("protect",I50)</f>
        <v>1</v>
      </c>
      <c r="AH50" s="7" cm="1">
        <f t="array" aca="1" ref="AH50" ca="1">CELL("protect",J50)</f>
        <v>1</v>
      </c>
      <c r="AI50" s="7" cm="1">
        <f t="array" aca="1" ref="AI50" ca="1">CELL("protect",K50)</f>
        <v>1</v>
      </c>
      <c r="AJ50" s="7" cm="1">
        <f t="array" aca="1" ref="AJ50" ca="1">CELL("protect",L50)</f>
        <v>1</v>
      </c>
      <c r="AK50" s="7"/>
      <c r="AL50" s="7"/>
      <c r="AM50" s="7"/>
    </row>
    <row r="51" spans="1:39" ht="14.4">
      <c r="A51" s="137">
        <f t="shared" ref="A51:A72" si="11">ROW()-9</f>
        <v>42</v>
      </c>
      <c r="B51" s="192" t="s">
        <v>806</v>
      </c>
      <c r="Y51" s="7" cm="1">
        <f t="array" aca="1" ref="Y51" ca="1">CELL("protect",A51)</f>
        <v>1</v>
      </c>
      <c r="Z51" s="7" cm="1">
        <f t="array" aca="1" ref="Z51" ca="1">CELL("protect",B51)</f>
        <v>1</v>
      </c>
      <c r="AA51" s="7" cm="1">
        <f t="array" aca="1" ref="AA51" ca="1">CELL("protect",C51)</f>
        <v>1</v>
      </c>
      <c r="AB51" s="7" cm="1">
        <f t="array" aca="1" ref="AB51" ca="1">CELL("protect",D51)</f>
        <v>1</v>
      </c>
      <c r="AC51" s="7" cm="1">
        <f t="array" aca="1" ref="AC51" ca="1">CELL("protect",E51)</f>
        <v>1</v>
      </c>
      <c r="AD51" s="7" cm="1">
        <f t="array" aca="1" ref="AD51" ca="1">CELL("protect",F51)</f>
        <v>1</v>
      </c>
      <c r="AE51" s="7" cm="1">
        <f t="array" aca="1" ref="AE51" ca="1">CELL("protect",G51)</f>
        <v>1</v>
      </c>
      <c r="AF51" s="7" cm="1">
        <f t="array" aca="1" ref="AF51" ca="1">CELL("protect",H51)</f>
        <v>1</v>
      </c>
      <c r="AG51" s="7" cm="1">
        <f t="array" aca="1" ref="AG51" ca="1">CELL("protect",I51)</f>
        <v>1</v>
      </c>
      <c r="AH51" s="7" cm="1">
        <f t="array" aca="1" ref="AH51" ca="1">CELL("protect",J51)</f>
        <v>1</v>
      </c>
      <c r="AI51" s="7" cm="1">
        <f t="array" aca="1" ref="AI51" ca="1">CELL("protect",K51)</f>
        <v>1</v>
      </c>
      <c r="AJ51" s="7" cm="1">
        <f t="array" aca="1" ref="AJ51" ca="1">CELL("protect",L51)</f>
        <v>1</v>
      </c>
      <c r="AK51" s="7"/>
      <c r="AL51" s="7"/>
      <c r="AM51" s="7"/>
    </row>
    <row r="52" spans="1:39" ht="14.4">
      <c r="A52" s="137">
        <f t="shared" si="11"/>
        <v>43</v>
      </c>
      <c r="B52" s="192" t="s">
        <v>807</v>
      </c>
      <c r="Y52" s="7" cm="1">
        <f t="array" aca="1" ref="Y52" ca="1">CELL("protect",A52)</f>
        <v>1</v>
      </c>
      <c r="Z52" s="7" cm="1">
        <f t="array" aca="1" ref="Z52" ca="1">CELL("protect",B52)</f>
        <v>1</v>
      </c>
      <c r="AA52" s="7" cm="1">
        <f t="array" aca="1" ref="AA52" ca="1">CELL("protect",C52)</f>
        <v>1</v>
      </c>
      <c r="AB52" s="7" cm="1">
        <f t="array" aca="1" ref="AB52" ca="1">CELL("protect",D52)</f>
        <v>1</v>
      </c>
      <c r="AC52" s="7" cm="1">
        <f t="array" aca="1" ref="AC52" ca="1">CELL("protect",E52)</f>
        <v>1</v>
      </c>
      <c r="AD52" s="7" cm="1">
        <f t="array" aca="1" ref="AD52" ca="1">CELL("protect",F52)</f>
        <v>1</v>
      </c>
      <c r="AE52" s="7" cm="1">
        <f t="array" aca="1" ref="AE52" ca="1">CELL("protect",G52)</f>
        <v>1</v>
      </c>
      <c r="AF52" s="7" cm="1">
        <f t="array" aca="1" ref="AF52" ca="1">CELL("protect",H52)</f>
        <v>1</v>
      </c>
      <c r="AG52" s="7" cm="1">
        <f t="array" aca="1" ref="AG52" ca="1">CELL("protect",I52)</f>
        <v>1</v>
      </c>
      <c r="AH52" s="7" cm="1">
        <f t="array" aca="1" ref="AH52" ca="1">CELL("protect",J52)</f>
        <v>1</v>
      </c>
      <c r="AI52" s="7" cm="1">
        <f t="array" aca="1" ref="AI52" ca="1">CELL("protect",K52)</f>
        <v>1</v>
      </c>
      <c r="AJ52" s="7" cm="1">
        <f t="array" aca="1" ref="AJ52" ca="1">CELL("protect",L52)</f>
        <v>1</v>
      </c>
      <c r="AK52" s="7"/>
      <c r="AL52" s="7"/>
      <c r="AM52" s="7"/>
    </row>
    <row r="53" spans="1:39" ht="14.4">
      <c r="A53" s="137">
        <f t="shared" si="11"/>
        <v>44</v>
      </c>
      <c r="B53" s="192" t="s">
        <v>808</v>
      </c>
      <c r="G53" s="362"/>
      <c r="H53" s="362"/>
      <c r="I53" s="362"/>
      <c r="J53" s="362"/>
      <c r="K53" s="362"/>
      <c r="L53" s="362"/>
      <c r="Y53" s="7" cm="1">
        <f t="array" aca="1" ref="Y53" ca="1">CELL("protect",A53)</f>
        <v>1</v>
      </c>
      <c r="Z53" s="7" cm="1">
        <f t="array" aca="1" ref="Z53" ca="1">CELL("protect",B53)</f>
        <v>1</v>
      </c>
      <c r="AA53" s="7" cm="1">
        <f t="array" aca="1" ref="AA53" ca="1">CELL("protect",C53)</f>
        <v>1</v>
      </c>
      <c r="AB53" s="7" cm="1">
        <f t="array" aca="1" ref="AB53" ca="1">CELL("protect",D53)</f>
        <v>1</v>
      </c>
      <c r="AC53" s="7" cm="1">
        <f t="array" aca="1" ref="AC53" ca="1">CELL("protect",E53)</f>
        <v>1</v>
      </c>
      <c r="AD53" s="7" cm="1">
        <f t="array" aca="1" ref="AD53" ca="1">CELL("protect",F53)</f>
        <v>1</v>
      </c>
      <c r="AE53" s="7" cm="1">
        <f t="array" aca="1" ref="AE53" ca="1">CELL("protect",G53)</f>
        <v>1</v>
      </c>
      <c r="AF53" s="7" cm="1">
        <f t="array" aca="1" ref="AF53" ca="1">CELL("protect",H53)</f>
        <v>1</v>
      </c>
      <c r="AG53" s="7" cm="1">
        <f t="array" aca="1" ref="AG53" ca="1">CELL("protect",I53)</f>
        <v>1</v>
      </c>
      <c r="AH53" s="7" cm="1">
        <f t="array" aca="1" ref="AH53" ca="1">CELL("protect",J53)</f>
        <v>1</v>
      </c>
      <c r="AI53" s="7" cm="1">
        <f t="array" aca="1" ref="AI53" ca="1">CELL("protect",K53)</f>
        <v>1</v>
      </c>
      <c r="AJ53" s="7" cm="1">
        <f t="array" aca="1" ref="AJ53" ca="1">CELL("protect",L53)</f>
        <v>1</v>
      </c>
      <c r="AK53" s="7"/>
      <c r="AL53" s="7"/>
      <c r="AM53" s="7"/>
    </row>
    <row r="54" spans="1:39">
      <c r="A54" s="137">
        <f t="shared" si="11"/>
        <v>45</v>
      </c>
      <c r="Y54" s="7" cm="1">
        <f t="array" aca="1" ref="Y54" ca="1">CELL("protect",A54)</f>
        <v>1</v>
      </c>
      <c r="Z54" s="7" cm="1">
        <f t="array" aca="1" ref="Z54" ca="1">CELL("protect",B54)</f>
        <v>1</v>
      </c>
      <c r="AA54" s="7" cm="1">
        <f t="array" aca="1" ref="AA54" ca="1">CELL("protect",C54)</f>
        <v>1</v>
      </c>
      <c r="AB54" s="7" cm="1">
        <f t="array" aca="1" ref="AB54" ca="1">CELL("protect",D54)</f>
        <v>1</v>
      </c>
      <c r="AC54" s="7" cm="1">
        <f t="array" aca="1" ref="AC54" ca="1">CELL("protect",E54)</f>
        <v>1</v>
      </c>
      <c r="AD54" s="7" cm="1">
        <f t="array" aca="1" ref="AD54" ca="1">CELL("protect",F54)</f>
        <v>1</v>
      </c>
      <c r="AE54" s="7" cm="1">
        <f t="array" aca="1" ref="AE54" ca="1">CELL("protect",G54)</f>
        <v>1</v>
      </c>
      <c r="AF54" s="7" cm="1">
        <f t="array" aca="1" ref="AF54" ca="1">CELL("protect",H54)</f>
        <v>1</v>
      </c>
      <c r="AG54" s="7" cm="1">
        <f t="array" aca="1" ref="AG54" ca="1">CELL("protect",I54)</f>
        <v>1</v>
      </c>
      <c r="AH54" s="7" cm="1">
        <f t="array" aca="1" ref="AH54" ca="1">CELL("protect",J54)</f>
        <v>1</v>
      </c>
      <c r="AI54" s="7" cm="1">
        <f t="array" aca="1" ref="AI54" ca="1">CELL("protect",K54)</f>
        <v>1</v>
      </c>
      <c r="AJ54" s="7" cm="1">
        <f t="array" aca="1" ref="AJ54" ca="1">CELL("protect",L54)</f>
        <v>1</v>
      </c>
      <c r="AK54" s="7"/>
      <c r="AL54" s="7"/>
      <c r="AM54" s="7"/>
    </row>
    <row r="55" spans="1:39">
      <c r="A55" s="137">
        <f t="shared" si="11"/>
        <v>46</v>
      </c>
    </row>
    <row r="56" spans="1:39">
      <c r="A56" s="137">
        <f t="shared" si="11"/>
        <v>47</v>
      </c>
    </row>
    <row r="57" spans="1:39">
      <c r="A57" s="137">
        <f t="shared" si="11"/>
        <v>48</v>
      </c>
    </row>
    <row r="58" spans="1:39">
      <c r="A58" s="137">
        <f t="shared" si="11"/>
        <v>49</v>
      </c>
    </row>
    <row r="59" spans="1:39">
      <c r="A59" s="137">
        <f t="shared" si="11"/>
        <v>50</v>
      </c>
    </row>
    <row r="60" spans="1:39">
      <c r="A60" s="137">
        <f t="shared" si="11"/>
        <v>51</v>
      </c>
    </row>
    <row r="61" spans="1:39">
      <c r="A61" s="137">
        <f t="shared" si="11"/>
        <v>52</v>
      </c>
    </row>
    <row r="62" spans="1:39">
      <c r="A62" s="137">
        <f t="shared" si="11"/>
        <v>53</v>
      </c>
    </row>
    <row r="63" spans="1:39">
      <c r="A63" s="137">
        <f t="shared" si="11"/>
        <v>54</v>
      </c>
    </row>
    <row r="64" spans="1:39">
      <c r="A64" s="137">
        <f t="shared" si="11"/>
        <v>55</v>
      </c>
    </row>
    <row r="65" spans="1:1">
      <c r="A65" s="137">
        <f t="shared" si="11"/>
        <v>56</v>
      </c>
    </row>
    <row r="66" spans="1:1">
      <c r="A66" s="137">
        <f t="shared" si="11"/>
        <v>57</v>
      </c>
    </row>
    <row r="67" spans="1:1">
      <c r="A67" s="137">
        <f t="shared" si="11"/>
        <v>58</v>
      </c>
    </row>
    <row r="68" spans="1:1">
      <c r="A68" s="137">
        <f t="shared" si="11"/>
        <v>59</v>
      </c>
    </row>
    <row r="69" spans="1:1">
      <c r="A69" s="137">
        <f t="shared" si="11"/>
        <v>60</v>
      </c>
    </row>
    <row r="70" spans="1:1">
      <c r="A70" s="137">
        <f t="shared" si="11"/>
        <v>61</v>
      </c>
    </row>
    <row r="71" spans="1:1">
      <c r="A71" s="137">
        <f t="shared" si="11"/>
        <v>62</v>
      </c>
    </row>
    <row r="72" spans="1:1">
      <c r="A72" s="137">
        <f t="shared" si="11"/>
        <v>63</v>
      </c>
    </row>
    <row r="73" spans="1:1">
      <c r="A73" s="137">
        <f t="shared" ref="A73:A99" si="12">ROW()-9</f>
        <v>64</v>
      </c>
    </row>
    <row r="74" spans="1:1">
      <c r="A74" s="137">
        <f t="shared" si="12"/>
        <v>65</v>
      </c>
    </row>
    <row r="75" spans="1:1">
      <c r="A75" s="137">
        <f t="shared" si="12"/>
        <v>66</v>
      </c>
    </row>
    <row r="76" spans="1:1">
      <c r="A76" s="137">
        <f t="shared" si="12"/>
        <v>67</v>
      </c>
    </row>
    <row r="77" spans="1:1">
      <c r="A77" s="137">
        <f t="shared" si="12"/>
        <v>68</v>
      </c>
    </row>
    <row r="78" spans="1:1">
      <c r="A78" s="137">
        <f t="shared" si="12"/>
        <v>69</v>
      </c>
    </row>
    <row r="79" spans="1:1">
      <c r="A79" s="137">
        <f t="shared" si="12"/>
        <v>70</v>
      </c>
    </row>
    <row r="80" spans="1:1">
      <c r="A80" s="137">
        <f t="shared" si="12"/>
        <v>71</v>
      </c>
    </row>
    <row r="81" spans="1:1">
      <c r="A81" s="137">
        <f t="shared" si="12"/>
        <v>72</v>
      </c>
    </row>
    <row r="82" spans="1:1">
      <c r="A82" s="137">
        <f t="shared" si="12"/>
        <v>73</v>
      </c>
    </row>
    <row r="83" spans="1:1">
      <c r="A83" s="137">
        <f t="shared" si="12"/>
        <v>74</v>
      </c>
    </row>
    <row r="84" spans="1:1">
      <c r="A84" s="137">
        <f t="shared" si="12"/>
        <v>75</v>
      </c>
    </row>
    <row r="85" spans="1:1">
      <c r="A85" s="137">
        <f t="shared" si="12"/>
        <v>76</v>
      </c>
    </row>
    <row r="86" spans="1:1">
      <c r="A86" s="137">
        <f t="shared" si="12"/>
        <v>77</v>
      </c>
    </row>
    <row r="87" spans="1:1">
      <c r="A87" s="137">
        <f t="shared" si="12"/>
        <v>78</v>
      </c>
    </row>
    <row r="88" spans="1:1">
      <c r="A88" s="137">
        <f t="shared" si="12"/>
        <v>79</v>
      </c>
    </row>
    <row r="89" spans="1:1">
      <c r="A89" s="137">
        <f t="shared" si="12"/>
        <v>80</v>
      </c>
    </row>
    <row r="90" spans="1:1">
      <c r="A90" s="137">
        <f t="shared" si="12"/>
        <v>81</v>
      </c>
    </row>
    <row r="91" spans="1:1">
      <c r="A91" s="137">
        <f t="shared" si="12"/>
        <v>82</v>
      </c>
    </row>
    <row r="92" spans="1:1">
      <c r="A92" s="137">
        <f t="shared" si="12"/>
        <v>83</v>
      </c>
    </row>
    <row r="93" spans="1:1">
      <c r="A93" s="137">
        <f t="shared" si="12"/>
        <v>84</v>
      </c>
    </row>
    <row r="94" spans="1:1">
      <c r="A94" s="137">
        <f t="shared" si="12"/>
        <v>85</v>
      </c>
    </row>
    <row r="95" spans="1:1">
      <c r="A95" s="137">
        <f t="shared" si="12"/>
        <v>86</v>
      </c>
    </row>
    <row r="96" spans="1:1">
      <c r="A96" s="137">
        <f t="shared" si="12"/>
        <v>87</v>
      </c>
    </row>
    <row r="97" spans="1:1">
      <c r="A97" s="137">
        <f t="shared" si="12"/>
        <v>88</v>
      </c>
    </row>
    <row r="98" spans="1:1">
      <c r="A98" s="137">
        <f t="shared" si="12"/>
        <v>89</v>
      </c>
    </row>
    <row r="99" spans="1:1">
      <c r="A99" s="137">
        <f t="shared" si="12"/>
        <v>90</v>
      </c>
    </row>
  </sheetData>
  <sheetProtection algorithmName="SHA-512" hashValue="PnX/ehZ/X18M7QI5kIPJKuGCuMDial5MGoSCNfYMiPYPKRD+kIseHeNYXzYCPpSRkUZL3Duj4eVbhlDg4xUMLg==" saltValue="HGHJ3n22eOoCziCYHWUeNQ==" spinCount="100000" sheet="1" objects="1" scenarios="1"/>
  <conditionalFormatting sqref="C1">
    <cfRule type="expression" dxfId="579" priority="4" stopIfTrue="1">
      <formula>MOD(ROW(),2)=0</formula>
    </cfRule>
  </conditionalFormatting>
  <conditionalFormatting sqref="Y1:AM54">
    <cfRule type="cellIs" dxfId="578" priority="3" stopIfTrue="1" operator="equal">
      <formula>0</formula>
    </cfRule>
  </conditionalFormatting>
  <hyperlinks>
    <hyperlink ref="C1" location="HypLink1" display="HypLink1" xr:uid="{AC32C744-B1F5-4D26-8E2F-8A9254C786B3}"/>
  </hyperlinks>
  <pageMargins left="0.25" right="0.25" top="0.5" bottom="0.45" header="0.25" footer="0.25"/>
  <pageSetup scale="67" fitToHeight="2" orientation="landscape" r:id="rId1"/>
  <headerFooter>
    <oddHeader xml:space="preserve">&amp;L &amp;C &amp;R </oddHeader>
    <oddFooter>&amp;L&amp;7&amp;D  at &amp;T Mike 702.486.8879&amp;C&amp;7&amp;F  &amp;A&amp;R&amp;7Page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D17B-7BC8-42CA-9311-0161D4784E15}">
  <sheetPr codeName="Sheet8">
    <tabColor rgb="FFFFFF00"/>
  </sheetPr>
  <dimension ref="A1:P47"/>
  <sheetViews>
    <sheetView topLeftCell="A24" workbookViewId="0">
      <selection activeCell="H38" sqref="H38"/>
    </sheetView>
  </sheetViews>
  <sheetFormatPr defaultColWidth="8.88671875" defaultRowHeight="13.8"/>
  <cols>
    <col min="1" max="1" width="6.6640625" style="35" bestFit="1" customWidth="1"/>
    <col min="2" max="2" width="29.33203125" style="35" customWidth="1"/>
    <col min="3" max="3" width="12.5546875" style="35" customWidth="1"/>
    <col min="4" max="4" width="9.44140625" style="35" customWidth="1"/>
    <col min="5" max="5" width="7.33203125" style="35" customWidth="1"/>
    <col min="6" max="6" width="10.44140625" style="35" customWidth="1"/>
    <col min="7" max="7" width="11" style="35" customWidth="1"/>
    <col min="8" max="14" width="14.6640625" style="35" customWidth="1"/>
    <col min="15" max="15" width="3.44140625" style="35" customWidth="1"/>
    <col min="16" max="16" width="76.5546875" style="317" customWidth="1"/>
    <col min="17" max="18" width="10.5546875" style="35" bestFit="1" customWidth="1"/>
    <col min="19" max="19" width="20.109375" style="35" customWidth="1"/>
    <col min="20" max="16384" width="8.88671875" style="35"/>
  </cols>
  <sheetData>
    <row r="1" spans="1:16" ht="24" customHeight="1">
      <c r="A1" s="2219" t="s">
        <v>1480</v>
      </c>
      <c r="B1" s="2219"/>
      <c r="C1" s="2219"/>
      <c r="D1" s="2219"/>
      <c r="E1" s="67"/>
      <c r="F1" s="270"/>
      <c r="G1" s="438" t="s">
        <v>2</v>
      </c>
    </row>
    <row r="2" spans="1:16" ht="15.6">
      <c r="A2" s="121" t="str">
        <f>SchoolName</f>
        <v>Eagle Charter Schools of Nevada</v>
      </c>
      <c r="B2" s="122"/>
      <c r="C2" s="121"/>
      <c r="D2" s="122"/>
      <c r="E2" s="67"/>
      <c r="F2" s="34"/>
    </row>
    <row r="3" spans="1:16">
      <c r="A3" s="41" t="s">
        <v>72</v>
      </c>
    </row>
    <row r="4" spans="1:16">
      <c r="A4" s="42" t="s">
        <v>73</v>
      </c>
    </row>
    <row r="5" spans="1:16">
      <c r="A5" s="32" t="str">
        <f ca="1">CELL("filename")</f>
        <v>C:\Users\Nicho\Desktop\[Attachment 2.  Eagle NV RFA 12.16.22.xlsx]CF Y1 Mo</v>
      </c>
    </row>
    <row r="7" spans="1:16">
      <c r="A7" s="66"/>
      <c r="B7" s="33"/>
    </row>
    <row r="8" spans="1:16">
      <c r="A8" s="66"/>
      <c r="B8" s="33"/>
    </row>
    <row r="9" spans="1:16">
      <c r="A9" s="66"/>
      <c r="B9" s="33"/>
    </row>
    <row r="10" spans="1:16">
      <c r="A10" s="66"/>
      <c r="H10" s="958"/>
      <c r="I10" s="958" t="s">
        <v>809</v>
      </c>
      <c r="J10" s="959"/>
      <c r="K10" s="959"/>
      <c r="L10" s="959"/>
      <c r="M10" s="959"/>
      <c r="N10" s="960"/>
      <c r="P10" s="1615" t="s">
        <v>95</v>
      </c>
    </row>
    <row r="11" spans="1:16">
      <c r="A11" s="66"/>
      <c r="H11" s="770" t="s">
        <v>810</v>
      </c>
      <c r="I11" s="770" t="s">
        <v>716</v>
      </c>
      <c r="J11" s="961" t="s">
        <v>717</v>
      </c>
      <c r="K11" s="961" t="s">
        <v>718</v>
      </c>
      <c r="L11" s="961" t="s">
        <v>719</v>
      </c>
      <c r="M11" s="961" t="s">
        <v>720</v>
      </c>
      <c r="N11" s="962" t="s">
        <v>721</v>
      </c>
      <c r="P11" s="491"/>
    </row>
    <row r="12" spans="1:16" ht="15.6">
      <c r="A12" s="509"/>
      <c r="F12" s="68"/>
      <c r="G12" s="68"/>
      <c r="H12" s="963">
        <f>+I12-1</f>
        <v>2022</v>
      </c>
      <c r="I12" s="964">
        <f>Cover!E11</f>
        <v>2023</v>
      </c>
      <c r="J12" s="965">
        <f>+I13</f>
        <v>2024</v>
      </c>
      <c r="K12" s="965">
        <f>+J13</f>
        <v>2025</v>
      </c>
      <c r="L12" s="965">
        <f>+K13</f>
        <v>2026</v>
      </c>
      <c r="M12" s="965">
        <f>+L13</f>
        <v>2027</v>
      </c>
      <c r="N12" s="966">
        <f>+M13</f>
        <v>2028</v>
      </c>
      <c r="P12" s="353"/>
    </row>
    <row r="13" spans="1:16" ht="15.6">
      <c r="A13" s="509"/>
      <c r="F13" s="69"/>
      <c r="G13" s="69"/>
      <c r="H13" s="797">
        <f>+I13-1</f>
        <v>2023</v>
      </c>
      <c r="I13" s="797">
        <f t="shared" ref="I13:N13" si="0">+I12+1</f>
        <v>2024</v>
      </c>
      <c r="J13" s="798">
        <f t="shared" si="0"/>
        <v>2025</v>
      </c>
      <c r="K13" s="798">
        <f t="shared" si="0"/>
        <v>2026</v>
      </c>
      <c r="L13" s="798">
        <f t="shared" si="0"/>
        <v>2027</v>
      </c>
      <c r="M13" s="798">
        <f t="shared" si="0"/>
        <v>2028</v>
      </c>
      <c r="N13" s="799">
        <f t="shared" si="0"/>
        <v>2029</v>
      </c>
      <c r="P13" s="353"/>
    </row>
    <row r="14" spans="1:16" ht="17.399999999999999">
      <c r="A14" s="509">
        <f>ROW()</f>
        <v>14</v>
      </c>
      <c r="B14" s="800" t="s">
        <v>208</v>
      </c>
      <c r="C14" s="801"/>
      <c r="D14" s="758"/>
      <c r="E14" s="758"/>
      <c r="F14" s="802"/>
      <c r="G14" s="802"/>
      <c r="H14" s="255"/>
      <c r="I14" s="256"/>
      <c r="J14" s="256"/>
      <c r="K14" s="256"/>
      <c r="L14" s="256"/>
      <c r="M14" s="256"/>
      <c r="N14" s="256"/>
      <c r="P14" s="353"/>
    </row>
    <row r="15" spans="1:16">
      <c r="A15" s="509">
        <f>ROW()</f>
        <v>15</v>
      </c>
      <c r="B15" s="758" t="s">
        <v>209</v>
      </c>
      <c r="C15" s="803"/>
      <c r="D15" s="758"/>
      <c r="E15" s="758"/>
      <c r="F15" s="758"/>
      <c r="G15" s="758"/>
      <c r="H15" s="957">
        <v>0</v>
      </c>
      <c r="I15" s="523">
        <f t="shared" ref="I15:N15" si="1">COUNTIF(I18:I30,"&gt;0")</f>
        <v>6</v>
      </c>
      <c r="J15" s="523">
        <f t="shared" si="1"/>
        <v>7</v>
      </c>
      <c r="K15" s="523">
        <f t="shared" si="1"/>
        <v>8</v>
      </c>
      <c r="L15" s="523">
        <f t="shared" si="1"/>
        <v>9</v>
      </c>
      <c r="M15" s="523">
        <f t="shared" si="1"/>
        <v>9</v>
      </c>
      <c r="N15" s="523">
        <f t="shared" si="1"/>
        <v>9</v>
      </c>
      <c r="P15" s="353"/>
    </row>
    <row r="16" spans="1:16">
      <c r="A16" s="509">
        <f>ROW()</f>
        <v>16</v>
      </c>
      <c r="B16" s="64" t="s">
        <v>210</v>
      </c>
      <c r="C16" s="804"/>
      <c r="D16" s="64"/>
      <c r="E16" s="64"/>
      <c r="F16" s="64"/>
      <c r="G16" s="64"/>
      <c r="H16" s="900">
        <v>0</v>
      </c>
      <c r="I16" s="523">
        <f>+' Enrol &amp; Rev'!G18</f>
        <v>20</v>
      </c>
      <c r="J16" s="523">
        <f>+' Enrol &amp; Rev'!H18</f>
        <v>24</v>
      </c>
      <c r="K16" s="523">
        <f>+' Enrol &amp; Rev'!I18</f>
        <v>28</v>
      </c>
      <c r="L16" s="523">
        <f>+' Enrol &amp; Rev'!J18</f>
        <v>32</v>
      </c>
      <c r="M16" s="523">
        <f>+' Enrol &amp; Rev'!K18</f>
        <v>33</v>
      </c>
      <c r="N16" s="523">
        <f>+' Enrol &amp; Rev'!L18</f>
        <v>34</v>
      </c>
      <c r="P16" s="353"/>
    </row>
    <row r="17" spans="1:16">
      <c r="A17" s="509">
        <f>ROW()</f>
        <v>17</v>
      </c>
      <c r="B17" s="43"/>
      <c r="C17" s="1354"/>
      <c r="D17" s="316"/>
      <c r="E17" s="316"/>
      <c r="F17" s="269"/>
      <c r="G17" s="269"/>
      <c r="H17" s="269"/>
      <c r="I17" s="269"/>
      <c r="J17" s="269"/>
      <c r="K17" s="269"/>
      <c r="L17" s="269"/>
      <c r="M17" s="269"/>
      <c r="N17" s="269"/>
      <c r="P17" s="353"/>
    </row>
    <row r="18" spans="1:16">
      <c r="A18" s="509">
        <f>ROW()</f>
        <v>18</v>
      </c>
      <c r="B18" s="151" t="s">
        <v>211</v>
      </c>
      <c r="C18" s="70"/>
      <c r="D18" s="43"/>
      <c r="E18" s="43"/>
      <c r="H18" s="897"/>
      <c r="I18" s="641">
        <f>+'Mkt Res'!E14</f>
        <v>108</v>
      </c>
      <c r="J18" s="641">
        <f>+'Mkt Res'!F14</f>
        <v>108</v>
      </c>
      <c r="K18" s="641">
        <f>+'Mkt Res'!G14</f>
        <v>108</v>
      </c>
      <c r="L18" s="641">
        <f>+'Mkt Res'!H14</f>
        <v>108</v>
      </c>
      <c r="M18" s="641">
        <f>+'Mkt Res'!I14</f>
        <v>108</v>
      </c>
      <c r="N18" s="641">
        <f>+'Mkt Res'!J14</f>
        <v>108</v>
      </c>
      <c r="P18" s="353"/>
    </row>
    <row r="19" spans="1:16">
      <c r="A19" s="509">
        <f>ROW()</f>
        <v>19</v>
      </c>
      <c r="B19" s="72" t="s">
        <v>212</v>
      </c>
      <c r="C19" s="73"/>
      <c r="D19" s="72"/>
      <c r="E19" s="72"/>
      <c r="F19" s="74"/>
      <c r="G19" s="74"/>
      <c r="H19" s="898"/>
      <c r="I19" s="640">
        <f>+'Mkt Res'!E15</f>
        <v>108</v>
      </c>
      <c r="J19" s="640">
        <f>+'Mkt Res'!F15</f>
        <v>108</v>
      </c>
      <c r="K19" s="640">
        <f>+'Mkt Res'!G15</f>
        <v>108</v>
      </c>
      <c r="L19" s="640">
        <f>+'Mkt Res'!H15</f>
        <v>108</v>
      </c>
      <c r="M19" s="640">
        <f>+'Mkt Res'!I15</f>
        <v>108</v>
      </c>
      <c r="N19" s="640">
        <f>+'Mkt Res'!J15</f>
        <v>108</v>
      </c>
      <c r="P19" s="353"/>
    </row>
    <row r="20" spans="1:16">
      <c r="A20" s="509">
        <f>ROW()</f>
        <v>20</v>
      </c>
      <c r="B20" s="72" t="s">
        <v>213</v>
      </c>
      <c r="C20" s="73"/>
      <c r="D20" s="72"/>
      <c r="E20" s="72"/>
      <c r="F20" s="74"/>
      <c r="G20" s="74"/>
      <c r="H20" s="898"/>
      <c r="I20" s="640">
        <f>+'Mkt Res'!E16</f>
        <v>81</v>
      </c>
      <c r="J20" s="640">
        <f>+'Mkt Res'!F16</f>
        <v>108</v>
      </c>
      <c r="K20" s="640">
        <f>+'Mkt Res'!G16</f>
        <v>108</v>
      </c>
      <c r="L20" s="640">
        <f>+'Mkt Res'!H16</f>
        <v>108</v>
      </c>
      <c r="M20" s="640">
        <f>+'Mkt Res'!I16</f>
        <v>108</v>
      </c>
      <c r="N20" s="640">
        <f>+'Mkt Res'!J16</f>
        <v>108</v>
      </c>
      <c r="P20" s="353"/>
    </row>
    <row r="21" spans="1:16">
      <c r="A21" s="509">
        <f>ROW()</f>
        <v>21</v>
      </c>
      <c r="B21" s="72" t="s">
        <v>214</v>
      </c>
      <c r="C21" s="73"/>
      <c r="D21" s="72"/>
      <c r="E21" s="72"/>
      <c r="F21" s="74"/>
      <c r="G21" s="74"/>
      <c r="H21" s="898"/>
      <c r="I21" s="640">
        <f>+'Mkt Res'!E17</f>
        <v>81</v>
      </c>
      <c r="J21" s="640">
        <f>+'Mkt Res'!F17</f>
        <v>81</v>
      </c>
      <c r="K21" s="640">
        <f>+'Mkt Res'!G17</f>
        <v>108</v>
      </c>
      <c r="L21" s="640">
        <f>+'Mkt Res'!H17</f>
        <v>108</v>
      </c>
      <c r="M21" s="640">
        <f>+'Mkt Res'!I17</f>
        <v>108</v>
      </c>
      <c r="N21" s="640">
        <f>+'Mkt Res'!J17</f>
        <v>108</v>
      </c>
      <c r="P21" s="353"/>
    </row>
    <row r="22" spans="1:16">
      <c r="A22" s="509">
        <f>ROW()</f>
        <v>22</v>
      </c>
      <c r="B22" s="72" t="s">
        <v>215</v>
      </c>
      <c r="C22" s="73"/>
      <c r="D22" s="72"/>
      <c r="E22" s="72"/>
      <c r="F22" s="74"/>
      <c r="G22" s="74"/>
      <c r="H22" s="898"/>
      <c r="I22" s="640">
        <f>+'Mkt Res'!E18</f>
        <v>81</v>
      </c>
      <c r="J22" s="640">
        <f>+'Mkt Res'!F18</f>
        <v>81</v>
      </c>
      <c r="K22" s="640">
        <f>+'Mkt Res'!G18</f>
        <v>81</v>
      </c>
      <c r="L22" s="640">
        <f>+'Mkt Res'!H18</f>
        <v>108</v>
      </c>
      <c r="M22" s="640">
        <f>+'Mkt Res'!I18</f>
        <v>108</v>
      </c>
      <c r="N22" s="640">
        <f>+'Mkt Res'!J18</f>
        <v>108</v>
      </c>
      <c r="P22" s="353"/>
    </row>
    <row r="23" spans="1:16">
      <c r="A23" s="509">
        <f>ROW()</f>
        <v>23</v>
      </c>
      <c r="B23" s="72" t="s">
        <v>216</v>
      </c>
      <c r="C23" s="73"/>
      <c r="D23" s="72"/>
      <c r="E23" s="72"/>
      <c r="F23" s="74"/>
      <c r="G23" s="74"/>
      <c r="H23" s="898"/>
      <c r="I23" s="640">
        <f>+'Mkt Res'!E19</f>
        <v>81</v>
      </c>
      <c r="J23" s="640">
        <f>+'Mkt Res'!F19</f>
        <v>81</v>
      </c>
      <c r="K23" s="640">
        <f>+'Mkt Res'!G19</f>
        <v>81</v>
      </c>
      <c r="L23" s="640">
        <f>+'Mkt Res'!H19</f>
        <v>81</v>
      </c>
      <c r="M23" s="640">
        <f>+'Mkt Res'!I19</f>
        <v>108</v>
      </c>
      <c r="N23" s="640">
        <f>+'Mkt Res'!J19</f>
        <v>108</v>
      </c>
      <c r="P23" s="353"/>
    </row>
    <row r="24" spans="1:16">
      <c r="A24" s="509">
        <f>ROW()</f>
        <v>24</v>
      </c>
      <c r="B24" s="72" t="s">
        <v>217</v>
      </c>
      <c r="C24" s="73"/>
      <c r="D24" s="72"/>
      <c r="E24" s="72"/>
      <c r="F24" s="74"/>
      <c r="G24" s="74"/>
      <c r="H24" s="898"/>
      <c r="I24" s="640">
        <f>+'Mkt Res'!E20</f>
        <v>0</v>
      </c>
      <c r="J24" s="640">
        <f>+'Mkt Res'!F20</f>
        <v>81</v>
      </c>
      <c r="K24" s="640">
        <f>+'Mkt Res'!G20</f>
        <v>81</v>
      </c>
      <c r="L24" s="640">
        <f>+'Mkt Res'!H20</f>
        <v>81</v>
      </c>
      <c r="M24" s="640">
        <f>+'Mkt Res'!I20</f>
        <v>81</v>
      </c>
      <c r="N24" s="640">
        <f>+'Mkt Res'!J20</f>
        <v>108</v>
      </c>
      <c r="P24" s="353"/>
    </row>
    <row r="25" spans="1:16">
      <c r="A25" s="509">
        <f>ROW()</f>
        <v>25</v>
      </c>
      <c r="B25" s="72" t="s">
        <v>218</v>
      </c>
      <c r="C25" s="73"/>
      <c r="D25" s="72"/>
      <c r="E25" s="72"/>
      <c r="F25" s="74"/>
      <c r="G25" s="74"/>
      <c r="H25" s="898"/>
      <c r="I25" s="640">
        <f>+'Mkt Res'!E21</f>
        <v>0</v>
      </c>
      <c r="J25" s="640">
        <f>+'Mkt Res'!F21</f>
        <v>0</v>
      </c>
      <c r="K25" s="640">
        <f>+'Mkt Res'!G21</f>
        <v>81</v>
      </c>
      <c r="L25" s="640">
        <f>+'Mkt Res'!H21</f>
        <v>81</v>
      </c>
      <c r="M25" s="640">
        <f>+'Mkt Res'!I21</f>
        <v>81</v>
      </c>
      <c r="N25" s="640">
        <f>+'Mkt Res'!J21</f>
        <v>81</v>
      </c>
      <c r="P25" s="353"/>
    </row>
    <row r="26" spans="1:16">
      <c r="A26" s="509">
        <f>ROW()</f>
        <v>26</v>
      </c>
      <c r="B26" s="72" t="s">
        <v>219</v>
      </c>
      <c r="C26" s="73"/>
      <c r="D26" s="72"/>
      <c r="E26" s="72"/>
      <c r="F26" s="74"/>
      <c r="G26" s="74"/>
      <c r="H26" s="898"/>
      <c r="I26" s="640">
        <f>+'Mkt Res'!E22</f>
        <v>0</v>
      </c>
      <c r="J26" s="640">
        <f>+'Mkt Res'!F22</f>
        <v>0</v>
      </c>
      <c r="K26" s="640">
        <f>+'Mkt Res'!G22</f>
        <v>0</v>
      </c>
      <c r="L26" s="640">
        <f>+'Mkt Res'!H22</f>
        <v>81</v>
      </c>
      <c r="M26" s="640">
        <f>+'Mkt Res'!I22</f>
        <v>81</v>
      </c>
      <c r="N26" s="640">
        <f>+'Mkt Res'!J22</f>
        <v>81</v>
      </c>
      <c r="P26" s="353"/>
    </row>
    <row r="27" spans="1:16">
      <c r="A27" s="509">
        <f>ROW()</f>
        <v>27</v>
      </c>
      <c r="B27" s="72" t="s">
        <v>220</v>
      </c>
      <c r="C27" s="73"/>
      <c r="D27" s="72"/>
      <c r="E27" s="72"/>
      <c r="F27" s="74"/>
      <c r="G27" s="74"/>
      <c r="H27" s="898"/>
      <c r="I27" s="640">
        <f>+'Mkt Res'!E23</f>
        <v>0</v>
      </c>
      <c r="J27" s="640">
        <f>+'Mkt Res'!F23</f>
        <v>0</v>
      </c>
      <c r="K27" s="640">
        <f>+'Mkt Res'!G23</f>
        <v>0</v>
      </c>
      <c r="L27" s="640">
        <f>+'Mkt Res'!H23</f>
        <v>0</v>
      </c>
      <c r="M27" s="640">
        <f>+'Mkt Res'!I23</f>
        <v>0</v>
      </c>
      <c r="N27" s="640">
        <f>+'Mkt Res'!J23</f>
        <v>0</v>
      </c>
      <c r="P27" s="353"/>
    </row>
    <row r="28" spans="1:16">
      <c r="A28" s="509">
        <f>ROW()</f>
        <v>28</v>
      </c>
      <c r="B28" s="72" t="s">
        <v>221</v>
      </c>
      <c r="C28" s="73"/>
      <c r="D28" s="72"/>
      <c r="E28" s="72"/>
      <c r="F28" s="74"/>
      <c r="G28" s="74"/>
      <c r="H28" s="898"/>
      <c r="I28" s="640">
        <f>+'Mkt Res'!E24</f>
        <v>0</v>
      </c>
      <c r="J28" s="640">
        <f>+'Mkt Res'!F24</f>
        <v>0</v>
      </c>
      <c r="K28" s="640">
        <f>+'Mkt Res'!G24</f>
        <v>0</v>
      </c>
      <c r="L28" s="640">
        <f>+'Mkt Res'!H24</f>
        <v>0</v>
      </c>
      <c r="M28" s="640">
        <f>+'Mkt Res'!I24</f>
        <v>0</v>
      </c>
      <c r="N28" s="640">
        <f>+'Mkt Res'!J24</f>
        <v>0</v>
      </c>
      <c r="P28" s="353"/>
    </row>
    <row r="29" spans="1:16">
      <c r="A29" s="509">
        <f>ROW()</f>
        <v>29</v>
      </c>
      <c r="B29" s="72" t="s">
        <v>222</v>
      </c>
      <c r="C29" s="73"/>
      <c r="D29" s="72"/>
      <c r="E29" s="72"/>
      <c r="F29" s="74"/>
      <c r="G29" s="74"/>
      <c r="H29" s="898"/>
      <c r="I29" s="640">
        <f>+'Mkt Res'!E25</f>
        <v>0</v>
      </c>
      <c r="J29" s="640">
        <f>+'Mkt Res'!F25</f>
        <v>0</v>
      </c>
      <c r="K29" s="640">
        <f>+'Mkt Res'!G25</f>
        <v>0</v>
      </c>
      <c r="L29" s="640">
        <f>+'Mkt Res'!H25</f>
        <v>0</v>
      </c>
      <c r="M29" s="640">
        <f>+'Mkt Res'!I25</f>
        <v>0</v>
      </c>
      <c r="N29" s="640">
        <f>+'Mkt Res'!J25</f>
        <v>0</v>
      </c>
      <c r="P29" s="353"/>
    </row>
    <row r="30" spans="1:16">
      <c r="A30" s="509">
        <f>ROW()</f>
        <v>30</v>
      </c>
      <c r="B30" s="72" t="s">
        <v>223</v>
      </c>
      <c r="C30" s="73"/>
      <c r="D30" s="72"/>
      <c r="E30" s="72"/>
      <c r="F30" s="74"/>
      <c r="G30" s="65"/>
      <c r="H30" s="899"/>
      <c r="I30" s="642">
        <f>+'Mkt Res'!E26</f>
        <v>0</v>
      </c>
      <c r="J30" s="642">
        <f>+'Mkt Res'!F26</f>
        <v>0</v>
      </c>
      <c r="K30" s="642">
        <f>+'Mkt Res'!G26</f>
        <v>0</v>
      </c>
      <c r="L30" s="642">
        <f>+'Mkt Res'!H26</f>
        <v>0</v>
      </c>
      <c r="M30" s="642">
        <f>+'Mkt Res'!I26</f>
        <v>0</v>
      </c>
      <c r="N30" s="642">
        <f>+'Mkt Res'!J26</f>
        <v>0</v>
      </c>
      <c r="P30" s="353"/>
    </row>
    <row r="31" spans="1:16">
      <c r="A31" s="509">
        <f>ROW()</f>
        <v>31</v>
      </c>
      <c r="B31" s="178" t="s">
        <v>224</v>
      </c>
      <c r="C31" s="1355"/>
      <c r="D31" s="1355"/>
      <c r="E31" s="1355"/>
      <c r="F31" s="1355"/>
      <c r="G31" s="76"/>
      <c r="H31" s="111"/>
      <c r="I31" s="190">
        <f t="shared" ref="I31:N31" si="2">SUM(I18:I30)</f>
        <v>540</v>
      </c>
      <c r="J31" s="190">
        <f t="shared" si="2"/>
        <v>648</v>
      </c>
      <c r="K31" s="190">
        <f t="shared" si="2"/>
        <v>756</v>
      </c>
      <c r="L31" s="190">
        <f t="shared" si="2"/>
        <v>864</v>
      </c>
      <c r="M31" s="190">
        <f t="shared" si="2"/>
        <v>891</v>
      </c>
      <c r="N31" s="190">
        <f t="shared" si="2"/>
        <v>918</v>
      </c>
      <c r="P31" s="353"/>
    </row>
    <row r="32" spans="1:16">
      <c r="A32" s="509">
        <f>ROW()</f>
        <v>32</v>
      </c>
      <c r="B32" s="43" t="s">
        <v>225</v>
      </c>
      <c r="C32" s="43"/>
      <c r="D32" s="43"/>
      <c r="E32" s="43"/>
      <c r="H32" s="191"/>
      <c r="I32" s="131">
        <f>IFERROR(I31/I16,0)</f>
        <v>27</v>
      </c>
      <c r="J32" s="131">
        <f t="shared" ref="J32:N32" si="3">IFERROR(J31/J16,0)</f>
        <v>27</v>
      </c>
      <c r="K32" s="131">
        <f t="shared" si="3"/>
        <v>27</v>
      </c>
      <c r="L32" s="131">
        <f t="shared" si="3"/>
        <v>27</v>
      </c>
      <c r="M32" s="131">
        <f t="shared" si="3"/>
        <v>27</v>
      </c>
      <c r="N32" s="131">
        <f t="shared" si="3"/>
        <v>27</v>
      </c>
      <c r="P32" s="353"/>
    </row>
    <row r="33" spans="1:16">
      <c r="A33" s="509">
        <f>ROW()</f>
        <v>33</v>
      </c>
      <c r="P33" s="353"/>
    </row>
    <row r="34" spans="1:16" ht="17.399999999999999">
      <c r="A34" s="509">
        <f>ROW()</f>
        <v>34</v>
      </c>
      <c r="B34" s="2218" t="s">
        <v>811</v>
      </c>
      <c r="C34" s="2218"/>
      <c r="D34" s="2218"/>
      <c r="E34" s="2218"/>
      <c r="F34" s="2218"/>
      <c r="G34" s="1719"/>
      <c r="H34" s="783" t="str">
        <f>+H11</f>
        <v>SY 0</v>
      </c>
      <c r="I34" s="783" t="str">
        <f t="shared" ref="I34:N34" si="4">+I11</f>
        <v>SY 1</v>
      </c>
      <c r="J34" s="783" t="str">
        <f t="shared" si="4"/>
        <v>SY 2</v>
      </c>
      <c r="K34" s="783" t="str">
        <f t="shared" si="4"/>
        <v>SY 3</v>
      </c>
      <c r="L34" s="783" t="str">
        <f t="shared" si="4"/>
        <v>SY 4</v>
      </c>
      <c r="M34" s="783" t="str">
        <f t="shared" si="4"/>
        <v>SY 5</v>
      </c>
      <c r="N34" s="783" t="str">
        <f t="shared" si="4"/>
        <v>SY 6</v>
      </c>
      <c r="P34" s="353"/>
    </row>
    <row r="35" spans="1:16">
      <c r="A35" s="509">
        <f>ROW()</f>
        <v>35</v>
      </c>
      <c r="B35" s="1720" t="s">
        <v>812</v>
      </c>
      <c r="C35" s="1720" t="s">
        <v>813</v>
      </c>
      <c r="D35" s="1720"/>
      <c r="E35" s="1720"/>
      <c r="F35" s="1720"/>
      <c r="G35" s="1721" t="s">
        <v>244</v>
      </c>
      <c r="H35" s="805">
        <f>H13</f>
        <v>2023</v>
      </c>
      <c r="I35" s="805">
        <f t="shared" ref="I35:N35" si="5">I13</f>
        <v>2024</v>
      </c>
      <c r="J35" s="805">
        <f t="shared" si="5"/>
        <v>2025</v>
      </c>
      <c r="K35" s="805">
        <f t="shared" si="5"/>
        <v>2026</v>
      </c>
      <c r="L35" s="805">
        <f t="shared" si="5"/>
        <v>2027</v>
      </c>
      <c r="M35" s="805">
        <f t="shared" si="5"/>
        <v>2028</v>
      </c>
      <c r="N35" s="805">
        <f t="shared" si="5"/>
        <v>2029</v>
      </c>
      <c r="P35" s="353"/>
    </row>
    <row r="36" spans="1:16">
      <c r="A36" s="509">
        <f>ROW()</f>
        <v>36</v>
      </c>
      <c r="B36" s="1817" t="s">
        <v>1500</v>
      </c>
      <c r="C36" s="1818" t="s">
        <v>1501</v>
      </c>
      <c r="D36" s="1818"/>
      <c r="E36" s="1818"/>
      <c r="F36" s="1819"/>
      <c r="G36" s="1722">
        <f>SUM(H36:N36)</f>
        <v>35000</v>
      </c>
      <c r="H36" s="1822">
        <v>10000</v>
      </c>
      <c r="I36" s="271">
        <v>5000</v>
      </c>
      <c r="J36" s="271">
        <v>5000</v>
      </c>
      <c r="K36" s="271">
        <v>5000</v>
      </c>
      <c r="L36" s="271">
        <v>5000</v>
      </c>
      <c r="M36" s="271">
        <v>2500</v>
      </c>
      <c r="N36" s="1823">
        <v>2500</v>
      </c>
      <c r="P36" s="353"/>
    </row>
    <row r="37" spans="1:16">
      <c r="A37" s="509">
        <f>ROW()</f>
        <v>37</v>
      </c>
      <c r="B37" s="1820" t="s">
        <v>1502</v>
      </c>
      <c r="C37" s="1330" t="s">
        <v>1503</v>
      </c>
      <c r="D37" s="1330"/>
      <c r="E37" s="1330"/>
      <c r="F37" s="1821"/>
      <c r="G37" s="1723">
        <f t="shared" ref="G37:G43" si="6">SUM(H37:N37)</f>
        <v>45000</v>
      </c>
      <c r="H37" s="1824">
        <v>20000</v>
      </c>
      <c r="I37" s="272">
        <v>5000</v>
      </c>
      <c r="J37" s="272">
        <v>5000</v>
      </c>
      <c r="K37" s="272">
        <v>5000</v>
      </c>
      <c r="L37" s="272">
        <v>5000</v>
      </c>
      <c r="M37" s="272">
        <v>2500</v>
      </c>
      <c r="N37" s="1825">
        <v>2500</v>
      </c>
      <c r="P37" s="353"/>
    </row>
    <row r="38" spans="1:16">
      <c r="A38" s="509">
        <f>ROW()</f>
        <v>38</v>
      </c>
      <c r="B38" s="1820" t="s">
        <v>1504</v>
      </c>
      <c r="C38" s="1330" t="s">
        <v>1505</v>
      </c>
      <c r="D38" s="1330"/>
      <c r="E38" s="1330"/>
      <c r="F38" s="1821"/>
      <c r="G38" s="1723">
        <f t="shared" si="6"/>
        <v>98000</v>
      </c>
      <c r="H38" s="1824">
        <v>30000</v>
      </c>
      <c r="I38" s="272">
        <v>12000</v>
      </c>
      <c r="J38" s="272">
        <v>12000</v>
      </c>
      <c r="K38" s="272">
        <v>12000</v>
      </c>
      <c r="L38" s="272">
        <v>12000</v>
      </c>
      <c r="M38" s="272">
        <v>10000</v>
      </c>
      <c r="N38" s="1825">
        <v>10000</v>
      </c>
      <c r="P38" s="353"/>
    </row>
    <row r="39" spans="1:16">
      <c r="A39" s="509">
        <f>ROW()</f>
        <v>39</v>
      </c>
      <c r="B39" s="1820" t="s">
        <v>1506</v>
      </c>
      <c r="C39" s="1330" t="s">
        <v>1507</v>
      </c>
      <c r="D39" s="1330"/>
      <c r="E39" s="1330"/>
      <c r="F39" s="1821"/>
      <c r="G39" s="1723">
        <f t="shared" si="6"/>
        <v>17000</v>
      </c>
      <c r="H39" s="1824">
        <v>5000</v>
      </c>
      <c r="I39" s="272">
        <v>2000</v>
      </c>
      <c r="J39" s="272">
        <v>2000</v>
      </c>
      <c r="K39" s="272">
        <v>2000</v>
      </c>
      <c r="L39" s="272">
        <v>2000</v>
      </c>
      <c r="M39" s="272">
        <v>2000</v>
      </c>
      <c r="N39" s="1825">
        <v>2000</v>
      </c>
      <c r="P39" s="353"/>
    </row>
    <row r="40" spans="1:16">
      <c r="A40" s="509">
        <f>ROW()</f>
        <v>40</v>
      </c>
      <c r="B40" s="1820" t="s">
        <v>1508</v>
      </c>
      <c r="C40" s="1330" t="s">
        <v>1509</v>
      </c>
      <c r="D40" s="1330"/>
      <c r="E40" s="1330"/>
      <c r="F40" s="1821"/>
      <c r="G40" s="1723">
        <f t="shared" si="6"/>
        <v>10000</v>
      </c>
      <c r="H40" s="1824">
        <v>0</v>
      </c>
      <c r="I40" s="272">
        <v>1000</v>
      </c>
      <c r="J40" s="272">
        <v>1000</v>
      </c>
      <c r="K40" s="272">
        <v>1000</v>
      </c>
      <c r="L40" s="272">
        <v>1000</v>
      </c>
      <c r="M40" s="272">
        <v>3000</v>
      </c>
      <c r="N40" s="1825">
        <v>3000</v>
      </c>
      <c r="P40" s="353"/>
    </row>
    <row r="41" spans="1:16">
      <c r="A41" s="509">
        <f>ROW()</f>
        <v>41</v>
      </c>
      <c r="B41" s="1330"/>
      <c r="C41" s="1330"/>
      <c r="D41" s="1330"/>
      <c r="E41" s="1330"/>
      <c r="F41" s="1330"/>
      <c r="G41" s="1723">
        <f t="shared" si="6"/>
        <v>0</v>
      </c>
      <c r="H41" s="272">
        <v>0</v>
      </c>
      <c r="I41" s="272">
        <v>0</v>
      </c>
      <c r="J41" s="272">
        <v>0</v>
      </c>
      <c r="K41" s="272">
        <v>0</v>
      </c>
      <c r="L41" s="272">
        <v>0</v>
      </c>
      <c r="M41" s="272">
        <v>0</v>
      </c>
      <c r="N41" s="272">
        <v>0</v>
      </c>
      <c r="P41" s="353"/>
    </row>
    <row r="42" spans="1:16">
      <c r="A42" s="509">
        <f>ROW()</f>
        <v>42</v>
      </c>
      <c r="B42" s="1330"/>
      <c r="C42" s="1330"/>
      <c r="D42" s="1330"/>
      <c r="E42" s="1330"/>
      <c r="F42" s="1330"/>
      <c r="G42" s="1723">
        <f t="shared" si="6"/>
        <v>0</v>
      </c>
      <c r="H42" s="272">
        <v>0</v>
      </c>
      <c r="I42" s="272">
        <v>0</v>
      </c>
      <c r="J42" s="272">
        <v>0</v>
      </c>
      <c r="K42" s="272">
        <v>0</v>
      </c>
      <c r="L42" s="272">
        <v>0</v>
      </c>
      <c r="M42" s="272">
        <v>0</v>
      </c>
      <c r="N42" s="272">
        <v>0</v>
      </c>
      <c r="P42" s="353"/>
    </row>
    <row r="43" spans="1:16">
      <c r="A43" s="509">
        <f>ROW()</f>
        <v>43</v>
      </c>
      <c r="B43" s="648"/>
      <c r="C43" s="648"/>
      <c r="D43" s="648"/>
      <c r="E43" s="648"/>
      <c r="F43" s="648"/>
      <c r="G43" s="1724">
        <f t="shared" si="6"/>
        <v>0</v>
      </c>
      <c r="H43" s="273">
        <v>0</v>
      </c>
      <c r="I43" s="273">
        <v>0</v>
      </c>
      <c r="J43" s="273">
        <v>0</v>
      </c>
      <c r="K43" s="273">
        <v>0</v>
      </c>
      <c r="L43" s="273">
        <v>0</v>
      </c>
      <c r="M43" s="273">
        <v>0</v>
      </c>
      <c r="N43" s="273">
        <v>0</v>
      </c>
      <c r="P43" s="353"/>
    </row>
    <row r="44" spans="1:16">
      <c r="A44" s="509">
        <f>ROW()</f>
        <v>44</v>
      </c>
      <c r="B44" s="35" t="s">
        <v>814</v>
      </c>
      <c r="C44" s="645"/>
      <c r="D44" s="645"/>
      <c r="G44" s="646">
        <f>SUM(H44:N44)</f>
        <v>205000</v>
      </c>
      <c r="H44" s="647">
        <f t="shared" ref="H44:N44" si="7">SUM(H36:H43)</f>
        <v>65000</v>
      </c>
      <c r="I44" s="647">
        <f t="shared" si="7"/>
        <v>25000</v>
      </c>
      <c r="J44" s="647">
        <f t="shared" si="7"/>
        <v>25000</v>
      </c>
      <c r="K44" s="647">
        <f t="shared" si="7"/>
        <v>25000</v>
      </c>
      <c r="L44" s="647">
        <f t="shared" si="7"/>
        <v>25000</v>
      </c>
      <c r="M44" s="647">
        <f t="shared" si="7"/>
        <v>20000</v>
      </c>
      <c r="N44" s="647">
        <f t="shared" si="7"/>
        <v>20000</v>
      </c>
      <c r="P44" s="353"/>
    </row>
    <row r="45" spans="1:16">
      <c r="G45" s="231">
        <f t="shared" ref="G45:N45" si="8">IFERROR(G44/$G$44,0)</f>
        <v>1</v>
      </c>
      <c r="H45" s="231">
        <f t="shared" si="8"/>
        <v>0.31707317073170732</v>
      </c>
      <c r="I45" s="231">
        <f t="shared" si="8"/>
        <v>0.12195121951219512</v>
      </c>
      <c r="J45" s="231">
        <f t="shared" si="8"/>
        <v>0.12195121951219512</v>
      </c>
      <c r="K45" s="231">
        <f t="shared" si="8"/>
        <v>0.12195121951219512</v>
      </c>
      <c r="L45" s="231">
        <f t="shared" si="8"/>
        <v>0.12195121951219512</v>
      </c>
      <c r="M45" s="231">
        <f t="shared" si="8"/>
        <v>9.7560975609756101E-2</v>
      </c>
      <c r="N45" s="231">
        <f t="shared" si="8"/>
        <v>9.7560975609756101E-2</v>
      </c>
      <c r="P45" s="353"/>
    </row>
    <row r="46" spans="1:16">
      <c r="P46" s="353"/>
    </row>
    <row r="47" spans="1:16">
      <c r="P47" s="353"/>
    </row>
  </sheetData>
  <sheetProtection algorithmName="SHA-512" hashValue="jSHbTZzm+YNk0asGvKyVC1eo8lCwffUghLyq42AKnUYq154vZyanLDKwCFnS7HokrEYk9jooaPe375G1nhSD2A==" saltValue="wsPQtvqlOoPp5uoKQ0uxWA==" spinCount="100000" sheet="1" objects="1" scenarios="1"/>
  <mergeCells count="2">
    <mergeCell ref="B34:F34"/>
    <mergeCell ref="A1:D1"/>
  </mergeCells>
  <conditionalFormatting sqref="B18:G30">
    <cfRule type="expression" dxfId="577" priority="11" stopIfTrue="1">
      <formula>MOD(ROW(),2)=0</formula>
    </cfRule>
  </conditionalFormatting>
  <conditionalFormatting sqref="H18:N30">
    <cfRule type="cellIs" dxfId="576" priority="12" stopIfTrue="1" operator="equal">
      <formula>0</formula>
    </cfRule>
  </conditionalFormatting>
  <conditionalFormatting sqref="H15:H16">
    <cfRule type="cellIs" dxfId="575" priority="13" stopIfTrue="1" operator="equal">
      <formula>0</formula>
    </cfRule>
  </conditionalFormatting>
  <conditionalFormatting sqref="G1">
    <cfRule type="expression" dxfId="574" priority="4" stopIfTrue="1">
      <formula>MOD(ROW(),2)=0</formula>
    </cfRule>
  </conditionalFormatting>
  <conditionalFormatting sqref="I15:N16">
    <cfRule type="cellIs" dxfId="573" priority="15" stopIfTrue="1" operator="equal">
      <formula>0</formula>
    </cfRule>
  </conditionalFormatting>
  <hyperlinks>
    <hyperlink ref="G1" location="HypLink1" display="HypLink1" xr:uid="{805FECA2-5C0A-46B0-99E2-B0B827F3BE70}"/>
  </hyperlinks>
  <pageMargins left="0.25" right="0.25" top="0.5" bottom="0.45" header="0.25" footer="0.25"/>
  <pageSetup scale="70" fitToHeight="6" orientation="landscape" r:id="rId1"/>
  <headerFooter>
    <oddHeader xml:space="preserve">&amp;L &amp;C &amp;R </oddHeader>
    <oddFooter>&amp;L&amp;7&amp;D  at &amp;T Mike 702.854.0691&amp;C&amp;7&amp;F  &amp;A&amp;R&amp;7Page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F194-DFD1-468F-8395-0712B077DA3C}">
  <sheetPr codeName="Sheet12">
    <tabColor rgb="FFFFFF00"/>
  </sheetPr>
  <dimension ref="A1:M80"/>
  <sheetViews>
    <sheetView topLeftCell="A12" workbookViewId="0">
      <selection activeCell="D28" sqref="D28"/>
    </sheetView>
  </sheetViews>
  <sheetFormatPr defaultColWidth="8.88671875" defaultRowHeight="13.8"/>
  <cols>
    <col min="1" max="1" width="6.6640625" style="35" bestFit="1" customWidth="1"/>
    <col min="2" max="2" width="47.88671875" style="35" customWidth="1"/>
    <col min="3" max="3" width="10.33203125" style="35" customWidth="1"/>
    <col min="4" max="4" width="14.5546875" style="35" customWidth="1"/>
    <col min="5" max="5" width="20.88671875" style="35" customWidth="1"/>
    <col min="6" max="6" width="13.44140625" style="35" customWidth="1"/>
    <col min="7" max="7" width="12.5546875" style="35" customWidth="1"/>
    <col min="8" max="8" width="12.6640625" style="35" customWidth="1"/>
    <col min="9" max="9" width="12.33203125" style="35" customWidth="1"/>
    <col min="10" max="10" width="14" style="35" customWidth="1"/>
    <col min="11" max="11" width="14.6640625" style="35" customWidth="1"/>
    <col min="12" max="12" width="3.109375" style="35" customWidth="1"/>
    <col min="13" max="13" width="61.88671875" style="317" customWidth="1"/>
    <col min="14" max="16384" width="8.88671875" style="35"/>
  </cols>
  <sheetData>
    <row r="1" spans="1:13" ht="17.399999999999999">
      <c r="A1" s="130" t="s">
        <v>1356</v>
      </c>
      <c r="B1" s="37"/>
      <c r="C1" s="438" t="s">
        <v>2</v>
      </c>
      <c r="D1" s="82" t="s">
        <v>830</v>
      </c>
      <c r="I1" s="33"/>
      <c r="J1" s="33"/>
      <c r="K1" s="33"/>
    </row>
    <row r="2" spans="1:13" ht="15.6">
      <c r="A2" s="121" t="str">
        <f>SchoolName</f>
        <v>Eagle Charter Schools of Nevada</v>
      </c>
      <c r="B2" s="40"/>
      <c r="D2" s="82" t="s">
        <v>831</v>
      </c>
      <c r="I2" s="101"/>
      <c r="J2" s="101"/>
      <c r="K2" s="149"/>
      <c r="L2" s="150"/>
      <c r="M2" s="1730"/>
    </row>
    <row r="3" spans="1:13">
      <c r="A3" s="41" t="s">
        <v>72</v>
      </c>
      <c r="D3" s="253" t="s">
        <v>832</v>
      </c>
      <c r="I3" s="104"/>
      <c r="J3" s="104"/>
      <c r="K3" s="149"/>
      <c r="L3" s="150"/>
      <c r="M3" s="1730"/>
    </row>
    <row r="4" spans="1:13">
      <c r="A4" s="42" t="s">
        <v>73</v>
      </c>
      <c r="D4" s="82" t="s">
        <v>833</v>
      </c>
      <c r="I4" s="33"/>
      <c r="J4" s="33"/>
      <c r="K4" s="33"/>
    </row>
    <row r="5" spans="1:13">
      <c r="A5" s="32" t="str">
        <f ca="1">CELL("filename")</f>
        <v>C:\Users\Nicho\Desktop\[Attachment 2.  Eagle NV RFA 12.16.22.xlsx]CF Y1 Mo</v>
      </c>
      <c r="I5" s="101"/>
      <c r="J5" s="101"/>
      <c r="K5" s="149"/>
      <c r="L5" s="150"/>
      <c r="M5" s="1730"/>
    </row>
    <row r="6" spans="1:13">
      <c r="A6" s="66"/>
      <c r="B6" s="33" t="s">
        <v>834</v>
      </c>
      <c r="C6" s="33"/>
    </row>
    <row r="7" spans="1:13">
      <c r="A7" s="66"/>
      <c r="B7" s="33" t="s">
        <v>835</v>
      </c>
      <c r="C7" s="67"/>
      <c r="E7" s="67" t="s">
        <v>836</v>
      </c>
      <c r="F7" s="254"/>
    </row>
    <row r="8" spans="1:13">
      <c r="A8" s="66"/>
      <c r="B8" s="33" t="s">
        <v>1354</v>
      </c>
      <c r="C8" s="34"/>
      <c r="E8" s="34" t="s">
        <v>243</v>
      </c>
      <c r="F8" s="34"/>
    </row>
    <row r="9" spans="1:13">
      <c r="A9" s="356"/>
      <c r="B9" s="33"/>
      <c r="D9" s="34"/>
      <c r="E9" s="759" t="s">
        <v>810</v>
      </c>
      <c r="F9" s="806" t="s">
        <v>716</v>
      </c>
      <c r="G9" s="806" t="s">
        <v>717</v>
      </c>
      <c r="H9" s="806" t="s">
        <v>718</v>
      </c>
      <c r="I9" s="806" t="s">
        <v>719</v>
      </c>
      <c r="J9" s="806" t="s">
        <v>720</v>
      </c>
      <c r="K9" s="1359" t="s">
        <v>721</v>
      </c>
    </row>
    <row r="10" spans="1:13" ht="15.6">
      <c r="A10" s="356"/>
      <c r="B10" s="33"/>
      <c r="D10" s="293"/>
      <c r="E10" s="807">
        <f>+F10-1</f>
        <v>2022</v>
      </c>
      <c r="F10" s="808">
        <f>' Enrol &amp; Rev'!G10</f>
        <v>2023</v>
      </c>
      <c r="G10" s="809">
        <f>+F11</f>
        <v>2024</v>
      </c>
      <c r="H10" s="809">
        <f>+G11</f>
        <v>2025</v>
      </c>
      <c r="I10" s="809">
        <f>+H11</f>
        <v>2026</v>
      </c>
      <c r="J10" s="809">
        <f>+I11</f>
        <v>2027</v>
      </c>
      <c r="K10" s="810">
        <f>+J11</f>
        <v>2028</v>
      </c>
    </row>
    <row r="11" spans="1:13" ht="15.6">
      <c r="A11" s="356"/>
      <c r="B11" s="33"/>
      <c r="D11" s="302" t="s">
        <v>123</v>
      </c>
      <c r="E11" s="811">
        <f>+F11-1</f>
        <v>2023</v>
      </c>
      <c r="F11" s="812">
        <f t="shared" ref="F11:K11" si="0">+F10+1</f>
        <v>2024</v>
      </c>
      <c r="G11" s="812">
        <f t="shared" si="0"/>
        <v>2025</v>
      </c>
      <c r="H11" s="812">
        <f t="shared" si="0"/>
        <v>2026</v>
      </c>
      <c r="I11" s="812">
        <f t="shared" si="0"/>
        <v>2027</v>
      </c>
      <c r="J11" s="812">
        <f t="shared" si="0"/>
        <v>2028</v>
      </c>
      <c r="K11" s="813">
        <f t="shared" si="0"/>
        <v>2029</v>
      </c>
      <c r="M11" s="1615" t="s">
        <v>95</v>
      </c>
    </row>
    <row r="12" spans="1:13" ht="15.6">
      <c r="A12" s="356">
        <f>ROW()</f>
        <v>12</v>
      </c>
      <c r="B12" s="839" t="s">
        <v>405</v>
      </c>
      <c r="C12" s="840"/>
      <c r="D12" s="841"/>
      <c r="E12" s="618"/>
      <c r="F12" s="703">
        <f>'Mkt Res'!E27</f>
        <v>540</v>
      </c>
      <c r="G12" s="703">
        <f>'Mkt Res'!F27</f>
        <v>648</v>
      </c>
      <c r="H12" s="703">
        <f>'Mkt Res'!G27</f>
        <v>756</v>
      </c>
      <c r="I12" s="703">
        <f>'Mkt Res'!H27</f>
        <v>864</v>
      </c>
      <c r="J12" s="703">
        <f>'Mkt Res'!I27</f>
        <v>891</v>
      </c>
      <c r="K12" s="703">
        <f>'Mkt Res'!J27</f>
        <v>918</v>
      </c>
      <c r="M12" s="491"/>
    </row>
    <row r="13" spans="1:13" ht="15.6">
      <c r="A13" s="967">
        <f>ROW()</f>
        <v>13</v>
      </c>
      <c r="B13" s="554" t="s">
        <v>406</v>
      </c>
      <c r="C13" s="665"/>
      <c r="D13" s="704">
        <f>SUM(E13:K13)</f>
        <v>50658735.680071488</v>
      </c>
      <c r="E13" s="666"/>
      <c r="F13" s="706">
        <f>+' Enrol &amp; Rev'!G142</f>
        <v>5253734.6500000004</v>
      </c>
      <c r="G13" s="706">
        <f>+' Enrol &amp; Rev'!H142</f>
        <v>7196317.5757038658</v>
      </c>
      <c r="H13" s="706">
        <f>+' Enrol &amp; Rev'!I142</f>
        <v>8318281.1288446411</v>
      </c>
      <c r="I13" s="706">
        <f>+' Enrol &amp; Rev'!J142</f>
        <v>9540244.6819854137</v>
      </c>
      <c r="J13" s="706">
        <f>+' Enrol &amp; Rev'!K142</f>
        <v>10022333.377626188</v>
      </c>
      <c r="K13" s="706">
        <f>+' Enrol &amp; Rev'!L142</f>
        <v>10327824.26591138</v>
      </c>
      <c r="M13" s="353"/>
    </row>
    <row r="14" spans="1:13" ht="15.6">
      <c r="A14" s="967">
        <f>ROW()</f>
        <v>14</v>
      </c>
      <c r="B14" s="74" t="s">
        <v>837</v>
      </c>
      <c r="C14" s="657"/>
      <c r="D14" s="705">
        <f>SUM(E14:K14)</f>
        <v>43106746.818167217</v>
      </c>
      <c r="E14" s="707">
        <f>SUM(Summary!F46:F49,Summary!F42:F44)</f>
        <v>148504.80499999999</v>
      </c>
      <c r="F14" s="708">
        <f>SUM(Summary!G46:G49,Summary!G42:G44)</f>
        <v>4844870.2432031929</v>
      </c>
      <c r="G14" s="708">
        <f>SUM(Summary!H46:H49,Summary!H42:H44)</f>
        <v>6177360.601203193</v>
      </c>
      <c r="H14" s="708">
        <f>SUM(Summary!I46:I49,Summary!I42:I44)</f>
        <v>7282864.1360153928</v>
      </c>
      <c r="I14" s="708">
        <f>SUM(Summary!J46:J49,Summary!J42:J44)</f>
        <v>7950663.0730996076</v>
      </c>
      <c r="J14" s="708">
        <f>SUM(Summary!K46:K49,Summary!K42:K44)</f>
        <v>8144422.0970535725</v>
      </c>
      <c r="K14" s="708">
        <f>SUM(Summary!L46:L49,Summary!L42:L44)</f>
        <v>8558061.8625922557</v>
      </c>
      <c r="M14" s="353"/>
    </row>
    <row r="15" spans="1:13" ht="15.6">
      <c r="A15" s="967">
        <f>ROW()</f>
        <v>15</v>
      </c>
      <c r="B15" s="709" t="s">
        <v>838</v>
      </c>
      <c r="C15" s="657"/>
      <c r="D15" s="1728" t="s">
        <v>1528</v>
      </c>
      <c r="E15" s="707"/>
      <c r="F15" s="708"/>
      <c r="G15" s="708"/>
      <c r="H15" s="708"/>
      <c r="I15" s="708"/>
      <c r="J15" s="708"/>
      <c r="K15" s="708"/>
      <c r="M15" s="353"/>
    </row>
    <row r="16" spans="1:13" ht="15.6">
      <c r="A16" s="967">
        <f>ROW()</f>
        <v>16</v>
      </c>
      <c r="B16" s="709" t="s">
        <v>1355</v>
      </c>
      <c r="C16" s="74"/>
      <c r="D16" s="658"/>
      <c r="E16" s="658"/>
      <c r="F16" s="475"/>
      <c r="G16" s="659"/>
      <c r="H16" s="659"/>
      <c r="I16" s="659"/>
      <c r="J16" s="659"/>
      <c r="K16" s="659"/>
      <c r="M16" s="353"/>
    </row>
    <row r="17" spans="1:13" ht="15.6">
      <c r="A17" s="967">
        <f>ROW()</f>
        <v>17</v>
      </c>
      <c r="B17" s="1000" t="s">
        <v>1241</v>
      </c>
      <c r="D17" s="898"/>
      <c r="E17" s="1001"/>
      <c r="F17" s="107"/>
      <c r="G17" s="679"/>
      <c r="H17" s="679"/>
      <c r="I17" s="679"/>
      <c r="J17" s="679"/>
      <c r="K17" s="679"/>
      <c r="M17" s="353"/>
    </row>
    <row r="18" spans="1:13" ht="15.6">
      <c r="A18" s="967">
        <f>ROW()</f>
        <v>18</v>
      </c>
      <c r="B18" s="1000" t="s">
        <v>1242</v>
      </c>
      <c r="D18" s="898"/>
      <c r="E18" s="1001"/>
      <c r="F18" s="107"/>
      <c r="G18" s="679"/>
      <c r="H18" s="679"/>
      <c r="I18" s="679"/>
      <c r="J18" s="679"/>
      <c r="K18" s="679"/>
      <c r="M18" s="353"/>
    </row>
    <row r="19" spans="1:13" ht="15.6">
      <c r="A19" s="967">
        <f>ROW()</f>
        <v>19</v>
      </c>
      <c r="B19" s="1000" t="s">
        <v>839</v>
      </c>
      <c r="D19" s="898"/>
      <c r="E19" s="1372" t="s">
        <v>840</v>
      </c>
      <c r="F19" s="107"/>
      <c r="G19" s="679"/>
      <c r="H19" s="679"/>
      <c r="I19" s="679"/>
      <c r="J19" s="679"/>
      <c r="K19" s="679"/>
      <c r="M19" s="353"/>
    </row>
    <row r="20" spans="1:13" ht="15.6">
      <c r="A20" s="967">
        <f>ROW()</f>
        <v>20</v>
      </c>
      <c r="B20" s="1000" t="s">
        <v>1243</v>
      </c>
      <c r="D20" s="898"/>
      <c r="E20" s="1001"/>
      <c r="F20" s="107"/>
      <c r="G20" s="679"/>
      <c r="H20" s="679"/>
      <c r="I20" s="679"/>
      <c r="J20" s="679"/>
      <c r="K20" s="679"/>
      <c r="M20" s="353"/>
    </row>
    <row r="21" spans="1:13" ht="15.6">
      <c r="A21" s="967">
        <f>ROW()</f>
        <v>21</v>
      </c>
      <c r="B21" s="1000" t="s">
        <v>841</v>
      </c>
      <c r="D21" s="898"/>
      <c r="E21" s="1001"/>
      <c r="F21" s="107"/>
      <c r="G21" s="679"/>
      <c r="H21" s="679"/>
      <c r="I21" s="679"/>
      <c r="J21" s="679"/>
      <c r="K21" s="679"/>
      <c r="M21" s="353"/>
    </row>
    <row r="22" spans="1:13" ht="15.6">
      <c r="A22" s="967">
        <f>ROW()</f>
        <v>22</v>
      </c>
      <c r="B22" s="1000" t="s">
        <v>841</v>
      </c>
      <c r="D22" s="898"/>
      <c r="E22" s="1001"/>
      <c r="F22" s="107"/>
      <c r="G22" s="679"/>
      <c r="H22" s="679"/>
      <c r="I22" s="679"/>
      <c r="J22" s="679"/>
      <c r="K22" s="679"/>
      <c r="M22" s="353"/>
    </row>
    <row r="23" spans="1:13" ht="15.6">
      <c r="A23" s="967">
        <f>ROW()</f>
        <v>23</v>
      </c>
      <c r="B23" s="1000"/>
      <c r="D23" s="260"/>
      <c r="E23" s="1001"/>
      <c r="F23" s="107"/>
      <c r="G23" s="679"/>
      <c r="H23" s="679"/>
      <c r="I23" s="679"/>
      <c r="J23" s="679"/>
      <c r="K23" s="679"/>
      <c r="M23" s="353"/>
    </row>
    <row r="24" spans="1:13">
      <c r="A24" s="967">
        <f>ROW()</f>
        <v>24</v>
      </c>
      <c r="B24" s="493" t="s">
        <v>842</v>
      </c>
      <c r="C24" s="656"/>
      <c r="D24" s="332"/>
      <c r="E24" s="660"/>
      <c r="F24" s="660"/>
      <c r="G24" s="660"/>
      <c r="H24" s="660"/>
      <c r="I24" s="660"/>
      <c r="J24" s="660"/>
      <c r="K24" s="660"/>
      <c r="M24" s="353"/>
    </row>
    <row r="25" spans="1:13">
      <c r="A25" s="967">
        <f>ROW()</f>
        <v>25</v>
      </c>
      <c r="B25" s="1002"/>
      <c r="C25" s="905">
        <v>0</v>
      </c>
      <c r="D25" s="1725">
        <f>SUM(E25:K25)</f>
        <v>0</v>
      </c>
      <c r="E25" s="870">
        <v>0</v>
      </c>
      <c r="F25" s="870">
        <v>0</v>
      </c>
      <c r="G25" s="870">
        <v>0</v>
      </c>
      <c r="H25" s="870">
        <v>0</v>
      </c>
      <c r="I25" s="870">
        <v>0</v>
      </c>
      <c r="J25" s="870">
        <v>0</v>
      </c>
      <c r="K25" s="870">
        <v>0</v>
      </c>
      <c r="M25" s="353"/>
    </row>
    <row r="26" spans="1:13">
      <c r="A26" s="967">
        <f>ROW()</f>
        <v>26</v>
      </c>
      <c r="B26" s="901"/>
      <c r="C26" s="559">
        <v>0</v>
      </c>
      <c r="D26" s="1726">
        <f>SUM(E26:K26)</f>
        <v>0</v>
      </c>
      <c r="E26" s="662">
        <v>0</v>
      </c>
      <c r="F26" s="662">
        <v>0</v>
      </c>
      <c r="G26" s="662">
        <v>0</v>
      </c>
      <c r="H26" s="662">
        <v>0</v>
      </c>
      <c r="I26" s="662">
        <v>0</v>
      </c>
      <c r="J26" s="662">
        <v>0</v>
      </c>
      <c r="K26" s="662">
        <v>0</v>
      </c>
      <c r="M26" s="353"/>
    </row>
    <row r="27" spans="1:13">
      <c r="A27" s="967">
        <f>ROW()</f>
        <v>27</v>
      </c>
      <c r="B27" s="310"/>
      <c r="C27" s="559"/>
      <c r="D27" s="1726"/>
      <c r="E27" s="662">
        <v>0</v>
      </c>
      <c r="F27" s="662">
        <v>0</v>
      </c>
      <c r="G27" s="662">
        <v>0</v>
      </c>
      <c r="H27" s="662">
        <v>0</v>
      </c>
      <c r="I27" s="662">
        <v>0</v>
      </c>
      <c r="J27" s="662">
        <v>0</v>
      </c>
      <c r="K27" s="662">
        <v>0</v>
      </c>
      <c r="M27" s="353"/>
    </row>
    <row r="28" spans="1:13">
      <c r="A28" s="967">
        <f>ROW()</f>
        <v>28</v>
      </c>
      <c r="B28" s="901" t="s">
        <v>1510</v>
      </c>
      <c r="C28" s="902">
        <v>0</v>
      </c>
      <c r="D28" s="1726">
        <f>SUM(E28:K28)</f>
        <v>0</v>
      </c>
      <c r="E28" s="662">
        <v>0</v>
      </c>
      <c r="F28" s="662">
        <f>$C$28*F13</f>
        <v>0</v>
      </c>
      <c r="G28" s="662">
        <f t="shared" ref="G28:K28" si="1">$C$28*G13</f>
        <v>0</v>
      </c>
      <c r="H28" s="662">
        <f t="shared" si="1"/>
        <v>0</v>
      </c>
      <c r="I28" s="662">
        <f t="shared" si="1"/>
        <v>0</v>
      </c>
      <c r="J28" s="662">
        <f t="shared" si="1"/>
        <v>0</v>
      </c>
      <c r="K28" s="662">
        <f t="shared" si="1"/>
        <v>0</v>
      </c>
      <c r="M28" s="353"/>
    </row>
    <row r="29" spans="1:13">
      <c r="A29" s="967">
        <f>ROW()</f>
        <v>29</v>
      </c>
      <c r="B29" s="901"/>
      <c r="C29" s="902">
        <v>0</v>
      </c>
      <c r="D29" s="1726">
        <f>SUM(E29:K29)</f>
        <v>0</v>
      </c>
      <c r="E29" s="662">
        <v>0</v>
      </c>
      <c r="F29" s="662">
        <v>0</v>
      </c>
      <c r="G29" s="662">
        <v>0</v>
      </c>
      <c r="H29" s="662">
        <v>0</v>
      </c>
      <c r="I29" s="662">
        <v>0</v>
      </c>
      <c r="J29" s="662">
        <v>0</v>
      </c>
      <c r="K29" s="662">
        <v>0</v>
      </c>
      <c r="M29" s="353"/>
    </row>
    <row r="30" spans="1:13">
      <c r="A30" s="967">
        <f>ROW()</f>
        <v>30</v>
      </c>
      <c r="B30" s="310" t="s">
        <v>843</v>
      </c>
      <c r="C30" s="559"/>
      <c r="D30" s="1726"/>
      <c r="E30" s="662">
        <v>0</v>
      </c>
      <c r="F30" s="662">
        <v>0</v>
      </c>
      <c r="G30" s="662">
        <v>0</v>
      </c>
      <c r="H30" s="662">
        <v>0</v>
      </c>
      <c r="I30" s="662">
        <v>0</v>
      </c>
      <c r="J30" s="662">
        <v>0</v>
      </c>
      <c r="K30" s="662">
        <v>0</v>
      </c>
      <c r="M30" s="353"/>
    </row>
    <row r="31" spans="1:13">
      <c r="A31" s="967">
        <f>ROW()</f>
        <v>31</v>
      </c>
      <c r="B31" s="901" t="s">
        <v>1485</v>
      </c>
      <c r="C31" s="902">
        <v>0</v>
      </c>
      <c r="D31" s="1726">
        <f>SUM(E31:K31)</f>
        <v>0</v>
      </c>
      <c r="E31" s="662">
        <v>0</v>
      </c>
      <c r="F31" s="662">
        <v>0</v>
      </c>
      <c r="G31" s="662">
        <v>0</v>
      </c>
      <c r="H31" s="662">
        <v>0</v>
      </c>
      <c r="I31" s="662">
        <v>0</v>
      </c>
      <c r="J31" s="662">
        <v>0</v>
      </c>
      <c r="K31" s="662">
        <v>0</v>
      </c>
      <c r="M31" s="353"/>
    </row>
    <row r="32" spans="1:13">
      <c r="A32" s="967">
        <f>ROW()</f>
        <v>32</v>
      </c>
      <c r="B32" s="901" t="s">
        <v>1486</v>
      </c>
      <c r="C32" s="902">
        <v>0</v>
      </c>
      <c r="D32" s="1726">
        <f>SUM(E32:K32)</f>
        <v>0</v>
      </c>
      <c r="E32" s="662">
        <v>0</v>
      </c>
      <c r="F32" s="662">
        <v>0</v>
      </c>
      <c r="G32" s="662">
        <v>0</v>
      </c>
      <c r="H32" s="662">
        <v>0</v>
      </c>
      <c r="I32" s="662">
        <v>0</v>
      </c>
      <c r="J32" s="662">
        <v>0</v>
      </c>
      <c r="K32" s="662">
        <v>0</v>
      </c>
      <c r="M32" s="353"/>
    </row>
    <row r="33" spans="1:13">
      <c r="A33" s="967">
        <f>ROW()</f>
        <v>33</v>
      </c>
      <c r="B33" s="310" t="s">
        <v>843</v>
      </c>
      <c r="C33" s="902"/>
      <c r="D33" s="1726"/>
      <c r="E33" s="662">
        <v>0</v>
      </c>
      <c r="F33" s="662">
        <v>0</v>
      </c>
      <c r="G33" s="662">
        <v>0</v>
      </c>
      <c r="H33" s="662">
        <v>0</v>
      </c>
      <c r="I33" s="662">
        <v>0</v>
      </c>
      <c r="J33" s="662">
        <v>0</v>
      </c>
      <c r="K33" s="662">
        <v>0</v>
      </c>
      <c r="M33" s="353"/>
    </row>
    <row r="34" spans="1:13">
      <c r="A34" s="967">
        <f>ROW()</f>
        <v>34</v>
      </c>
      <c r="B34" s="901" t="s">
        <v>844</v>
      </c>
      <c r="C34" s="902">
        <v>0</v>
      </c>
      <c r="D34" s="1726">
        <f>SUM(E34:K34)</f>
        <v>0</v>
      </c>
      <c r="E34" s="662">
        <v>0</v>
      </c>
      <c r="F34" s="662">
        <v>0</v>
      </c>
      <c r="G34" s="662">
        <v>0</v>
      </c>
      <c r="H34" s="662">
        <v>0</v>
      </c>
      <c r="I34" s="662">
        <v>0</v>
      </c>
      <c r="J34" s="662">
        <v>0</v>
      </c>
      <c r="K34" s="662">
        <v>0</v>
      </c>
      <c r="M34" s="353"/>
    </row>
    <row r="35" spans="1:13">
      <c r="A35" s="967">
        <f>ROW()</f>
        <v>35</v>
      </c>
      <c r="B35" s="901" t="s">
        <v>845</v>
      </c>
      <c r="C35" s="902">
        <v>0</v>
      </c>
      <c r="D35" s="1726">
        <f>SUM(E35:K35)</f>
        <v>0</v>
      </c>
      <c r="E35" s="662">
        <v>0</v>
      </c>
      <c r="F35" s="662">
        <v>0</v>
      </c>
      <c r="G35" s="662">
        <v>0</v>
      </c>
      <c r="H35" s="662">
        <v>0</v>
      </c>
      <c r="I35" s="662">
        <v>0</v>
      </c>
      <c r="J35" s="662">
        <v>0</v>
      </c>
      <c r="K35" s="662">
        <v>0</v>
      </c>
      <c r="M35" s="353"/>
    </row>
    <row r="36" spans="1:13">
      <c r="A36" s="967">
        <f>ROW()</f>
        <v>36</v>
      </c>
      <c r="B36" s="310" t="s">
        <v>843</v>
      </c>
      <c r="C36" s="902"/>
      <c r="D36" s="1726"/>
      <c r="E36" s="662">
        <v>0</v>
      </c>
      <c r="F36" s="662">
        <v>0</v>
      </c>
      <c r="G36" s="662">
        <v>0</v>
      </c>
      <c r="H36" s="662">
        <v>0</v>
      </c>
      <c r="I36" s="662">
        <v>0</v>
      </c>
      <c r="J36" s="662">
        <v>0</v>
      </c>
      <c r="K36" s="662">
        <v>0</v>
      </c>
      <c r="M36" s="353"/>
    </row>
    <row r="37" spans="1:13">
      <c r="A37" s="967">
        <f>ROW()</f>
        <v>37</v>
      </c>
      <c r="B37" s="901" t="s">
        <v>846</v>
      </c>
      <c r="C37" s="902"/>
      <c r="D37" s="1726"/>
      <c r="E37" s="662">
        <v>0</v>
      </c>
      <c r="F37" s="662">
        <v>0</v>
      </c>
      <c r="G37" s="662">
        <v>0</v>
      </c>
      <c r="H37" s="662">
        <v>0</v>
      </c>
      <c r="I37" s="662">
        <v>0</v>
      </c>
      <c r="J37" s="662">
        <v>0</v>
      </c>
      <c r="K37" s="662">
        <v>0</v>
      </c>
      <c r="M37" s="353"/>
    </row>
    <row r="38" spans="1:13">
      <c r="A38" s="967">
        <f>ROW()</f>
        <v>38</v>
      </c>
      <c r="B38" s="903" t="s">
        <v>846</v>
      </c>
      <c r="C38" s="904"/>
      <c r="D38" s="1727">
        <f>SUM(E38:K38)</f>
        <v>0</v>
      </c>
      <c r="E38" s="663">
        <v>0</v>
      </c>
      <c r="F38" s="663">
        <v>0</v>
      </c>
      <c r="G38" s="663">
        <v>0</v>
      </c>
      <c r="H38" s="663">
        <v>0</v>
      </c>
      <c r="I38" s="663">
        <v>0</v>
      </c>
      <c r="J38" s="663">
        <v>0</v>
      </c>
      <c r="K38" s="663">
        <v>0</v>
      </c>
      <c r="M38" s="353"/>
    </row>
    <row r="39" spans="1:13">
      <c r="A39" s="967">
        <f>ROW()</f>
        <v>39</v>
      </c>
      <c r="B39" s="258"/>
      <c r="C39" s="259"/>
      <c r="D39" s="664">
        <f>SUM(E39:K39)</f>
        <v>0</v>
      </c>
      <c r="E39" s="664">
        <f t="shared" ref="E39:K39" si="2">SUM(E25:E38)</f>
        <v>0</v>
      </c>
      <c r="F39" s="664">
        <f t="shared" si="2"/>
        <v>0</v>
      </c>
      <c r="G39" s="664">
        <f t="shared" si="2"/>
        <v>0</v>
      </c>
      <c r="H39" s="664">
        <f t="shared" si="2"/>
        <v>0</v>
      </c>
      <c r="I39" s="664">
        <f t="shared" si="2"/>
        <v>0</v>
      </c>
      <c r="J39" s="664">
        <f t="shared" si="2"/>
        <v>0</v>
      </c>
      <c r="K39" s="664">
        <f t="shared" si="2"/>
        <v>0</v>
      </c>
      <c r="M39" s="353"/>
    </row>
    <row r="40" spans="1:13">
      <c r="A40" s="967">
        <f>ROW()</f>
        <v>40</v>
      </c>
      <c r="B40" s="335" t="s">
        <v>847</v>
      </c>
      <c r="F40" s="259"/>
      <c r="G40" s="257"/>
      <c r="H40" s="260"/>
      <c r="I40" s="56"/>
      <c r="J40" s="56"/>
      <c r="K40" s="56"/>
      <c r="L40" s="148"/>
      <c r="M40" s="353"/>
    </row>
    <row r="41" spans="1:13">
      <c r="A41" s="967">
        <f>ROW()</f>
        <v>41</v>
      </c>
      <c r="B41" s="335" t="s">
        <v>848</v>
      </c>
      <c r="F41" s="259"/>
      <c r="G41" s="257"/>
      <c r="H41" s="260"/>
      <c r="I41" s="56"/>
      <c r="J41" s="56"/>
      <c r="K41" s="56"/>
      <c r="L41" s="148"/>
      <c r="M41" s="353"/>
    </row>
    <row r="42" spans="1:13">
      <c r="A42" s="967">
        <f>ROW()</f>
        <v>42</v>
      </c>
      <c r="B42" s="335"/>
      <c r="F42" s="259"/>
      <c r="G42" s="257"/>
      <c r="H42" s="260"/>
      <c r="I42" s="56"/>
      <c r="J42" s="56"/>
      <c r="K42" s="56"/>
      <c r="L42" s="148"/>
      <c r="M42" s="353"/>
    </row>
    <row r="43" spans="1:13">
      <c r="A43" s="967">
        <f>ROW()</f>
        <v>43</v>
      </c>
      <c r="B43" s="335"/>
      <c r="F43" s="259"/>
      <c r="G43" s="257"/>
      <c r="H43" s="260"/>
      <c r="I43" s="56"/>
      <c r="J43" s="56"/>
      <c r="K43" s="56"/>
      <c r="L43" s="148"/>
      <c r="M43" s="353"/>
    </row>
    <row r="44" spans="1:13">
      <c r="A44" s="967">
        <f>ROW()</f>
        <v>44</v>
      </c>
      <c r="B44" s="335"/>
      <c r="D44" s="2220" t="s">
        <v>849</v>
      </c>
      <c r="E44" s="2221"/>
      <c r="F44" s="2222"/>
      <c r="G44" s="257"/>
      <c r="H44" s="2220" t="s">
        <v>850</v>
      </c>
      <c r="I44" s="2221"/>
      <c r="J44" s="2222"/>
      <c r="K44" s="56"/>
      <c r="L44" s="148"/>
      <c r="M44" s="353"/>
    </row>
    <row r="45" spans="1:13">
      <c r="A45" s="967">
        <f>ROW()</f>
        <v>45</v>
      </c>
      <c r="B45" s="258"/>
      <c r="D45" s="34" t="s">
        <v>851</v>
      </c>
      <c r="E45" s="336" t="s">
        <v>852</v>
      </c>
      <c r="F45" s="34" t="s">
        <v>773</v>
      </c>
      <c r="G45" s="257"/>
      <c r="H45" s="34" t="s">
        <v>851</v>
      </c>
      <c r="I45" s="336" t="s">
        <v>852</v>
      </c>
      <c r="J45" s="34" t="s">
        <v>773</v>
      </c>
      <c r="K45" s="56"/>
      <c r="L45" s="148"/>
      <c r="M45" s="353"/>
    </row>
    <row r="46" spans="1:13">
      <c r="A46" s="967">
        <f>ROW()</f>
        <v>46</v>
      </c>
      <c r="B46" s="258"/>
      <c r="D46" s="34" t="s">
        <v>853</v>
      </c>
      <c r="E46" s="34" t="s">
        <v>854</v>
      </c>
      <c r="F46" s="34" t="s">
        <v>855</v>
      </c>
      <c r="G46" s="257"/>
      <c r="H46" s="34" t="s">
        <v>853</v>
      </c>
      <c r="I46" s="34" t="s">
        <v>854</v>
      </c>
      <c r="J46" s="34" t="s">
        <v>855</v>
      </c>
      <c r="K46" s="56"/>
      <c r="L46" s="148"/>
      <c r="M46" s="353"/>
    </row>
    <row r="47" spans="1:13" ht="15.6">
      <c r="A47" s="967">
        <f>ROW()</f>
        <v>47</v>
      </c>
      <c r="B47" s="337" t="s">
        <v>856</v>
      </c>
      <c r="C47" s="65"/>
      <c r="D47" s="59" t="s">
        <v>857</v>
      </c>
      <c r="E47" s="59" t="s">
        <v>857</v>
      </c>
      <c r="F47" s="59" t="s">
        <v>857</v>
      </c>
      <c r="G47" s="257"/>
      <c r="H47" s="59" t="s">
        <v>857</v>
      </c>
      <c r="I47" s="59" t="s">
        <v>857</v>
      </c>
      <c r="J47" s="59" t="s">
        <v>857</v>
      </c>
      <c r="K47" s="56"/>
      <c r="L47" s="148"/>
      <c r="M47" s="353"/>
    </row>
    <row r="48" spans="1:13" ht="27.6">
      <c r="A48" s="967">
        <f>ROW()</f>
        <v>48</v>
      </c>
      <c r="B48" s="338" t="s">
        <v>858</v>
      </c>
      <c r="C48" s="43"/>
      <c r="D48" s="968"/>
      <c r="E48" s="968"/>
      <c r="F48" s="969"/>
      <c r="G48" s="1729"/>
      <c r="H48" s="994"/>
      <c r="I48" s="995"/>
      <c r="J48" s="969"/>
      <c r="K48" s="56"/>
      <c r="L48" s="56"/>
      <c r="M48" s="353"/>
    </row>
    <row r="49" spans="1:13">
      <c r="A49" s="967">
        <f>ROW()</f>
        <v>49</v>
      </c>
      <c r="B49" s="338" t="s">
        <v>859</v>
      </c>
      <c r="C49" s="43"/>
      <c r="D49" s="968"/>
      <c r="E49" s="968"/>
      <c r="F49" s="265"/>
      <c r="G49" s="1729"/>
      <c r="H49" s="996"/>
      <c r="I49" s="968"/>
      <c r="J49" s="265"/>
      <c r="K49" s="56"/>
      <c r="L49" s="56"/>
      <c r="M49" s="353"/>
    </row>
    <row r="50" spans="1:13">
      <c r="A50" s="967">
        <f>ROW()</f>
        <v>50</v>
      </c>
      <c r="B50" s="72" t="s">
        <v>860</v>
      </c>
      <c r="C50" s="72"/>
      <c r="D50" s="264"/>
      <c r="E50" s="264"/>
      <c r="F50" s="265"/>
      <c r="G50" s="1729"/>
      <c r="H50" s="997"/>
      <c r="I50" s="264"/>
      <c r="J50" s="265"/>
      <c r="K50" s="56"/>
      <c r="L50" s="56"/>
      <c r="M50" s="353"/>
    </row>
    <row r="51" spans="1:13">
      <c r="A51" s="967">
        <f>ROW()</f>
        <v>51</v>
      </c>
      <c r="B51" s="72" t="s">
        <v>861</v>
      </c>
      <c r="C51" s="72"/>
      <c r="D51" s="264"/>
      <c r="E51" s="264"/>
      <c r="F51" s="265"/>
      <c r="G51" s="1729"/>
      <c r="H51" s="997"/>
      <c r="I51" s="264"/>
      <c r="J51" s="265"/>
      <c r="K51" s="56"/>
      <c r="L51" s="56"/>
      <c r="M51" s="353"/>
    </row>
    <row r="52" spans="1:13">
      <c r="A52" s="967">
        <f>ROW()</f>
        <v>52</v>
      </c>
      <c r="B52" s="72" t="s">
        <v>862</v>
      </c>
      <c r="C52" s="72"/>
      <c r="D52" s="264"/>
      <c r="E52" s="264"/>
      <c r="F52" s="265"/>
      <c r="G52" s="1729"/>
      <c r="H52" s="997"/>
      <c r="I52" s="264"/>
      <c r="J52" s="265"/>
      <c r="K52" s="56"/>
      <c r="L52" s="56"/>
      <c r="M52" s="353"/>
    </row>
    <row r="53" spans="1:13">
      <c r="A53" s="967">
        <f>ROW()</f>
        <v>53</v>
      </c>
      <c r="B53" s="72" t="s">
        <v>863</v>
      </c>
      <c r="C53" s="72"/>
      <c r="D53" s="264"/>
      <c r="E53" s="264"/>
      <c r="F53" s="265"/>
      <c r="G53" s="1729"/>
      <c r="H53" s="997"/>
      <c r="I53" s="264"/>
      <c r="J53" s="265"/>
      <c r="K53" s="56"/>
      <c r="L53" s="56"/>
      <c r="M53" s="353"/>
    </row>
    <row r="54" spans="1:13">
      <c r="A54" s="967">
        <f>ROW()</f>
        <v>54</v>
      </c>
      <c r="B54" s="72" t="s">
        <v>864</v>
      </c>
      <c r="C54" s="72"/>
      <c r="D54" s="264"/>
      <c r="E54" s="264"/>
      <c r="F54" s="265"/>
      <c r="G54" s="1729"/>
      <c r="H54" s="997"/>
      <c r="I54" s="264"/>
      <c r="J54" s="265"/>
      <c r="K54" s="56"/>
      <c r="L54" s="56"/>
      <c r="M54" s="353"/>
    </row>
    <row r="55" spans="1:13">
      <c r="A55" s="967">
        <f>ROW()</f>
        <v>55</v>
      </c>
      <c r="B55" s="72" t="s">
        <v>865</v>
      </c>
      <c r="C55" s="72"/>
      <c r="D55" s="264"/>
      <c r="E55" s="264"/>
      <c r="F55" s="265"/>
      <c r="G55" s="1729"/>
      <c r="H55" s="997"/>
      <c r="I55" s="264"/>
      <c r="J55" s="265"/>
      <c r="K55" s="56"/>
      <c r="L55" s="56"/>
      <c r="M55" s="353"/>
    </row>
    <row r="56" spans="1:13">
      <c r="A56" s="967">
        <f>ROW()</f>
        <v>56</v>
      </c>
      <c r="B56" s="72" t="s">
        <v>866</v>
      </c>
      <c r="C56" s="72"/>
      <c r="D56" s="264"/>
      <c r="E56" s="264"/>
      <c r="F56" s="265"/>
      <c r="G56" s="1729"/>
      <c r="H56" s="997"/>
      <c r="I56" s="264"/>
      <c r="J56" s="265"/>
      <c r="K56" s="56"/>
      <c r="L56" s="56"/>
      <c r="M56" s="353"/>
    </row>
    <row r="57" spans="1:13">
      <c r="A57" s="967">
        <f>ROW()</f>
        <v>57</v>
      </c>
      <c r="B57" s="72" t="s">
        <v>867</v>
      </c>
      <c r="C57" s="72"/>
      <c r="D57" s="264"/>
      <c r="E57" s="264"/>
      <c r="F57" s="265"/>
      <c r="G57" s="1729"/>
      <c r="H57" s="997"/>
      <c r="I57" s="264"/>
      <c r="J57" s="265"/>
      <c r="K57" s="56"/>
      <c r="L57" s="56"/>
      <c r="M57" s="353"/>
    </row>
    <row r="58" spans="1:13">
      <c r="A58" s="967">
        <f>ROW()</f>
        <v>58</v>
      </c>
      <c r="B58" s="72" t="s">
        <v>868</v>
      </c>
      <c r="C58" s="72"/>
      <c r="D58" s="264"/>
      <c r="E58" s="264"/>
      <c r="F58" s="265"/>
      <c r="G58" s="1729"/>
      <c r="H58" s="997"/>
      <c r="I58" s="264"/>
      <c r="J58" s="265"/>
      <c r="K58" s="56"/>
      <c r="L58" s="56"/>
      <c r="M58" s="353"/>
    </row>
    <row r="59" spans="1:13">
      <c r="A59" s="967">
        <f>ROW()</f>
        <v>59</v>
      </c>
      <c r="B59" s="72" t="s">
        <v>869</v>
      </c>
      <c r="C59" s="72"/>
      <c r="D59" s="264"/>
      <c r="E59" s="264"/>
      <c r="F59" s="265"/>
      <c r="G59" s="1729"/>
      <c r="H59" s="997"/>
      <c r="I59" s="264"/>
      <c r="J59" s="265"/>
      <c r="K59" s="56"/>
      <c r="L59" s="56"/>
      <c r="M59" s="353"/>
    </row>
    <row r="60" spans="1:13">
      <c r="A60" s="967">
        <f>ROW()</f>
        <v>60</v>
      </c>
      <c r="B60" s="72" t="s">
        <v>870</v>
      </c>
      <c r="C60" s="72"/>
      <c r="D60" s="264"/>
      <c r="E60" s="264"/>
      <c r="F60" s="265"/>
      <c r="G60" s="1729"/>
      <c r="H60" s="997"/>
      <c r="I60" s="264"/>
      <c r="J60" s="265"/>
      <c r="K60" s="56"/>
      <c r="L60" s="56"/>
      <c r="M60" s="353"/>
    </row>
    <row r="61" spans="1:13">
      <c r="A61" s="967">
        <f>ROW()</f>
        <v>61</v>
      </c>
      <c r="B61" s="72" t="s">
        <v>871</v>
      </c>
      <c r="C61" s="72"/>
      <c r="D61" s="264"/>
      <c r="E61" s="264"/>
      <c r="F61" s="265"/>
      <c r="G61" s="1729"/>
      <c r="H61" s="997"/>
      <c r="I61" s="264"/>
      <c r="J61" s="265"/>
      <c r="K61" s="56"/>
      <c r="L61" s="56"/>
      <c r="M61" s="353"/>
    </row>
    <row r="62" spans="1:13">
      <c r="A62" s="967">
        <f>ROW()</f>
        <v>62</v>
      </c>
      <c r="B62" s="72" t="s">
        <v>872</v>
      </c>
      <c r="C62" s="72"/>
      <c r="D62" s="264"/>
      <c r="E62" s="264"/>
      <c r="F62" s="265"/>
      <c r="G62" s="1729"/>
      <c r="H62" s="997"/>
      <c r="I62" s="264"/>
      <c r="J62" s="265"/>
      <c r="K62" s="56"/>
      <c r="L62" s="56"/>
      <c r="M62" s="353"/>
    </row>
    <row r="63" spans="1:13">
      <c r="A63" s="967">
        <f>ROW()</f>
        <v>63</v>
      </c>
      <c r="B63" s="72" t="s">
        <v>1225</v>
      </c>
      <c r="C63" s="72"/>
      <c r="D63" s="264"/>
      <c r="E63" s="264"/>
      <c r="F63" s="265"/>
      <c r="G63" s="1729"/>
      <c r="H63" s="997"/>
      <c r="I63" s="264"/>
      <c r="J63" s="265"/>
      <c r="K63" s="56"/>
      <c r="L63" s="56"/>
      <c r="M63" s="353"/>
    </row>
    <row r="64" spans="1:13">
      <c r="A64" s="967">
        <f>ROW()</f>
        <v>64</v>
      </c>
      <c r="B64" s="72" t="s">
        <v>873</v>
      </c>
      <c r="C64" s="72"/>
      <c r="D64" s="264"/>
      <c r="E64" s="264"/>
      <c r="F64" s="265"/>
      <c r="G64" s="1729"/>
      <c r="H64" s="997"/>
      <c r="I64" s="264"/>
      <c r="J64" s="265"/>
      <c r="K64" s="56"/>
      <c r="L64" s="56"/>
      <c r="M64" s="353"/>
    </row>
    <row r="65" spans="1:13">
      <c r="A65" s="967">
        <f>ROW()</f>
        <v>65</v>
      </c>
      <c r="B65" s="72" t="s">
        <v>874</v>
      </c>
      <c r="C65" s="72"/>
      <c r="D65" s="264"/>
      <c r="E65" s="264"/>
      <c r="F65" s="265"/>
      <c r="G65" s="1729"/>
      <c r="H65" s="997"/>
      <c r="I65" s="264"/>
      <c r="J65" s="265"/>
      <c r="K65" s="56"/>
      <c r="L65" s="56"/>
      <c r="M65" s="353"/>
    </row>
    <row r="66" spans="1:13">
      <c r="A66" s="967">
        <f>ROW()</f>
        <v>66</v>
      </c>
      <c r="B66" s="72" t="s">
        <v>875</v>
      </c>
      <c r="C66" s="72"/>
      <c r="D66" s="264"/>
      <c r="E66" s="264"/>
      <c r="F66" s="265"/>
      <c r="G66" s="1729"/>
      <c r="H66" s="997"/>
      <c r="I66" s="264"/>
      <c r="J66" s="265"/>
      <c r="K66" s="56"/>
      <c r="L66" s="56"/>
      <c r="M66" s="353"/>
    </row>
    <row r="67" spans="1:13">
      <c r="A67" s="967">
        <f>ROW()</f>
        <v>67</v>
      </c>
      <c r="B67" s="72" t="s">
        <v>876</v>
      </c>
      <c r="C67" s="72"/>
      <c r="D67" s="264"/>
      <c r="E67" s="264"/>
      <c r="F67" s="265"/>
      <c r="G67" s="1729"/>
      <c r="H67" s="997"/>
      <c r="I67" s="264"/>
      <c r="J67" s="265"/>
      <c r="K67" s="56"/>
      <c r="L67" s="56"/>
      <c r="M67" s="353"/>
    </row>
    <row r="68" spans="1:13">
      <c r="A68" s="967">
        <f>ROW()</f>
        <v>68</v>
      </c>
      <c r="B68" s="72" t="s">
        <v>877</v>
      </c>
      <c r="C68" s="72"/>
      <c r="D68" s="264"/>
      <c r="E68" s="264"/>
      <c r="F68" s="265"/>
      <c r="G68" s="1729"/>
      <c r="H68" s="997"/>
      <c r="I68" s="264"/>
      <c r="J68" s="265"/>
      <c r="K68" s="56"/>
      <c r="L68" s="56"/>
      <c r="M68" s="353"/>
    </row>
    <row r="69" spans="1:13">
      <c r="A69" s="967">
        <f>ROW()</f>
        <v>69</v>
      </c>
      <c r="B69" s="72" t="s">
        <v>878</v>
      </c>
      <c r="C69" s="72"/>
      <c r="D69" s="264"/>
      <c r="E69" s="264"/>
      <c r="F69" s="265"/>
      <c r="G69" s="1729"/>
      <c r="H69" s="997"/>
      <c r="I69" s="264"/>
      <c r="J69" s="265"/>
      <c r="K69" s="56"/>
      <c r="L69" s="56"/>
      <c r="M69" s="353"/>
    </row>
    <row r="70" spans="1:13">
      <c r="A70" s="967">
        <f>ROW()</f>
        <v>70</v>
      </c>
      <c r="B70" s="72" t="s">
        <v>879</v>
      </c>
      <c r="C70" s="72"/>
      <c r="D70" s="264"/>
      <c r="E70" s="264"/>
      <c r="F70" s="265"/>
      <c r="G70" s="1729"/>
      <c r="H70" s="997"/>
      <c r="I70" s="264"/>
      <c r="J70" s="265"/>
      <c r="K70" s="56"/>
      <c r="L70" s="56"/>
      <c r="M70" s="353"/>
    </row>
    <row r="71" spans="1:13">
      <c r="A71" s="967">
        <f>ROW()</f>
        <v>71</v>
      </c>
      <c r="B71" s="72" t="s">
        <v>880</v>
      </c>
      <c r="C71" s="72"/>
      <c r="D71" s="264"/>
      <c r="E71" s="264"/>
      <c r="F71" s="265"/>
      <c r="G71" s="1729"/>
      <c r="H71" s="997"/>
      <c r="I71" s="264"/>
      <c r="J71" s="265"/>
      <c r="K71" s="56"/>
      <c r="L71" s="56"/>
      <c r="M71" s="353"/>
    </row>
    <row r="72" spans="1:13">
      <c r="A72" s="967">
        <f>ROW()</f>
        <v>72</v>
      </c>
      <c r="B72" s="72" t="s">
        <v>881</v>
      </c>
      <c r="C72" s="72"/>
      <c r="D72" s="264"/>
      <c r="E72" s="264"/>
      <c r="F72" s="265"/>
      <c r="G72" s="1729"/>
      <c r="H72" s="997"/>
      <c r="I72" s="264"/>
      <c r="J72" s="265"/>
      <c r="K72" s="56"/>
      <c r="L72" s="56"/>
      <c r="M72" s="353"/>
    </row>
    <row r="73" spans="1:13">
      <c r="A73" s="967">
        <f>ROW()</f>
        <v>73</v>
      </c>
      <c r="B73" s="72" t="s">
        <v>139</v>
      </c>
      <c r="C73" s="72"/>
      <c r="D73" s="264"/>
      <c r="E73" s="264"/>
      <c r="F73" s="970"/>
      <c r="G73" s="1729"/>
      <c r="H73" s="997"/>
      <c r="I73" s="264"/>
      <c r="J73" s="970"/>
      <c r="K73" s="56"/>
      <c r="L73" s="56"/>
      <c r="M73" s="353"/>
    </row>
    <row r="74" spans="1:13">
      <c r="A74" s="967">
        <f>ROW()</f>
        <v>74</v>
      </c>
      <c r="B74" s="1330" t="s">
        <v>882</v>
      </c>
      <c r="C74" s="1330"/>
      <c r="D74" s="264"/>
      <c r="E74" s="264"/>
      <c r="F74" s="970"/>
      <c r="G74" s="1729"/>
      <c r="H74" s="997"/>
      <c r="I74" s="264"/>
      <c r="J74" s="970"/>
      <c r="K74" s="56"/>
      <c r="L74" s="56"/>
      <c r="M74" s="353"/>
    </row>
    <row r="75" spans="1:13">
      <c r="A75" s="967">
        <f>ROW()</f>
        <v>75</v>
      </c>
      <c r="B75" s="1330" t="s">
        <v>882</v>
      </c>
      <c r="C75" s="1330"/>
      <c r="D75" s="264"/>
      <c r="E75" s="264"/>
      <c r="F75" s="970"/>
      <c r="G75" s="1729"/>
      <c r="H75" s="997"/>
      <c r="I75" s="264"/>
      <c r="J75" s="970"/>
      <c r="K75" s="56"/>
      <c r="L75" s="56"/>
      <c r="M75" s="353"/>
    </row>
    <row r="76" spans="1:13">
      <c r="A76" s="967">
        <f>ROW()</f>
        <v>76</v>
      </c>
      <c r="B76" s="1330" t="s">
        <v>882</v>
      </c>
      <c r="C76" s="1330"/>
      <c r="D76" s="264"/>
      <c r="E76" s="264"/>
      <c r="F76" s="971"/>
      <c r="G76" s="1729"/>
      <c r="H76" s="998"/>
      <c r="I76" s="999"/>
      <c r="J76" s="971"/>
      <c r="K76" s="56"/>
      <c r="L76" s="56"/>
      <c r="M76" s="353"/>
    </row>
    <row r="77" spans="1:13">
      <c r="A77" s="967">
        <f>ROW()</f>
        <v>77</v>
      </c>
      <c r="B77" s="178" t="s">
        <v>883</v>
      </c>
      <c r="C77" s="151"/>
      <c r="D77" s="1355"/>
      <c r="E77" s="1355"/>
      <c r="F77" s="1355"/>
      <c r="M77" s="353"/>
    </row>
    <row r="78" spans="1:13">
      <c r="A78" s="967">
        <f>ROW()</f>
        <v>78</v>
      </c>
      <c r="B78" s="168" t="s">
        <v>884</v>
      </c>
      <c r="C78" s="43"/>
      <c r="D78" s="76"/>
      <c r="E78" s="34"/>
      <c r="F78" s="34"/>
      <c r="G78" s="34"/>
      <c r="H78" s="76"/>
      <c r="I78" s="76"/>
      <c r="J78" s="76"/>
      <c r="K78" s="76"/>
      <c r="L78" s="76"/>
      <c r="M78" s="353"/>
    </row>
    <row r="79" spans="1:13">
      <c r="A79" s="967">
        <f>ROW()</f>
        <v>79</v>
      </c>
      <c r="B79" s="168" t="s">
        <v>885</v>
      </c>
      <c r="C79" s="43"/>
      <c r="D79" s="43"/>
      <c r="E79" s="261"/>
      <c r="F79" s="261"/>
      <c r="G79" s="261"/>
      <c r="H79" s="261"/>
      <c r="I79" s="261"/>
      <c r="J79" s="261"/>
      <c r="K79" s="261"/>
      <c r="L79" s="78"/>
      <c r="M79" s="353"/>
    </row>
    <row r="80" spans="1:13">
      <c r="M80" s="353"/>
    </row>
  </sheetData>
  <sheetProtection algorithmName="SHA-512" hashValue="mK9ai6EwSqAN1Qedk7Oq9EKm+5ttj8M0Pafvta67pK02oaPgG8C47kf3Jyx+nq+OBh2b6y+NgL0TI0e493nMcg==" saltValue="aPsU5WE0ej5HAEBH5THURQ==" spinCount="100000" sheet="1" objects="1" scenarios="1"/>
  <sortState xmlns:xlrd2="http://schemas.microsoft.com/office/spreadsheetml/2017/richdata2" ref="B48:B69">
    <sortCondition ref="B48:B69"/>
  </sortState>
  <mergeCells count="2">
    <mergeCell ref="D44:F44"/>
    <mergeCell ref="H44:J44"/>
  </mergeCells>
  <conditionalFormatting sqref="B57 B48:C56 B58:C73">
    <cfRule type="expression" dxfId="572" priority="4" stopIfTrue="1">
      <formula>MOD(ROW(),2)=0</formula>
    </cfRule>
  </conditionalFormatting>
  <conditionalFormatting sqref="C1">
    <cfRule type="expression" dxfId="571" priority="3" stopIfTrue="1">
      <formula>MOD(ROW(),2)=0</formula>
    </cfRule>
  </conditionalFormatting>
  <conditionalFormatting sqref="C57">
    <cfRule type="expression" dxfId="570" priority="1" stopIfTrue="1">
      <formula>MOD(ROW(),2)=0</formula>
    </cfRule>
  </conditionalFormatting>
  <conditionalFormatting sqref="D48:F76">
    <cfRule type="cellIs" dxfId="569" priority="5" stopIfTrue="1" operator="equal">
      <formula>0</formula>
    </cfRule>
  </conditionalFormatting>
  <conditionalFormatting sqref="H48:J76">
    <cfRule type="cellIs" dxfId="568" priority="6" stopIfTrue="1" operator="equal">
      <formula>0</formula>
    </cfRule>
  </conditionalFormatting>
  <conditionalFormatting sqref="D17:D22">
    <cfRule type="cellIs" dxfId="567" priority="7" stopIfTrue="1" operator="equal">
      <formula>0</formula>
    </cfRule>
  </conditionalFormatting>
  <hyperlinks>
    <hyperlink ref="C1" location="HypLink1" display="HypLink1" xr:uid="{AE7F164B-C315-4492-8FD1-E663A24A0028}"/>
  </hyperlinks>
  <pageMargins left="0.25" right="0.25" top="0.5" bottom="0.45" header="0.25" footer="0.25"/>
  <pageSetup scale="70" fitToWidth="2" fitToHeight="6" orientation="landscape" r:id="rId1"/>
  <headerFooter>
    <oddHeader xml:space="preserve">&amp;L &amp;C &amp;R </oddHeader>
    <oddFooter>&amp;L&amp;7&amp;D  at &amp;T Mike 702.854.0691&amp;C&amp;7&amp;F  &amp;A&amp;R&amp;7Page &amp;P of &amp;N</oddFooter>
  </headerFooter>
  <rowBreaks count="1" manualBreakCount="1">
    <brk id="44"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C44E-25C2-4681-BA69-1E1347A6E436}">
  <sheetPr codeName="Sheet26"/>
  <dimension ref="A1:O85"/>
  <sheetViews>
    <sheetView showGridLines="0" zoomScale="115" zoomScaleNormal="115" zoomScaleSheetLayoutView="115" workbookViewId="0">
      <selection activeCell="I4" sqref="I4"/>
    </sheetView>
  </sheetViews>
  <sheetFormatPr defaultColWidth="8.88671875" defaultRowHeight="13.2"/>
  <cols>
    <col min="1" max="1" width="4.6640625" style="6" customWidth="1"/>
    <col min="2" max="2" width="8.88671875" style="6"/>
    <col min="3" max="3" width="11.6640625" style="6" customWidth="1"/>
    <col min="4" max="4" width="10.6640625" style="6" customWidth="1"/>
    <col min="5" max="8" width="8.88671875" style="6"/>
    <col min="9" max="9" width="14.109375" style="6" customWidth="1"/>
    <col min="10" max="10" width="8.88671875" style="6"/>
    <col min="11" max="11" width="13.5546875" style="6" customWidth="1"/>
    <col min="12" max="12" width="8.88671875" style="6"/>
    <col min="13" max="13" width="8.33203125" style="6" customWidth="1"/>
    <col min="14" max="16384" width="8.88671875" style="6"/>
  </cols>
  <sheetData>
    <row r="1" spans="1:15" ht="15.6">
      <c r="A1" s="21" t="s">
        <v>1468</v>
      </c>
      <c r="B1" s="21"/>
      <c r="C1" s="21"/>
      <c r="D1" s="21"/>
      <c r="E1" s="21"/>
    </row>
    <row r="2" spans="1:15" ht="15.6">
      <c r="A2" s="2225" t="str">
        <f>SchoolName</f>
        <v>Eagle Charter Schools of Nevada</v>
      </c>
      <c r="B2" s="2225"/>
      <c r="C2" s="2225"/>
      <c r="D2" s="2225"/>
      <c r="E2" s="2225"/>
    </row>
    <row r="3" spans="1:15">
      <c r="A3" s="10" t="s">
        <v>815</v>
      </c>
    </row>
    <row r="4" spans="1:15">
      <c r="A4" s="9" t="s">
        <v>72</v>
      </c>
    </row>
    <row r="5" spans="1:15">
      <c r="A5" s="8" t="str">
        <f ca="1">CELL("filename")</f>
        <v>C:\Users\Nicho\Desktop\[Attachment 2.  Eagle NV RFA 12.16.22.xlsx]CF Y1 Mo</v>
      </c>
    </row>
    <row r="6" spans="1:15">
      <c r="A6" s="7"/>
      <c r="B6" s="7"/>
      <c r="C6" s="7"/>
      <c r="D6" s="7"/>
      <c r="E6" s="7"/>
      <c r="F6" s="7"/>
      <c r="G6" s="7"/>
      <c r="H6" s="7"/>
      <c r="I6" s="7"/>
      <c r="J6" s="7"/>
      <c r="K6" s="7"/>
      <c r="L6" s="7"/>
      <c r="M6" s="7"/>
      <c r="N6" s="7"/>
      <c r="O6" s="7"/>
    </row>
    <row r="7" spans="1:15" ht="31.2" customHeight="1">
      <c r="A7" s="7"/>
      <c r="B7" s="2223" t="s">
        <v>1458</v>
      </c>
      <c r="C7" s="2224"/>
      <c r="D7" s="2224"/>
      <c r="E7" s="1777" t="s">
        <v>1457</v>
      </c>
      <c r="F7" s="1778" t="s">
        <v>993</v>
      </c>
      <c r="G7" s="1778" t="s">
        <v>977</v>
      </c>
      <c r="H7" s="1779" t="s">
        <v>1414</v>
      </c>
      <c r="I7" s="1777" t="s">
        <v>1415</v>
      </c>
      <c r="J7" s="1778" t="s">
        <v>1416</v>
      </c>
      <c r="K7" s="1779" t="s">
        <v>1417</v>
      </c>
      <c r="M7" s="7"/>
      <c r="N7" s="7"/>
      <c r="O7" s="7"/>
    </row>
    <row r="8" spans="1:15" ht="13.8">
      <c r="A8" s="1608">
        <v>1</v>
      </c>
      <c r="B8" s="1607" t="s">
        <v>916</v>
      </c>
      <c r="C8" s="1596"/>
      <c r="D8" s="1596"/>
      <c r="E8" s="1272">
        <v>0.1619956883276871</v>
      </c>
      <c r="F8" s="1272">
        <v>6.5291037881121033E-2</v>
      </c>
      <c r="G8" s="1600" t="s">
        <v>1456</v>
      </c>
      <c r="H8" s="1272">
        <v>0.98552510009239302</v>
      </c>
      <c r="I8" s="1272">
        <v>3.6957191253464737E-3</v>
      </c>
      <c r="J8" s="1272">
        <v>1.4474899907607022E-2</v>
      </c>
      <c r="K8" s="1272">
        <v>2.5254080689867571E-2</v>
      </c>
      <c r="L8" s="7"/>
      <c r="M8" s="7"/>
      <c r="N8" s="7"/>
      <c r="O8" s="7"/>
    </row>
    <row r="9" spans="1:15" ht="13.8">
      <c r="A9" s="1608">
        <v>2</v>
      </c>
      <c r="B9" s="1607" t="s">
        <v>1418</v>
      </c>
      <c r="C9" s="1596"/>
      <c r="D9" s="1596"/>
      <c r="E9" s="1272">
        <v>0.12456896956713739</v>
      </c>
      <c r="F9" s="1272">
        <v>0.15106187733523754</v>
      </c>
      <c r="G9" s="1605" t="s">
        <v>1456</v>
      </c>
      <c r="H9" s="1272">
        <v>0.85638269551790991</v>
      </c>
      <c r="I9" s="1272">
        <v>5.289812178782498E-3</v>
      </c>
      <c r="J9" s="1272">
        <v>2.3987372100233953E-2</v>
      </c>
      <c r="K9" s="1272">
        <v>2.564102564102564E-2</v>
      </c>
      <c r="L9" s="7"/>
      <c r="M9" s="7"/>
      <c r="N9" s="7"/>
      <c r="O9" s="7"/>
    </row>
    <row r="10" spans="1:15" ht="13.8">
      <c r="A10" s="1608">
        <v>3</v>
      </c>
      <c r="B10" s="1607" t="s">
        <v>928</v>
      </c>
      <c r="C10" s="1596"/>
      <c r="D10" s="1596"/>
      <c r="E10" s="1272">
        <v>0.13074074074074074</v>
      </c>
      <c r="F10" s="1272">
        <v>4.5185185185185182E-2</v>
      </c>
      <c r="G10" s="1605" t="s">
        <v>1456</v>
      </c>
      <c r="H10" s="1272">
        <v>0.30296296296296299</v>
      </c>
      <c r="I10" s="1272">
        <v>0</v>
      </c>
      <c r="J10" s="1272">
        <v>1.2962962962962963E-2</v>
      </c>
      <c r="K10" s="1272">
        <v>1.2037037037037037E-2</v>
      </c>
      <c r="L10" s="7"/>
      <c r="M10" s="7"/>
      <c r="N10" s="7"/>
      <c r="O10" s="7"/>
    </row>
    <row r="11" spans="1:15" ht="13.8">
      <c r="A11" s="1608">
        <v>4</v>
      </c>
      <c r="B11" s="1607" t="s">
        <v>930</v>
      </c>
      <c r="C11" s="1596"/>
      <c r="D11" s="1596"/>
      <c r="E11" s="1272">
        <v>0.12790092621500676</v>
      </c>
      <c r="F11" s="1272">
        <v>8.6689561869081069E-2</v>
      </c>
      <c r="G11" s="1605" t="s">
        <v>1456</v>
      </c>
      <c r="H11" s="1272">
        <v>0.4295972525757103</v>
      </c>
      <c r="I11" s="1272">
        <v>5.6197315017171403E-3</v>
      </c>
      <c r="J11" s="1272">
        <v>2.8098657508585701E-3</v>
      </c>
      <c r="K11" s="1272">
        <v>1.113539390155063E-2</v>
      </c>
      <c r="L11" s="7"/>
      <c r="M11" s="7"/>
      <c r="N11" s="7"/>
      <c r="O11" s="7"/>
    </row>
    <row r="12" spans="1:15" ht="13.8">
      <c r="A12" s="1608">
        <v>5</v>
      </c>
      <c r="B12" s="1607" t="s">
        <v>931</v>
      </c>
      <c r="C12" s="1596"/>
      <c r="D12" s="1596"/>
      <c r="E12" s="1272">
        <v>0.13861386138613863</v>
      </c>
      <c r="F12" s="1272">
        <v>9.9009900990099015E-2</v>
      </c>
      <c r="G12" s="1605" t="s">
        <v>1456</v>
      </c>
      <c r="H12" s="1272">
        <v>0.98019801980198018</v>
      </c>
      <c r="I12" s="1272">
        <v>0</v>
      </c>
      <c r="J12" s="1272">
        <v>0</v>
      </c>
      <c r="K12" s="1272">
        <v>0</v>
      </c>
      <c r="L12" s="7"/>
      <c r="M12" s="7"/>
      <c r="N12" s="7"/>
      <c r="O12" s="7"/>
    </row>
    <row r="13" spans="1:15" ht="13.8">
      <c r="A13" s="1608">
        <v>6</v>
      </c>
      <c r="B13" s="1607" t="s">
        <v>932</v>
      </c>
      <c r="C13" s="1596"/>
      <c r="D13" s="1596"/>
      <c r="E13" s="1272">
        <v>0.12654320987654322</v>
      </c>
      <c r="F13" s="1272">
        <v>0</v>
      </c>
      <c r="G13" s="1605" t="s">
        <v>1456</v>
      </c>
      <c r="H13" s="1272">
        <v>0.2932098765432099</v>
      </c>
      <c r="I13" s="1272">
        <v>0</v>
      </c>
      <c r="J13" s="1272">
        <v>0</v>
      </c>
      <c r="K13" s="1272">
        <v>4.0123456790123455E-2</v>
      </c>
      <c r="L13" s="7"/>
      <c r="M13" s="7"/>
      <c r="N13" s="7"/>
      <c r="O13" s="7"/>
    </row>
    <row r="14" spans="1:15" ht="13.8">
      <c r="A14" s="1608">
        <v>7</v>
      </c>
      <c r="B14" s="1607" t="s">
        <v>933</v>
      </c>
      <c r="C14" s="1596"/>
      <c r="D14" s="1596"/>
      <c r="E14" s="1272">
        <v>0.15366001209921354</v>
      </c>
      <c r="F14" s="1272">
        <v>8.4392014519056258E-2</v>
      </c>
      <c r="G14" s="1605" t="s">
        <v>1456</v>
      </c>
      <c r="H14" s="1272">
        <v>0.53024803387779795</v>
      </c>
      <c r="I14" s="1272">
        <v>5.7471264367816091E-3</v>
      </c>
      <c r="J14" s="1272">
        <v>2.7223230490018149E-2</v>
      </c>
      <c r="K14" s="1272">
        <v>7.8644888082274652E-3</v>
      </c>
      <c r="L14" s="7"/>
      <c r="M14" s="7"/>
      <c r="N14" s="7"/>
      <c r="O14" s="7"/>
    </row>
    <row r="15" spans="1:15" ht="13.8">
      <c r="A15" s="1608">
        <v>8</v>
      </c>
      <c r="B15" s="1607" t="s">
        <v>934</v>
      </c>
      <c r="C15" s="1596"/>
      <c r="D15" s="1596"/>
      <c r="E15" s="1272">
        <v>0.13534566699123662</v>
      </c>
      <c r="F15" s="1272">
        <v>5.842259006815969E-2</v>
      </c>
      <c r="G15" s="1605" t="s">
        <v>1456</v>
      </c>
      <c r="H15" s="1272">
        <v>0.42453748782862705</v>
      </c>
      <c r="I15" s="1272">
        <v>0</v>
      </c>
      <c r="J15" s="1272">
        <v>2.8237585199610515E-2</v>
      </c>
      <c r="K15" s="1272">
        <v>0</v>
      </c>
      <c r="L15" s="7"/>
      <c r="M15" s="7"/>
      <c r="N15" s="7"/>
      <c r="O15" s="7"/>
    </row>
    <row r="16" spans="1:15" ht="13.8">
      <c r="A16" s="1608">
        <v>9</v>
      </c>
      <c r="B16" s="1607" t="s">
        <v>936</v>
      </c>
      <c r="C16" s="1596"/>
      <c r="D16" s="1596"/>
      <c r="E16" s="1272">
        <v>0.14446952595936793</v>
      </c>
      <c r="F16" s="1272">
        <v>1.8058690744920992E-2</v>
      </c>
      <c r="G16" s="1605" t="s">
        <v>1456</v>
      </c>
      <c r="H16" s="1272">
        <v>0.46839729119638829</v>
      </c>
      <c r="I16" s="1272">
        <v>0</v>
      </c>
      <c r="J16" s="1272">
        <v>1.6930022573363433E-2</v>
      </c>
      <c r="K16" s="1272">
        <v>2.7088036117381489E-2</v>
      </c>
      <c r="L16" s="7"/>
      <c r="M16" s="7"/>
      <c r="N16" s="7"/>
      <c r="O16" s="7"/>
    </row>
    <row r="17" spans="1:15" ht="13.8">
      <c r="A17" s="1608">
        <v>10</v>
      </c>
      <c r="B17" s="1607" t="s">
        <v>938</v>
      </c>
      <c r="C17" s="1596"/>
      <c r="D17" s="1596"/>
      <c r="E17" s="1272">
        <v>0.13804828289697382</v>
      </c>
      <c r="F17" s="1272">
        <v>5.7350107673127051E-2</v>
      </c>
      <c r="G17" s="1605" t="s">
        <v>1456</v>
      </c>
      <c r="H17" s="1272">
        <v>0.50266349314292191</v>
      </c>
      <c r="I17" s="1272">
        <v>3.4002040122407345E-3</v>
      </c>
      <c r="J17" s="1272">
        <v>3.9669046809475236E-2</v>
      </c>
      <c r="K17" s="1272">
        <v>1.8814462201065398E-2</v>
      </c>
      <c r="L17" s="7"/>
      <c r="M17" s="7"/>
      <c r="N17" s="7"/>
      <c r="O17" s="7"/>
    </row>
    <row r="18" spans="1:15" ht="13.8">
      <c r="A18" s="1608">
        <v>11</v>
      </c>
      <c r="B18" s="1607" t="s">
        <v>939</v>
      </c>
      <c r="C18" s="1596"/>
      <c r="D18" s="1596"/>
      <c r="E18" s="1272">
        <v>0.15909090909090909</v>
      </c>
      <c r="F18" s="1272">
        <v>0.10314685314685315</v>
      </c>
      <c r="G18" s="1605" t="s">
        <v>1456</v>
      </c>
      <c r="H18" s="1272">
        <v>1</v>
      </c>
      <c r="I18" s="1272">
        <v>0</v>
      </c>
      <c r="J18" s="1272">
        <v>0</v>
      </c>
      <c r="K18" s="1272">
        <v>4.72027972027972E-2</v>
      </c>
      <c r="L18" s="7"/>
      <c r="M18" s="7"/>
      <c r="N18" s="7"/>
      <c r="O18" s="7"/>
    </row>
    <row r="19" spans="1:15" ht="13.8">
      <c r="A19" s="1608">
        <v>12</v>
      </c>
      <c r="B19" s="1607" t="s">
        <v>941</v>
      </c>
      <c r="C19" s="1596"/>
      <c r="D19" s="1596"/>
      <c r="E19" s="1272">
        <v>0.14386355209492027</v>
      </c>
      <c r="F19" s="1272">
        <v>7.4527252502780861E-2</v>
      </c>
      <c r="G19" s="1605" t="s">
        <v>1456</v>
      </c>
      <c r="H19" s="1272">
        <v>0.98183166481275497</v>
      </c>
      <c r="I19" s="1272">
        <v>1.0938079347423062E-2</v>
      </c>
      <c r="J19" s="1272">
        <v>3.8932146829810901E-2</v>
      </c>
      <c r="K19" s="1272">
        <v>3.0033370411568408E-2</v>
      </c>
      <c r="L19" s="7"/>
      <c r="M19" s="7"/>
      <c r="N19" s="7"/>
      <c r="O19" s="7"/>
    </row>
    <row r="20" spans="1:15" ht="13.8">
      <c r="A20" s="1608">
        <v>13</v>
      </c>
      <c r="B20" s="1607" t="s">
        <v>914</v>
      </c>
      <c r="C20" s="1596"/>
      <c r="D20" s="1596"/>
      <c r="E20" s="1272">
        <v>0.14152628892291985</v>
      </c>
      <c r="F20" s="1272">
        <v>0.11727922409392547</v>
      </c>
      <c r="G20" s="1605" t="s">
        <v>1456</v>
      </c>
      <c r="H20" s="1272">
        <v>0.59583971413986725</v>
      </c>
      <c r="I20" s="1272">
        <v>5.6151097498723839E-3</v>
      </c>
      <c r="J20" s="1272">
        <v>1.3654925982644206E-2</v>
      </c>
      <c r="K20" s="1272">
        <v>1.9525267993874426E-2</v>
      </c>
      <c r="L20" s="7"/>
      <c r="M20" s="7"/>
      <c r="N20" s="7"/>
      <c r="O20" s="7"/>
    </row>
    <row r="21" spans="1:15" ht="13.8">
      <c r="A21" s="1608">
        <v>14</v>
      </c>
      <c r="B21" s="1607" t="s">
        <v>943</v>
      </c>
      <c r="C21" s="1596"/>
      <c r="D21" s="1596"/>
      <c r="E21" s="1272">
        <v>0.17530487804878048</v>
      </c>
      <c r="F21" s="1272">
        <v>7.3170731707317069E-2</v>
      </c>
      <c r="G21" s="1605" t="s">
        <v>1456</v>
      </c>
      <c r="H21" s="1272">
        <v>0.73170731707317072</v>
      </c>
      <c r="I21" s="1272">
        <v>0</v>
      </c>
      <c r="J21" s="1272">
        <v>0</v>
      </c>
      <c r="K21" s="1272">
        <v>6.097560975609756E-2</v>
      </c>
      <c r="L21" s="7"/>
      <c r="M21" s="7"/>
      <c r="N21" s="7"/>
      <c r="O21" s="7"/>
    </row>
    <row r="22" spans="1:15" ht="13.8">
      <c r="A22" s="1608">
        <v>15</v>
      </c>
      <c r="B22" s="1607" t="s">
        <v>946</v>
      </c>
      <c r="C22" s="1596"/>
      <c r="D22" s="1596"/>
      <c r="E22" s="1272">
        <v>0.12723214285714285</v>
      </c>
      <c r="F22" s="1272">
        <v>0</v>
      </c>
      <c r="G22" s="1605" t="s">
        <v>1456</v>
      </c>
      <c r="H22" s="1272">
        <v>0.32589285714285715</v>
      </c>
      <c r="I22" s="1272">
        <v>0</v>
      </c>
      <c r="J22" s="1272">
        <v>0</v>
      </c>
      <c r="K22" s="1272">
        <v>0</v>
      </c>
      <c r="L22" s="7"/>
      <c r="M22" s="7"/>
      <c r="N22" s="7"/>
      <c r="O22" s="7"/>
    </row>
    <row r="23" spans="1:15" ht="13.8">
      <c r="A23" s="1608">
        <v>16</v>
      </c>
      <c r="B23" s="1607" t="s">
        <v>1419</v>
      </c>
      <c r="C23" s="1596"/>
      <c r="D23" s="1596"/>
      <c r="E23" s="1272">
        <v>0.13973348925955562</v>
      </c>
      <c r="F23" s="1272">
        <v>0.14139533452329661</v>
      </c>
      <c r="G23" s="1605" t="s">
        <v>1456</v>
      </c>
      <c r="H23" s="1272">
        <v>0.4681633532344433</v>
      </c>
      <c r="I23" s="1272">
        <v>4.9855357912229952E-3</v>
      </c>
      <c r="J23" s="1272">
        <v>9.72487228411399E-3</v>
      </c>
      <c r="K23" s="1272">
        <v>1.1371330091709238E-2</v>
      </c>
      <c r="L23" s="7"/>
      <c r="M23" s="7"/>
      <c r="N23" s="7"/>
      <c r="O23" s="7"/>
    </row>
    <row r="24" spans="1:15" ht="13.8">
      <c r="A24" s="1608">
        <v>17</v>
      </c>
      <c r="B24" s="1607" t="s">
        <v>937</v>
      </c>
      <c r="C24" s="1596"/>
      <c r="D24" s="1596"/>
      <c r="E24" s="1272">
        <v>0.16775244299674266</v>
      </c>
      <c r="F24" s="1272">
        <v>1.9543973941368076E-2</v>
      </c>
      <c r="G24" s="1605" t="s">
        <v>1456</v>
      </c>
      <c r="H24" s="1272">
        <v>0.74267100977198697</v>
      </c>
      <c r="I24" s="1272">
        <v>0</v>
      </c>
      <c r="J24" s="1272">
        <v>0</v>
      </c>
      <c r="K24" s="1272">
        <v>3.013029315960912E-2</v>
      </c>
      <c r="L24" s="7"/>
      <c r="M24" s="7"/>
      <c r="N24" s="7"/>
      <c r="O24" s="7"/>
    </row>
    <row r="25" spans="1:15">
      <c r="A25" s="7"/>
      <c r="L25" s="7"/>
      <c r="M25" s="7"/>
      <c r="N25" s="7"/>
      <c r="O25" s="7"/>
    </row>
    <row r="26" spans="1:15" ht="13.8">
      <c r="A26" s="7"/>
      <c r="B26" s="1601" t="s">
        <v>1470</v>
      </c>
      <c r="C26" s="1596"/>
      <c r="D26" s="1596"/>
      <c r="E26" s="1272">
        <v>0.12493398515924732</v>
      </c>
      <c r="F26" s="1272">
        <v>0.13386473995803819</v>
      </c>
      <c r="G26" s="1605" t="s">
        <v>1456</v>
      </c>
      <c r="H26" s="1272">
        <v>0.72566800854031688</v>
      </c>
      <c r="I26" s="1272">
        <v>0</v>
      </c>
      <c r="J26" s="1272">
        <v>0</v>
      </c>
      <c r="K26" s="1272">
        <v>0</v>
      </c>
      <c r="L26" s="7"/>
      <c r="M26" s="7"/>
      <c r="N26" s="7"/>
      <c r="O26" s="7"/>
    </row>
    <row r="27" spans="1:15" ht="13.8">
      <c r="A27" s="7"/>
      <c r="B27" s="1596" t="s">
        <v>1469</v>
      </c>
      <c r="C27" s="1596"/>
      <c r="D27" s="1596"/>
      <c r="E27" s="1272">
        <v>9.5428668057043003E-2</v>
      </c>
      <c r="F27" s="1272">
        <v>7.720346466753096E-2</v>
      </c>
      <c r="G27" s="1606" t="s">
        <v>1456</v>
      </c>
      <c r="H27" s="1272">
        <v>0.39456625894819908</v>
      </c>
      <c r="I27" s="1272">
        <v>2.818330421058565E-4</v>
      </c>
      <c r="J27" s="1272">
        <v>3.1565300715855928E-2</v>
      </c>
      <c r="K27" s="1272">
        <v>1.5218984273716251E-2</v>
      </c>
      <c r="L27" s="7"/>
      <c r="M27" s="7"/>
      <c r="N27" s="7"/>
      <c r="O27" s="7"/>
    </row>
    <row r="28" spans="1:15">
      <c r="A28" s="7"/>
      <c r="C28" s="7"/>
      <c r="D28" s="7"/>
      <c r="E28" s="7"/>
      <c r="F28" s="7"/>
      <c r="G28" s="7"/>
      <c r="H28" s="7"/>
      <c r="I28" s="7"/>
      <c r="J28" s="7"/>
      <c r="K28" s="7"/>
      <c r="L28" s="7"/>
      <c r="M28" s="7"/>
      <c r="N28" s="7"/>
      <c r="O28" s="7"/>
    </row>
    <row r="29" spans="1:15" ht="42" customHeight="1">
      <c r="A29" s="7"/>
      <c r="B29" s="2223" t="s">
        <v>1459</v>
      </c>
      <c r="C29" s="2224"/>
      <c r="D29" s="2224"/>
      <c r="E29" s="1778" t="s">
        <v>1471</v>
      </c>
      <c r="F29" s="1778" t="s">
        <v>1472</v>
      </c>
      <c r="G29" s="1778" t="s">
        <v>1420</v>
      </c>
      <c r="H29" s="1778" t="s">
        <v>1421</v>
      </c>
      <c r="I29" s="1778" t="s">
        <v>1422</v>
      </c>
      <c r="J29" s="1778" t="s">
        <v>1423</v>
      </c>
      <c r="K29" s="1780" t="s">
        <v>1424</v>
      </c>
      <c r="L29" s="1780" t="s">
        <v>1474</v>
      </c>
      <c r="M29" s="1781" t="s">
        <v>1473</v>
      </c>
      <c r="N29" s="7"/>
      <c r="O29" s="7"/>
    </row>
    <row r="30" spans="1:15" ht="13.8">
      <c r="A30" s="1608">
        <v>1</v>
      </c>
      <c r="B30" s="1599" t="s">
        <v>916</v>
      </c>
      <c r="C30" s="1599"/>
      <c r="D30" s="1599"/>
      <c r="E30" s="1272">
        <v>0.48506313520172467</v>
      </c>
      <c r="F30" s="1272">
        <v>0.51493686479827538</v>
      </c>
      <c r="G30" s="1600">
        <v>1.6322759470280258E-2</v>
      </c>
      <c r="H30" s="1600">
        <v>1.7246689251616876E-2</v>
      </c>
      <c r="I30" s="1600">
        <v>0.59223898983677237</v>
      </c>
      <c r="J30" s="1600">
        <v>0.24237757930397288</v>
      </c>
      <c r="K30" s="1600">
        <v>5.4819833692639361E-2</v>
      </c>
      <c r="L30" s="1600">
        <v>6.8678780412688642E-2</v>
      </c>
      <c r="M30" s="1600">
        <v>8.3153680320295666E-3</v>
      </c>
      <c r="N30" s="7"/>
      <c r="O30" s="7"/>
    </row>
    <row r="31" spans="1:15" ht="13.8">
      <c r="A31" s="1608">
        <v>2</v>
      </c>
      <c r="B31" s="1602" t="s">
        <v>1418</v>
      </c>
      <c r="C31" s="1602"/>
      <c r="D31" s="1602"/>
      <c r="E31" s="1604">
        <v>0.4855822081912225</v>
      </c>
      <c r="F31" s="1604">
        <v>0.5144021322108534</v>
      </c>
      <c r="G31" s="1603">
        <v>5.9747629919854175E-2</v>
      </c>
      <c r="H31" s="1603">
        <v>0.15374280049985437</v>
      </c>
      <c r="I31" s="1603">
        <v>0.22235063092520035</v>
      </c>
      <c r="J31" s="1603">
        <v>0.47256595039665761</v>
      </c>
      <c r="K31" s="1603">
        <v>3.4482434629008467E-3</v>
      </c>
      <c r="L31" s="1603">
        <v>7.1811784160629888E-2</v>
      </c>
      <c r="M31" s="1603">
        <v>1.6332960634902739E-2</v>
      </c>
      <c r="N31" s="7"/>
      <c r="O31" s="7"/>
    </row>
    <row r="32" spans="1:15" ht="13.8">
      <c r="A32" s="1608">
        <v>3</v>
      </c>
      <c r="B32" s="1597" t="s">
        <v>928</v>
      </c>
      <c r="C32" s="1597"/>
      <c r="D32" s="1597"/>
      <c r="E32" s="1272">
        <v>0.47037037037037038</v>
      </c>
      <c r="F32" s="1272">
        <v>0.52962962962962967</v>
      </c>
      <c r="G32" s="1598">
        <v>1.3333333333333334E-2</v>
      </c>
      <c r="H32" s="1598">
        <v>4.2592592592592595E-3</v>
      </c>
      <c r="I32" s="1598">
        <v>0.65611111111111109</v>
      </c>
      <c r="J32" s="1598">
        <v>0.23518518518518519</v>
      </c>
      <c r="K32" s="1598">
        <v>3.1666666666666669E-2</v>
      </c>
      <c r="L32" s="1598">
        <v>5.6851851851851855E-2</v>
      </c>
      <c r="M32" s="1598">
        <v>2.5925925925925925E-3</v>
      </c>
      <c r="N32" s="7"/>
      <c r="O32" s="7"/>
    </row>
    <row r="33" spans="1:15" ht="13.8">
      <c r="A33" s="1608">
        <v>4</v>
      </c>
      <c r="B33" s="1597" t="s">
        <v>930</v>
      </c>
      <c r="C33" s="1597"/>
      <c r="D33" s="1597"/>
      <c r="E33" s="1272">
        <v>0.4857945675928817</v>
      </c>
      <c r="F33" s="1272">
        <v>0.51420543240711836</v>
      </c>
      <c r="G33" s="1598">
        <v>6.9726298262045997E-3</v>
      </c>
      <c r="H33" s="1598">
        <v>8.5336663544593617E-3</v>
      </c>
      <c r="I33" s="1598">
        <v>0.55572900405869496</v>
      </c>
      <c r="J33" s="1598">
        <v>0.34009782495577062</v>
      </c>
      <c r="K33" s="1598">
        <v>6.0568217296284733E-2</v>
      </c>
      <c r="L33" s="1598">
        <v>2.4664377146425227E-2</v>
      </c>
      <c r="M33" s="1598">
        <v>3.4342803621604744E-3</v>
      </c>
      <c r="N33" s="7"/>
      <c r="O33" s="7"/>
    </row>
    <row r="34" spans="1:15" ht="13.8">
      <c r="A34" s="1608">
        <v>5</v>
      </c>
      <c r="B34" s="1597" t="s">
        <v>931</v>
      </c>
      <c r="C34" s="1597"/>
      <c r="D34" s="1597"/>
      <c r="E34" s="1272">
        <v>0.5643564356435643</v>
      </c>
      <c r="F34" s="1272">
        <v>0.43564356435643564</v>
      </c>
      <c r="G34" s="1598">
        <v>0</v>
      </c>
      <c r="H34" s="1598">
        <v>9.9009900990099011E-3</v>
      </c>
      <c r="I34" s="1598">
        <v>0.51485148514851486</v>
      </c>
      <c r="J34" s="1598">
        <v>0.35643564356435642</v>
      </c>
      <c r="K34" s="1598">
        <v>5.9405940594059403E-2</v>
      </c>
      <c r="L34" s="1598">
        <v>5.9405940594059403E-2</v>
      </c>
      <c r="M34" s="1598">
        <v>0</v>
      </c>
      <c r="N34" s="7"/>
      <c r="O34" s="7"/>
    </row>
    <row r="35" spans="1:15" ht="13.8">
      <c r="A35" s="1608">
        <v>6</v>
      </c>
      <c r="B35" s="1597" t="s">
        <v>932</v>
      </c>
      <c r="C35" s="1597"/>
      <c r="D35" s="1597"/>
      <c r="E35" s="1272">
        <v>0.47222222222222221</v>
      </c>
      <c r="F35" s="1272">
        <v>0.52777777777777779</v>
      </c>
      <c r="G35" s="1598">
        <v>0</v>
      </c>
      <c r="H35" s="1598">
        <v>0</v>
      </c>
      <c r="I35" s="1598">
        <v>0.77469135802469136</v>
      </c>
      <c r="J35" s="1598">
        <v>0.12962962962962962</v>
      </c>
      <c r="K35" s="1598">
        <v>4.3209876543209874E-2</v>
      </c>
      <c r="L35" s="1598">
        <v>4.9382716049382713E-2</v>
      </c>
      <c r="M35" s="1598">
        <v>3.0864197530864196E-3</v>
      </c>
      <c r="N35" s="7"/>
      <c r="O35" s="7"/>
    </row>
    <row r="36" spans="1:15" ht="13.8">
      <c r="A36" s="1608">
        <v>7</v>
      </c>
      <c r="B36" s="1597" t="s">
        <v>933</v>
      </c>
      <c r="C36" s="1597"/>
      <c r="D36" s="1597"/>
      <c r="E36" s="1272">
        <v>0.49062310949788263</v>
      </c>
      <c r="F36" s="1272">
        <v>0.50937689050211732</v>
      </c>
      <c r="G36" s="1598">
        <v>4.2347247428917122E-3</v>
      </c>
      <c r="H36" s="1598">
        <v>4.8396854204476713E-3</v>
      </c>
      <c r="I36" s="1598">
        <v>0.5483968542044767</v>
      </c>
      <c r="J36" s="1598">
        <v>0.3666061705989111</v>
      </c>
      <c r="K36" s="1598">
        <v>4.3557168784029036E-2</v>
      </c>
      <c r="L36" s="1598">
        <v>3.1760435571687839E-2</v>
      </c>
      <c r="M36" s="1598">
        <v>6.0496067755595891E-4</v>
      </c>
      <c r="N36" s="7"/>
      <c r="O36" s="7"/>
    </row>
    <row r="37" spans="1:15" ht="13.8">
      <c r="A37" s="1608">
        <v>8</v>
      </c>
      <c r="B37" s="1597" t="s">
        <v>934</v>
      </c>
      <c r="C37" s="1597"/>
      <c r="D37" s="1597"/>
      <c r="E37" s="1272">
        <v>0.47517039922103216</v>
      </c>
      <c r="F37" s="1272">
        <v>0.5248296007789679</v>
      </c>
      <c r="G37" s="1598">
        <v>5.8422590068159686E-3</v>
      </c>
      <c r="H37" s="1598">
        <v>2.9211295034079843E-3</v>
      </c>
      <c r="I37" s="1598">
        <v>0.59104186952288218</v>
      </c>
      <c r="J37" s="1598">
        <v>0.33203505355404089</v>
      </c>
      <c r="K37" s="1598">
        <v>3.3106134371957155E-2</v>
      </c>
      <c r="L37" s="1598">
        <v>3.4079844206426485E-2</v>
      </c>
      <c r="M37" s="1598">
        <v>9.7370983446932818E-4</v>
      </c>
      <c r="N37" s="7"/>
      <c r="O37" s="7"/>
    </row>
    <row r="38" spans="1:15" ht="13.8">
      <c r="A38" s="1608">
        <v>9</v>
      </c>
      <c r="B38" s="1597" t="s">
        <v>936</v>
      </c>
      <c r="C38" s="1597"/>
      <c r="D38" s="1597"/>
      <c r="E38" s="1272">
        <v>0.47629796839729122</v>
      </c>
      <c r="F38" s="1272">
        <v>0.52370203160270878</v>
      </c>
      <c r="G38" s="1598">
        <v>4.5146726862302479E-3</v>
      </c>
      <c r="H38" s="1598">
        <v>3.2731376975169299E-2</v>
      </c>
      <c r="I38" s="1598">
        <v>0.80812641083521441</v>
      </c>
      <c r="J38" s="1598">
        <v>0.10609480812641084</v>
      </c>
      <c r="K38" s="1598">
        <v>7.900677200902935E-3</v>
      </c>
      <c r="L38" s="1598">
        <v>2.9345372460496615E-2</v>
      </c>
      <c r="M38" s="1598">
        <v>1.1286681715575621E-2</v>
      </c>
      <c r="N38" s="7"/>
      <c r="O38" s="7"/>
    </row>
    <row r="39" spans="1:15" ht="13.8">
      <c r="A39" s="1608">
        <v>10</v>
      </c>
      <c r="B39" s="1597" t="s">
        <v>938</v>
      </c>
      <c r="C39" s="1597"/>
      <c r="D39" s="1597"/>
      <c r="E39" s="1272">
        <v>0.48214892893573613</v>
      </c>
      <c r="F39" s="1272">
        <v>0.51785107106426387</v>
      </c>
      <c r="G39" s="1598">
        <v>1.0540632437946278E-2</v>
      </c>
      <c r="H39" s="1598">
        <v>8.3871698968604781E-3</v>
      </c>
      <c r="I39" s="1598">
        <v>0.61317012354074574</v>
      </c>
      <c r="J39" s="1598">
        <v>0.26997619857191429</v>
      </c>
      <c r="K39" s="1598">
        <v>3.4908761192338204E-2</v>
      </c>
      <c r="L39" s="1598">
        <v>5.6330046469454831E-2</v>
      </c>
      <c r="M39" s="1598">
        <v>6.6870678907401107E-3</v>
      </c>
      <c r="N39" s="7"/>
      <c r="O39" s="7"/>
    </row>
    <row r="40" spans="1:15" ht="13.8">
      <c r="A40" s="1608">
        <v>11</v>
      </c>
      <c r="B40" s="1597" t="s">
        <v>939</v>
      </c>
      <c r="C40" s="1597"/>
      <c r="D40" s="1597"/>
      <c r="E40" s="1272">
        <v>0.48776223776223776</v>
      </c>
      <c r="F40" s="1272">
        <v>0.51223776223776218</v>
      </c>
      <c r="G40" s="1598">
        <v>5.244755244755245E-3</v>
      </c>
      <c r="H40" s="1598">
        <v>2.097902097902098E-2</v>
      </c>
      <c r="I40" s="1598">
        <v>0.57692307692307687</v>
      </c>
      <c r="J40" s="1598">
        <v>0.19405594405594406</v>
      </c>
      <c r="K40" s="1598">
        <v>0.13286713286713286</v>
      </c>
      <c r="L40" s="1598">
        <v>6.6433566433566432E-2</v>
      </c>
      <c r="M40" s="1598">
        <v>3.4965034965034965E-3</v>
      </c>
      <c r="N40" s="7"/>
      <c r="O40" s="7"/>
    </row>
    <row r="41" spans="1:15" ht="13.8">
      <c r="A41" s="1608">
        <v>12</v>
      </c>
      <c r="B41" s="1597" t="s">
        <v>941</v>
      </c>
      <c r="C41" s="1597"/>
      <c r="D41" s="1597"/>
      <c r="E41" s="1272">
        <v>0.48813496477567669</v>
      </c>
      <c r="F41" s="1272">
        <v>0.51186503522432336</v>
      </c>
      <c r="G41" s="1598">
        <v>1.1494252873563218E-2</v>
      </c>
      <c r="H41" s="1598">
        <v>3.4853540971449756E-2</v>
      </c>
      <c r="I41" s="1598">
        <v>0.5576566555431961</v>
      </c>
      <c r="J41" s="1598">
        <v>0.30682239525398591</v>
      </c>
      <c r="K41" s="1598">
        <v>1.260659992584353E-2</v>
      </c>
      <c r="L41" s="1598">
        <v>6.6184649610678534E-2</v>
      </c>
      <c r="M41" s="1598">
        <v>1.0381905821282907E-2</v>
      </c>
      <c r="N41" s="7"/>
      <c r="O41" s="7"/>
    </row>
    <row r="42" spans="1:15" ht="13.8">
      <c r="A42" s="1608">
        <v>13</v>
      </c>
      <c r="B42" s="1597" t="s">
        <v>914</v>
      </c>
      <c r="C42" s="1597"/>
      <c r="D42" s="1597"/>
      <c r="E42" s="1272">
        <v>0.49310872894333846</v>
      </c>
      <c r="F42" s="1272">
        <v>0.50689127105666154</v>
      </c>
      <c r="G42" s="1598">
        <v>1.761102603369066E-2</v>
      </c>
      <c r="H42" s="1598">
        <v>6.8912710566615618E-3</v>
      </c>
      <c r="I42" s="1598">
        <v>0.46043899948953548</v>
      </c>
      <c r="J42" s="1598">
        <v>0.44244512506380806</v>
      </c>
      <c r="K42" s="1598">
        <v>2.2077590607452784E-2</v>
      </c>
      <c r="L42" s="1598">
        <v>4.7728432873915261E-2</v>
      </c>
      <c r="M42" s="1598">
        <v>2.8075548749361919E-3</v>
      </c>
      <c r="N42" s="7"/>
      <c r="O42" s="7"/>
    </row>
    <row r="43" spans="1:15" ht="13.8">
      <c r="A43" s="1608">
        <v>14</v>
      </c>
      <c r="B43" s="1597" t="s">
        <v>943</v>
      </c>
      <c r="C43" s="1597"/>
      <c r="D43" s="1597"/>
      <c r="E43" s="1272">
        <v>0.47103658536585363</v>
      </c>
      <c r="F43" s="1272">
        <v>0.52896341463414631</v>
      </c>
      <c r="G43" s="1598">
        <v>4.5731707317073168E-3</v>
      </c>
      <c r="H43" s="1598">
        <v>1.3719512195121951E-2</v>
      </c>
      <c r="I43" s="1598">
        <v>0.46646341463414637</v>
      </c>
      <c r="J43" s="1598">
        <v>0.34451219512195119</v>
      </c>
      <c r="K43" s="1598">
        <v>8.3841463414634151E-2</v>
      </c>
      <c r="L43" s="1598">
        <v>8.5365853658536592E-2</v>
      </c>
      <c r="M43" s="1598">
        <v>1.5243902439024391E-3</v>
      </c>
      <c r="N43" s="7"/>
      <c r="O43" s="7"/>
    </row>
    <row r="44" spans="1:15" ht="13.8">
      <c r="A44" s="1608">
        <v>15</v>
      </c>
      <c r="B44" s="1597" t="s">
        <v>946</v>
      </c>
      <c r="C44" s="1597"/>
      <c r="D44" s="1597"/>
      <c r="E44" s="1272">
        <v>0.515625</v>
      </c>
      <c r="F44" s="1272">
        <v>0.484375</v>
      </c>
      <c r="G44" s="1598">
        <v>8.9285714285714281E-3</v>
      </c>
      <c r="H44" s="1598">
        <v>1.1160714285714286E-2</v>
      </c>
      <c r="I44" s="1598">
        <v>0.828125</v>
      </c>
      <c r="J44" s="1598">
        <v>0.10491071428571429</v>
      </c>
      <c r="K44" s="1598">
        <v>4.464285714285714E-3</v>
      </c>
      <c r="L44" s="1598">
        <v>4.0178571428571432E-2</v>
      </c>
      <c r="M44" s="1598">
        <v>2.232142857142857E-3</v>
      </c>
      <c r="N44" s="7"/>
      <c r="O44" s="7"/>
    </row>
    <row r="45" spans="1:15" ht="13.8">
      <c r="A45" s="1608">
        <v>16</v>
      </c>
      <c r="B45" s="1602" t="s">
        <v>1419</v>
      </c>
      <c r="C45" s="1602"/>
      <c r="D45" s="1602"/>
      <c r="E45" s="1604">
        <v>0.48395088323998275</v>
      </c>
      <c r="F45" s="1604">
        <v>0.51604911676001719</v>
      </c>
      <c r="G45" s="1603">
        <v>4.4792884840278206E-2</v>
      </c>
      <c r="H45" s="1603">
        <v>2.5804763956422724E-2</v>
      </c>
      <c r="I45" s="1603">
        <v>0.4239244168154121</v>
      </c>
      <c r="J45" s="1603">
        <v>0.41755400997107156</v>
      </c>
      <c r="K45" s="1603">
        <v>1.2402289653474488E-2</v>
      </c>
      <c r="L45" s="1603">
        <v>6.1811411337477688E-2</v>
      </c>
      <c r="M45" s="1603">
        <v>1.3710223425863236E-2</v>
      </c>
      <c r="N45" s="7"/>
      <c r="O45" s="7"/>
    </row>
    <row r="46" spans="1:15" ht="13.8">
      <c r="A46" s="1608">
        <v>17</v>
      </c>
      <c r="B46" s="1602" t="s">
        <v>937</v>
      </c>
      <c r="C46" s="1602"/>
      <c r="D46" s="1602"/>
      <c r="E46" s="1272">
        <v>0.48778501628664495</v>
      </c>
      <c r="F46" s="1272">
        <v>0.51221498371335505</v>
      </c>
      <c r="G46" s="1598">
        <v>2.4429967426710096E-3</v>
      </c>
      <c r="H46" s="1598">
        <v>1.0586319218241042E-2</v>
      </c>
      <c r="I46" s="1598">
        <v>0.70358306188925079</v>
      </c>
      <c r="J46" s="1598">
        <v>0.18892508143322476</v>
      </c>
      <c r="K46" s="1598">
        <v>3.6644951140065149E-2</v>
      </c>
      <c r="L46" s="1598">
        <v>5.6188925081433222E-2</v>
      </c>
      <c r="M46" s="1598">
        <v>1.6286644951140066E-3</v>
      </c>
      <c r="N46" s="7"/>
      <c r="O46" s="7"/>
    </row>
    <row r="47" spans="1:15">
      <c r="A47" s="7"/>
      <c r="B47" s="7"/>
      <c r="C47" s="7"/>
      <c r="D47" s="7"/>
      <c r="G47" s="7"/>
      <c r="H47" s="7"/>
      <c r="I47" s="7"/>
      <c r="J47" s="7"/>
      <c r="K47" s="7"/>
      <c r="L47" s="7"/>
      <c r="M47" s="7"/>
      <c r="N47" s="7"/>
      <c r="O47" s="7"/>
    </row>
    <row r="48" spans="1:15" ht="13.8">
      <c r="A48" s="7"/>
      <c r="B48" s="1601" t="s">
        <v>1470</v>
      </c>
      <c r="C48" s="7"/>
      <c r="D48" s="7"/>
      <c r="E48" s="1272">
        <v>0.48506313520172467</v>
      </c>
      <c r="F48" s="1272">
        <v>0.51493686479827538</v>
      </c>
      <c r="G48" s="1272">
        <v>5.4817490799021026E-2</v>
      </c>
      <c r="H48" s="1272">
        <v>0.11856368146015581</v>
      </c>
      <c r="I48" s="1272">
        <v>0.29848777209930277</v>
      </c>
      <c r="J48" s="1272">
        <v>0.43531573074575708</v>
      </c>
      <c r="K48" s="1272">
        <v>8.2176917718280503E-3</v>
      </c>
      <c r="L48" s="1272">
        <v>6.9837022972137119E-2</v>
      </c>
      <c r="M48" s="1272">
        <v>1.4760610151798172E-2</v>
      </c>
      <c r="N48" s="7"/>
      <c r="O48" s="7"/>
    </row>
    <row r="49" spans="1:15" ht="13.8">
      <c r="A49" s="7"/>
      <c r="B49" s="1596" t="s">
        <v>1469</v>
      </c>
      <c r="C49" s="1596"/>
      <c r="D49" s="1596"/>
      <c r="E49" s="1272">
        <v>0.50681096518422486</v>
      </c>
      <c r="F49" s="1272">
        <v>0.49318903481577514</v>
      </c>
      <c r="G49" s="1272">
        <v>7.6621009713845514E-2</v>
      </c>
      <c r="H49" s="1272">
        <v>0.11917779907182985</v>
      </c>
      <c r="I49" s="1272">
        <v>0.34667343065967721</v>
      </c>
      <c r="J49" s="1272">
        <v>0.3499990605565263</v>
      </c>
      <c r="K49" s="1272">
        <v>4.246284501061571E-3</v>
      </c>
      <c r="L49" s="1272">
        <v>8.7405820791762956E-2</v>
      </c>
      <c r="M49" s="1272">
        <v>1.5876594705296582E-2</v>
      </c>
      <c r="N49" s="7"/>
      <c r="O49" s="7"/>
    </row>
    <row r="50" spans="1:15">
      <c r="A50" s="7"/>
      <c r="B50" s="7"/>
      <c r="C50" s="7"/>
      <c r="D50" s="7"/>
      <c r="E50" s="7"/>
      <c r="F50" s="7"/>
      <c r="G50" s="7"/>
      <c r="H50" s="7"/>
      <c r="I50" s="7"/>
      <c r="J50" s="7"/>
      <c r="K50" s="7"/>
      <c r="L50" s="7"/>
      <c r="M50" s="7"/>
      <c r="N50" s="7"/>
      <c r="O50" s="7"/>
    </row>
    <row r="51" spans="1:15">
      <c r="A51" s="7"/>
      <c r="B51" s="1596" t="s">
        <v>1425</v>
      </c>
      <c r="C51" s="7"/>
      <c r="D51" s="7"/>
      <c r="E51" s="7"/>
      <c r="F51" s="7"/>
      <c r="G51" s="7"/>
      <c r="H51" s="7"/>
      <c r="I51" s="7"/>
      <c r="J51" s="7"/>
      <c r="K51" s="7"/>
      <c r="L51" s="7"/>
      <c r="M51" s="7"/>
      <c r="N51" s="7"/>
      <c r="O51" s="7"/>
    </row>
    <row r="52" spans="1:15">
      <c r="A52" s="7"/>
      <c r="B52" s="7"/>
      <c r="C52" s="7"/>
      <c r="D52" s="7"/>
      <c r="E52" s="7"/>
      <c r="F52" s="7"/>
      <c r="G52" s="7"/>
      <c r="H52" s="7"/>
      <c r="I52" s="7"/>
      <c r="J52" s="7"/>
      <c r="K52" s="7"/>
      <c r="L52" s="7"/>
      <c r="M52" s="7"/>
      <c r="N52" s="7"/>
      <c r="O52" s="7"/>
    </row>
    <row r="53" spans="1:15">
      <c r="A53" s="7"/>
      <c r="B53" s="7"/>
      <c r="C53" s="7"/>
      <c r="D53" s="7"/>
      <c r="E53" s="7"/>
      <c r="F53" s="7"/>
      <c r="G53" s="7"/>
      <c r="H53" s="7"/>
      <c r="I53" s="7"/>
      <c r="J53" s="7"/>
      <c r="K53" s="7"/>
      <c r="L53" s="7"/>
      <c r="M53" s="7"/>
      <c r="N53" s="7"/>
      <c r="O53" s="7"/>
    </row>
    <row r="54" spans="1:15">
      <c r="A54" s="7"/>
      <c r="B54" s="7"/>
      <c r="C54" s="7"/>
      <c r="D54" s="7"/>
      <c r="E54" s="7"/>
      <c r="F54" s="7"/>
      <c r="G54" s="7"/>
      <c r="H54" s="7"/>
      <c r="I54" s="7"/>
      <c r="J54" s="7"/>
      <c r="K54" s="7"/>
      <c r="L54" s="7"/>
      <c r="M54" s="7"/>
      <c r="N54" s="7"/>
      <c r="O54" s="7"/>
    </row>
    <row r="55" spans="1:15">
      <c r="A55" s="7"/>
      <c r="B55" s="7"/>
      <c r="C55" s="7"/>
      <c r="D55" s="7"/>
      <c r="E55" s="7"/>
      <c r="F55" s="7"/>
      <c r="G55" s="7"/>
      <c r="H55" s="7"/>
      <c r="I55" s="7"/>
      <c r="J55" s="7"/>
      <c r="K55" s="7"/>
      <c r="L55" s="7"/>
      <c r="M55" s="7"/>
      <c r="N55" s="7"/>
      <c r="O55" s="7"/>
    </row>
    <row r="56" spans="1:15">
      <c r="A56" s="7"/>
      <c r="B56" s="7"/>
      <c r="C56" s="7"/>
      <c r="D56" s="7"/>
      <c r="E56" s="7"/>
      <c r="F56" s="7"/>
      <c r="G56" s="7"/>
      <c r="H56" s="7"/>
      <c r="I56" s="7"/>
      <c r="J56" s="7"/>
      <c r="K56" s="7"/>
      <c r="L56" s="7"/>
      <c r="M56" s="7"/>
      <c r="N56" s="7"/>
      <c r="O56" s="7"/>
    </row>
    <row r="57" spans="1:15">
      <c r="A57" s="7"/>
      <c r="B57" s="7"/>
      <c r="C57" s="7"/>
      <c r="D57" s="7"/>
      <c r="E57" s="7"/>
      <c r="F57" s="7"/>
      <c r="G57" s="7"/>
      <c r="H57" s="7"/>
      <c r="I57" s="7"/>
      <c r="J57" s="7"/>
      <c r="K57" s="7"/>
      <c r="L57" s="7"/>
      <c r="M57" s="7"/>
      <c r="N57" s="7"/>
      <c r="O57" s="7"/>
    </row>
    <row r="58" spans="1:15">
      <c r="A58" s="7"/>
      <c r="B58" s="7"/>
      <c r="C58" s="7"/>
      <c r="D58" s="7"/>
      <c r="E58" s="7"/>
      <c r="F58" s="7"/>
      <c r="G58" s="7"/>
      <c r="H58" s="7"/>
      <c r="I58" s="7"/>
      <c r="J58" s="7"/>
      <c r="K58" s="7"/>
      <c r="L58" s="7"/>
      <c r="M58" s="7"/>
      <c r="N58" s="7"/>
      <c r="O58" s="7"/>
    </row>
    <row r="59" spans="1:15">
      <c r="A59" s="7"/>
      <c r="B59" s="7"/>
      <c r="C59" s="7"/>
      <c r="D59" s="7"/>
      <c r="E59" s="7"/>
      <c r="F59" s="7"/>
      <c r="G59" s="7"/>
      <c r="H59" s="7"/>
      <c r="I59" s="7"/>
      <c r="J59" s="7"/>
      <c r="K59" s="7"/>
      <c r="L59" s="7"/>
      <c r="M59" s="7"/>
      <c r="N59" s="7"/>
      <c r="O59" s="7"/>
    </row>
    <row r="60" spans="1:15">
      <c r="A60" s="7"/>
      <c r="B60" s="7"/>
      <c r="C60" s="7"/>
      <c r="D60" s="7"/>
      <c r="E60" s="7"/>
      <c r="F60" s="7"/>
      <c r="G60" s="7"/>
      <c r="H60" s="7"/>
      <c r="I60" s="7"/>
      <c r="J60" s="7"/>
      <c r="K60" s="7"/>
      <c r="L60" s="7"/>
      <c r="M60" s="7"/>
      <c r="N60" s="7"/>
      <c r="O60" s="7"/>
    </row>
    <row r="61" spans="1:15">
      <c r="A61" s="7"/>
      <c r="B61" s="7"/>
      <c r="C61" s="7"/>
      <c r="D61" s="7"/>
      <c r="E61" s="7"/>
      <c r="F61" s="7"/>
      <c r="G61" s="7"/>
      <c r="H61" s="7"/>
      <c r="I61" s="7"/>
      <c r="J61" s="7"/>
      <c r="K61" s="7"/>
      <c r="L61" s="7"/>
      <c r="M61" s="7"/>
      <c r="N61" s="7"/>
      <c r="O61" s="7"/>
    </row>
    <row r="62" spans="1:15">
      <c r="A62" s="7"/>
      <c r="B62" s="7"/>
      <c r="C62" s="7"/>
      <c r="D62" s="7"/>
      <c r="E62" s="7"/>
      <c r="F62" s="7"/>
      <c r="G62" s="7"/>
      <c r="H62" s="7"/>
      <c r="I62" s="7"/>
      <c r="J62" s="7"/>
      <c r="K62" s="7"/>
      <c r="L62" s="7"/>
      <c r="M62" s="7"/>
      <c r="N62" s="7"/>
      <c r="O62" s="7"/>
    </row>
    <row r="63" spans="1:15">
      <c r="A63" s="7"/>
      <c r="B63" s="7"/>
      <c r="C63" s="7"/>
      <c r="D63" s="7"/>
      <c r="E63" s="7"/>
      <c r="F63" s="7"/>
      <c r="G63" s="7"/>
      <c r="H63" s="7"/>
      <c r="I63" s="7"/>
      <c r="J63" s="7"/>
      <c r="K63" s="7"/>
      <c r="L63" s="7"/>
      <c r="M63" s="7"/>
      <c r="N63" s="7"/>
      <c r="O63" s="7"/>
    </row>
    <row r="64" spans="1:15">
      <c r="A64" s="7"/>
      <c r="B64" s="7"/>
      <c r="C64" s="7"/>
      <c r="D64" s="7"/>
      <c r="E64" s="7"/>
      <c r="F64" s="7"/>
      <c r="G64" s="7"/>
      <c r="H64" s="7"/>
      <c r="I64" s="7"/>
      <c r="J64" s="7"/>
      <c r="K64" s="7"/>
      <c r="L64" s="7"/>
      <c r="M64" s="7"/>
      <c r="N64" s="7"/>
      <c r="O64" s="7"/>
    </row>
    <row r="65" spans="1:15">
      <c r="A65" s="7"/>
      <c r="B65" s="7"/>
      <c r="C65" s="7"/>
      <c r="D65" s="7"/>
      <c r="E65" s="7"/>
      <c r="F65" s="7"/>
      <c r="G65" s="7"/>
      <c r="H65" s="7"/>
      <c r="I65" s="7"/>
      <c r="J65" s="7"/>
      <c r="K65" s="7"/>
      <c r="L65" s="7"/>
      <c r="M65" s="7"/>
      <c r="N65" s="7"/>
      <c r="O65" s="7"/>
    </row>
    <row r="66" spans="1:15">
      <c r="A66" s="7"/>
      <c r="B66" s="7"/>
      <c r="C66" s="7"/>
      <c r="D66" s="7"/>
      <c r="E66" s="7"/>
      <c r="F66" s="7"/>
      <c r="G66" s="7"/>
      <c r="H66" s="7"/>
      <c r="I66" s="7"/>
      <c r="J66" s="7"/>
      <c r="K66" s="7"/>
      <c r="L66" s="7"/>
      <c r="M66" s="7"/>
      <c r="N66" s="7"/>
      <c r="O66" s="7"/>
    </row>
    <row r="67" spans="1:15">
      <c r="A67" s="7"/>
      <c r="B67" s="7"/>
      <c r="C67" s="7"/>
      <c r="D67" s="7"/>
      <c r="E67" s="7"/>
      <c r="F67" s="7"/>
      <c r="G67" s="7"/>
      <c r="H67" s="7"/>
      <c r="I67" s="7"/>
      <c r="J67" s="7"/>
      <c r="K67" s="7"/>
      <c r="L67" s="7"/>
      <c r="M67" s="7"/>
      <c r="N67" s="7"/>
      <c r="O67" s="7"/>
    </row>
    <row r="68" spans="1:15">
      <c r="A68" s="7"/>
      <c r="B68" s="7"/>
      <c r="C68" s="7"/>
      <c r="D68" s="7"/>
      <c r="E68" s="7"/>
      <c r="F68" s="7"/>
      <c r="G68" s="7"/>
      <c r="H68" s="7"/>
      <c r="I68" s="7"/>
      <c r="J68" s="7"/>
      <c r="K68" s="7"/>
      <c r="L68" s="7"/>
      <c r="M68" s="7"/>
      <c r="N68" s="7"/>
      <c r="O68" s="7"/>
    </row>
    <row r="69" spans="1:15">
      <c r="A69" s="7"/>
      <c r="B69" s="7"/>
      <c r="C69" s="7"/>
      <c r="D69" s="7"/>
      <c r="E69" s="7"/>
      <c r="F69" s="7"/>
      <c r="G69" s="7"/>
      <c r="H69" s="7"/>
      <c r="I69" s="7"/>
      <c r="J69" s="7"/>
      <c r="K69" s="7"/>
      <c r="L69" s="7"/>
      <c r="M69" s="7"/>
      <c r="N69" s="7"/>
      <c r="O69" s="7"/>
    </row>
    <row r="70" spans="1:15">
      <c r="A70" s="7"/>
      <c r="B70" s="7"/>
      <c r="C70" s="7"/>
      <c r="D70" s="7"/>
      <c r="E70" s="7"/>
      <c r="F70" s="7"/>
      <c r="G70" s="7"/>
      <c r="H70" s="7"/>
      <c r="I70" s="7"/>
      <c r="J70" s="7"/>
      <c r="K70" s="7"/>
      <c r="L70" s="7"/>
      <c r="M70" s="7"/>
      <c r="N70" s="7"/>
      <c r="O70" s="7"/>
    </row>
    <row r="71" spans="1:15">
      <c r="A71" s="7"/>
      <c r="B71" s="7"/>
      <c r="C71" s="7"/>
      <c r="D71" s="7"/>
      <c r="E71" s="7"/>
      <c r="F71" s="7"/>
      <c r="G71" s="7"/>
      <c r="H71" s="7"/>
      <c r="I71" s="7"/>
      <c r="J71" s="7"/>
      <c r="K71" s="7"/>
      <c r="L71" s="7"/>
      <c r="M71" s="7"/>
      <c r="N71" s="7"/>
      <c r="O71" s="7"/>
    </row>
    <row r="72" spans="1:15">
      <c r="A72" s="7"/>
      <c r="B72" s="7"/>
      <c r="C72" s="7"/>
      <c r="D72" s="7"/>
      <c r="E72" s="7"/>
      <c r="F72" s="7"/>
      <c r="G72" s="7"/>
      <c r="H72" s="7"/>
      <c r="I72" s="7"/>
      <c r="J72" s="7"/>
      <c r="K72" s="7"/>
      <c r="L72" s="7"/>
      <c r="M72" s="7"/>
      <c r="N72" s="7"/>
      <c r="O72" s="7"/>
    </row>
    <row r="73" spans="1:15">
      <c r="A73" s="7"/>
      <c r="B73" s="7"/>
      <c r="C73" s="7"/>
      <c r="D73" s="7"/>
      <c r="E73" s="7"/>
      <c r="F73" s="7"/>
      <c r="G73" s="7"/>
      <c r="H73" s="7"/>
      <c r="I73" s="7"/>
      <c r="J73" s="7"/>
      <c r="K73" s="7"/>
      <c r="L73" s="7"/>
      <c r="M73" s="7"/>
      <c r="N73" s="7"/>
      <c r="O73" s="7"/>
    </row>
    <row r="74" spans="1:15">
      <c r="A74" s="7"/>
      <c r="B74" s="7"/>
      <c r="C74" s="7"/>
      <c r="D74" s="7"/>
      <c r="E74" s="7"/>
      <c r="F74" s="7"/>
      <c r="G74" s="7"/>
      <c r="H74" s="7"/>
      <c r="I74" s="7"/>
      <c r="J74" s="7"/>
      <c r="K74" s="7"/>
      <c r="L74" s="7"/>
      <c r="M74" s="7"/>
      <c r="N74" s="7"/>
      <c r="O74" s="7"/>
    </row>
    <row r="75" spans="1:15">
      <c r="A75" s="7"/>
      <c r="B75" s="7"/>
      <c r="C75" s="7"/>
      <c r="D75" s="7"/>
      <c r="E75" s="7"/>
      <c r="F75" s="7"/>
      <c r="G75" s="7"/>
      <c r="H75" s="7"/>
      <c r="I75" s="7"/>
      <c r="J75" s="7"/>
      <c r="K75" s="7"/>
      <c r="L75" s="7"/>
      <c r="M75" s="7"/>
      <c r="N75" s="7"/>
      <c r="O75" s="7"/>
    </row>
    <row r="76" spans="1:15">
      <c r="A76" s="7"/>
      <c r="B76" s="7"/>
      <c r="C76" s="7"/>
      <c r="D76" s="7"/>
      <c r="E76" s="7"/>
      <c r="F76" s="7"/>
      <c r="G76" s="7"/>
      <c r="H76" s="7"/>
      <c r="I76" s="7"/>
      <c r="J76" s="7"/>
      <c r="K76" s="7"/>
      <c r="L76" s="7"/>
      <c r="M76" s="7"/>
      <c r="N76" s="7"/>
      <c r="O76" s="7"/>
    </row>
    <row r="77" spans="1:15">
      <c r="A77" s="7"/>
      <c r="B77" s="7"/>
      <c r="C77" s="7"/>
      <c r="D77" s="7"/>
      <c r="E77" s="7"/>
      <c r="F77" s="7"/>
      <c r="G77" s="7"/>
      <c r="H77" s="7"/>
      <c r="I77" s="7"/>
      <c r="J77" s="7"/>
      <c r="K77" s="7"/>
      <c r="L77" s="7"/>
      <c r="M77" s="7"/>
      <c r="N77" s="7"/>
      <c r="O77" s="7"/>
    </row>
    <row r="78" spans="1:15">
      <c r="A78" s="7"/>
      <c r="B78" s="7"/>
      <c r="C78" s="7"/>
      <c r="D78" s="7"/>
      <c r="E78" s="7"/>
      <c r="F78" s="7"/>
      <c r="G78" s="7"/>
      <c r="H78" s="7"/>
      <c r="I78" s="7"/>
      <c r="J78" s="7"/>
      <c r="K78" s="7"/>
      <c r="L78" s="7"/>
      <c r="M78" s="7"/>
      <c r="N78" s="7"/>
      <c r="O78" s="7"/>
    </row>
    <row r="79" spans="1:15">
      <c r="A79" s="7"/>
      <c r="B79" s="7"/>
      <c r="C79" s="7"/>
      <c r="D79" s="7"/>
      <c r="E79" s="7"/>
      <c r="F79" s="7"/>
      <c r="G79" s="7"/>
      <c r="H79" s="7"/>
      <c r="I79" s="7"/>
      <c r="J79" s="7"/>
      <c r="K79" s="7"/>
      <c r="L79" s="7"/>
      <c r="M79" s="7"/>
      <c r="N79" s="7"/>
      <c r="O79" s="7"/>
    </row>
    <row r="80" spans="1:15">
      <c r="A80" s="7"/>
      <c r="B80" s="7"/>
      <c r="C80" s="7"/>
      <c r="D80" s="7"/>
      <c r="E80" s="7"/>
      <c r="F80" s="7"/>
      <c r="G80" s="7"/>
      <c r="H80" s="7"/>
      <c r="I80" s="7"/>
      <c r="J80" s="7"/>
      <c r="K80" s="7"/>
      <c r="L80" s="7"/>
      <c r="M80" s="7"/>
      <c r="N80" s="7"/>
      <c r="O80" s="7"/>
    </row>
    <row r="81" spans="1:15">
      <c r="A81" s="7"/>
      <c r="B81" s="7"/>
      <c r="C81" s="7"/>
      <c r="D81" s="7"/>
      <c r="E81" s="7"/>
      <c r="F81" s="7"/>
      <c r="G81" s="7"/>
      <c r="H81" s="7"/>
      <c r="I81" s="7"/>
      <c r="J81" s="7"/>
      <c r="K81" s="7"/>
      <c r="L81" s="7"/>
      <c r="M81" s="7"/>
      <c r="N81" s="7"/>
      <c r="O81" s="7"/>
    </row>
    <row r="82" spans="1:15">
      <c r="A82" s="7"/>
      <c r="B82" s="7"/>
      <c r="C82" s="7"/>
      <c r="D82" s="7"/>
      <c r="E82" s="7"/>
      <c r="F82" s="7"/>
      <c r="G82" s="7"/>
      <c r="H82" s="7"/>
      <c r="I82" s="7"/>
      <c r="J82" s="7"/>
      <c r="K82" s="7"/>
      <c r="L82" s="7"/>
      <c r="M82" s="7"/>
      <c r="N82" s="7"/>
      <c r="O82" s="7"/>
    </row>
    <row r="83" spans="1:15">
      <c r="A83" s="7"/>
      <c r="B83" s="7"/>
      <c r="C83" s="7"/>
      <c r="D83" s="7"/>
      <c r="E83" s="7"/>
      <c r="F83" s="7"/>
      <c r="G83" s="7"/>
      <c r="H83" s="7"/>
      <c r="I83" s="7"/>
      <c r="J83" s="7"/>
      <c r="K83" s="7"/>
      <c r="L83" s="7"/>
      <c r="M83" s="7"/>
      <c r="N83" s="7"/>
      <c r="O83" s="7"/>
    </row>
    <row r="84" spans="1:15">
      <c r="A84" s="7"/>
      <c r="B84" s="7"/>
      <c r="C84" s="7"/>
      <c r="D84" s="7"/>
      <c r="E84" s="7"/>
      <c r="F84" s="7"/>
      <c r="G84" s="7"/>
      <c r="H84" s="7"/>
      <c r="I84" s="7"/>
      <c r="J84" s="7"/>
      <c r="K84" s="7"/>
      <c r="L84" s="7"/>
      <c r="M84" s="7"/>
      <c r="N84" s="7"/>
      <c r="O84" s="7"/>
    </row>
    <row r="85" spans="1:15">
      <c r="A85" s="7"/>
      <c r="B85" s="7"/>
      <c r="C85" s="7"/>
      <c r="D85" s="7"/>
      <c r="E85" s="7"/>
      <c r="F85" s="7"/>
      <c r="G85" s="7"/>
      <c r="H85" s="7"/>
      <c r="I85" s="7"/>
      <c r="J85" s="7"/>
      <c r="K85" s="7"/>
      <c r="L85" s="7"/>
      <c r="M85" s="7"/>
      <c r="N85" s="7"/>
      <c r="O85" s="7"/>
    </row>
  </sheetData>
  <sheetProtection algorithmName="SHA-512" hashValue="tdXVmI0jkb1iCh51psNUaC1c1C99Ia1uk3S6RbuWolXj/kLSfhgBHCAqULaq4h4aBL3OwLv2WzmmNNQ8ATE7ig==" saltValue="iAoN1mvB/PLuxuKOq9iyGA==" spinCount="100000" sheet="1" objects="1" scenarios="1"/>
  <mergeCells count="3">
    <mergeCell ref="B7:D7"/>
    <mergeCell ref="B29:D29"/>
    <mergeCell ref="A2:E2"/>
  </mergeCells>
  <conditionalFormatting sqref="B30:D46 G30:M46">
    <cfRule type="expression" dxfId="566" priority="4" stopIfTrue="1">
      <formula>MOD(ROW(),2)=0</formula>
    </cfRule>
  </conditionalFormatting>
  <conditionalFormatting sqref="E30:F46">
    <cfRule type="expression" dxfId="565" priority="10" stopIfTrue="1">
      <formula>MOD(ROW(),2)=0</formula>
    </cfRule>
  </conditionalFormatting>
  <conditionalFormatting sqref="B48:M49">
    <cfRule type="expression" dxfId="564" priority="11" stopIfTrue="1">
      <formula>MOD(ROW(),2)=0</formula>
    </cfRule>
  </conditionalFormatting>
  <conditionalFormatting sqref="B26:D27">
    <cfRule type="expression" dxfId="563" priority="1" stopIfTrue="1">
      <formula>MOD(ROW(),2)=0</formula>
    </cfRule>
  </conditionalFormatting>
  <conditionalFormatting sqref="E27:K27">
    <cfRule type="expression" dxfId="562" priority="12" stopIfTrue="1">
      <formula>MOD(ROW(),2)=0</formula>
    </cfRule>
  </conditionalFormatting>
  <conditionalFormatting sqref="B8:K24">
    <cfRule type="expression" dxfId="561" priority="13" stopIfTrue="1">
      <formula>MOD(ROW(),2)=0</formula>
    </cfRule>
  </conditionalFormatting>
  <pageMargins left="0.25" right="0.25" top="0.5" bottom="0.44999999999999996" header="0.25" footer="0.25"/>
  <pageSetup scale="83" orientation="landscape" r:id="rId1"/>
  <headerFooter alignWithMargins="0">
    <oddHeader xml:space="preserve">&amp;L &amp;C &amp;R </oddHeader>
    <oddFooter>&amp;L&amp;7&amp;D  at &amp;T Mike 702.486.8879&amp;C&amp;7&amp;F  &amp;A&amp;R&amp;7Page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sheetPr>
  <dimension ref="A1:AH418"/>
  <sheetViews>
    <sheetView zoomScale="85" zoomScaleNormal="85" workbookViewId="0">
      <selection sqref="A1:B2"/>
    </sheetView>
  </sheetViews>
  <sheetFormatPr defaultColWidth="8.88671875" defaultRowHeight="14.4" outlineLevelRow="2" outlineLevelCol="3"/>
  <cols>
    <col min="1" max="1" width="5.5546875" customWidth="1"/>
    <col min="2" max="2" width="12.88671875" customWidth="1" outlineLevel="1"/>
    <col min="3" max="3" width="12.5546875" customWidth="1" outlineLevel="1"/>
    <col min="4" max="4" width="12.88671875" customWidth="1" outlineLevel="1"/>
    <col min="5" max="5" width="14.44140625" customWidth="1" outlineLevel="1"/>
    <col min="6" max="6" width="14.33203125" customWidth="1" outlineLevel="1"/>
    <col min="7" max="8" width="13.33203125" customWidth="1" outlineLevel="1"/>
    <col min="9" max="9" width="10" customWidth="1" outlineLevel="1"/>
    <col min="10" max="10" width="13.5546875" customWidth="1" outlineLevel="1"/>
    <col min="11" max="11" width="8.6640625" customWidth="1" outlineLevel="1"/>
    <col min="12" max="12" width="8.88671875" customWidth="1" outlineLevel="1"/>
    <col min="13" max="13" width="11.109375" customWidth="1"/>
    <col min="14" max="14" width="8.6640625" customWidth="1"/>
    <col min="15" max="15" width="13.88671875" customWidth="1" outlineLevel="1"/>
    <col min="16" max="16" width="10.6640625" style="4" customWidth="1" outlineLevel="2"/>
    <col min="17" max="17" width="21.6640625" style="4" customWidth="1" outlineLevel="2"/>
    <col min="18" max="18" width="13" style="4" customWidth="1" outlineLevel="2"/>
    <col min="19" max="19" width="10.5546875" style="4" customWidth="1" outlineLevel="1"/>
    <col min="20" max="20" width="13.109375" customWidth="1" outlineLevel="1"/>
    <col min="21" max="21" width="13" customWidth="1" outlineLevel="1"/>
    <col min="22" max="22" width="10.109375" customWidth="1" outlineLevel="1"/>
    <col min="23" max="23" width="12.109375" customWidth="1" outlineLevel="1"/>
    <col min="24" max="24" width="11" customWidth="1" outlineLevel="1"/>
    <col min="25" max="25" width="11.88671875" customWidth="1" outlineLevel="1"/>
    <col min="26" max="26" width="12" customWidth="1" outlineLevel="3"/>
    <col min="27" max="28" width="14.33203125" customWidth="1" outlineLevel="3"/>
    <col min="29" max="33" width="8.88671875" customWidth="1" outlineLevel="1"/>
  </cols>
  <sheetData>
    <row r="1" spans="1:28" ht="15.6">
      <c r="A1" s="21" t="s">
        <v>115</v>
      </c>
      <c r="B1" s="21"/>
      <c r="Q1" s="438" t="s">
        <v>2</v>
      </c>
      <c r="S1"/>
      <c r="T1" s="24"/>
      <c r="Y1" s="385"/>
    </row>
    <row r="2" spans="1:28" ht="15.6">
      <c r="A2" s="22" t="str">
        <f>SchoolName</f>
        <v>Eagle Charter Schools of Nevada</v>
      </c>
      <c r="B2" s="22"/>
      <c r="S2"/>
    </row>
    <row r="3" spans="1:28">
      <c r="A3" s="19" t="s">
        <v>72</v>
      </c>
      <c r="O3" s="4"/>
      <c r="S3"/>
    </row>
    <row r="4" spans="1:28">
      <c r="A4" s="20" t="s">
        <v>73</v>
      </c>
      <c r="O4" s="4"/>
      <c r="S4"/>
    </row>
    <row r="5" spans="1:28">
      <c r="A5" s="1262" t="str">
        <f ca="1">CELL("filename")</f>
        <v>C:\Users\Nicho\Desktop\[Attachment 2.  Eagle NV RFA 12.16.22.xlsx]CF Y1 Mo</v>
      </c>
      <c r="O5" s="4"/>
      <c r="S5"/>
    </row>
    <row r="6" spans="1:28">
      <c r="O6" s="824"/>
      <c r="P6" s="824"/>
      <c r="Q6" s="824"/>
      <c r="R6" s="824"/>
      <c r="S6" s="35"/>
      <c r="T6" s="35"/>
      <c r="U6" s="35"/>
      <c r="V6" s="35"/>
      <c r="W6" s="35"/>
      <c r="X6" s="35"/>
      <c r="Y6" s="35"/>
      <c r="Z6" s="35"/>
      <c r="AA6" s="35"/>
      <c r="AB6" s="35"/>
    </row>
    <row r="7" spans="1:28">
      <c r="O7" s="35" t="s">
        <v>886</v>
      </c>
      <c r="P7" s="334"/>
      <c r="Q7" s="334"/>
      <c r="R7" s="334"/>
      <c r="S7" s="334"/>
      <c r="T7" s="334"/>
      <c r="U7" s="334"/>
      <c r="V7" s="334"/>
      <c r="W7" s="334"/>
      <c r="X7" s="334"/>
      <c r="Y7" s="334"/>
      <c r="AA7" s="334"/>
      <c r="AB7" s="334"/>
    </row>
    <row r="8" spans="1:28" ht="15.6">
      <c r="B8" s="1089" t="s">
        <v>887</v>
      </c>
      <c r="C8" s="1089"/>
      <c r="D8" s="1090"/>
      <c r="E8" s="1090"/>
      <c r="F8" s="1090"/>
      <c r="G8" s="1090"/>
      <c r="H8" s="1090"/>
      <c r="I8" s="1090"/>
      <c r="J8" s="1091"/>
      <c r="O8" s="35" t="s">
        <v>888</v>
      </c>
      <c r="P8" s="28"/>
      <c r="Q8" s="27"/>
      <c r="R8" s="27"/>
      <c r="S8" s="27"/>
      <c r="T8" s="27"/>
      <c r="U8" s="27"/>
      <c r="V8" s="27"/>
      <c r="W8" s="27"/>
      <c r="X8" s="27"/>
      <c r="Y8" s="27"/>
      <c r="Z8" s="390" t="s">
        <v>889</v>
      </c>
      <c r="AA8" s="27"/>
      <c r="AB8" s="27"/>
    </row>
    <row r="9" spans="1:28" ht="15.6">
      <c r="A9" s="391"/>
      <c r="B9" s="391"/>
      <c r="C9" s="391"/>
      <c r="D9" s="391"/>
      <c r="E9" s="391"/>
      <c r="F9" s="391"/>
      <c r="G9" s="391"/>
      <c r="H9" s="391"/>
      <c r="I9" s="391"/>
      <c r="O9" s="391"/>
      <c r="P9" s="392"/>
      <c r="Q9" s="393"/>
      <c r="R9" s="393"/>
      <c r="S9" s="393"/>
      <c r="T9" s="823"/>
      <c r="U9" s="393"/>
      <c r="V9" s="393"/>
      <c r="W9" s="393"/>
      <c r="X9" s="393"/>
      <c r="Y9" s="393"/>
      <c r="Z9" s="418">
        <v>0</v>
      </c>
      <c r="AA9" s="393"/>
      <c r="AB9" s="393"/>
    </row>
    <row r="10" spans="1:28" ht="15.6">
      <c r="A10" s="391"/>
      <c r="B10" s="1092" t="s">
        <v>890</v>
      </c>
      <c r="C10" s="1092"/>
      <c r="D10" s="1093"/>
      <c r="E10" s="1093"/>
      <c r="F10" s="1093"/>
      <c r="G10" s="1093"/>
      <c r="H10" s="1093"/>
      <c r="I10" s="1093"/>
      <c r="J10" s="1094"/>
      <c r="O10" s="391"/>
      <c r="P10" s="392"/>
      <c r="Q10" s="393"/>
      <c r="R10" s="393"/>
      <c r="S10" s="396" t="s">
        <v>891</v>
      </c>
      <c r="T10" s="393"/>
      <c r="U10" s="393"/>
      <c r="V10" s="393"/>
      <c r="W10" s="393"/>
      <c r="X10" s="393"/>
      <c r="Y10" s="393"/>
      <c r="Z10" s="395">
        <v>0</v>
      </c>
      <c r="AA10" s="393"/>
      <c r="AB10" s="393"/>
    </row>
    <row r="11" spans="1:28" ht="15.6">
      <c r="A11" s="391"/>
      <c r="O11" s="391"/>
      <c r="P11" s="2226" t="s">
        <v>892</v>
      </c>
      <c r="Q11" s="2226"/>
      <c r="R11" s="396" t="s">
        <v>893</v>
      </c>
      <c r="S11" s="396"/>
      <c r="T11" s="396"/>
      <c r="U11" s="396"/>
      <c r="V11" s="2227" t="s">
        <v>894</v>
      </c>
      <c r="W11" s="2227"/>
      <c r="X11" s="391"/>
      <c r="Y11" s="391" t="s">
        <v>895</v>
      </c>
      <c r="Z11" s="419">
        <f>+Z9*(1-Z10)</f>
        <v>0</v>
      </c>
      <c r="AA11" s="390" t="s">
        <v>889</v>
      </c>
      <c r="AB11" s="390"/>
    </row>
    <row r="12" spans="1:28" ht="15.6">
      <c r="A12" s="391"/>
      <c r="B12" t="s">
        <v>896</v>
      </c>
      <c r="D12" s="1376">
        <v>1</v>
      </c>
      <c r="E12" t="s">
        <v>897</v>
      </c>
      <c r="O12" s="391"/>
      <c r="P12" s="396"/>
      <c r="Q12" s="396"/>
      <c r="R12" s="396"/>
      <c r="S12" s="396"/>
      <c r="T12" s="396"/>
      <c r="U12" s="396"/>
      <c r="V12" s="1412"/>
      <c r="W12" s="1412"/>
      <c r="X12" s="391"/>
      <c r="Y12" s="391"/>
      <c r="Z12" s="419"/>
      <c r="AA12" s="390"/>
      <c r="AB12" s="390"/>
    </row>
    <row r="13" spans="1:28" ht="15.6">
      <c r="A13" s="391"/>
      <c r="B13" t="s">
        <v>896</v>
      </c>
      <c r="D13" s="1192">
        <v>0.99309999999999998</v>
      </c>
      <c r="E13" t="s">
        <v>898</v>
      </c>
      <c r="O13" s="391"/>
      <c r="P13" s="396"/>
      <c r="Q13" s="396"/>
      <c r="R13" s="396"/>
      <c r="S13" s="396"/>
      <c r="T13" s="396"/>
      <c r="U13" s="396"/>
      <c r="V13" s="1412"/>
      <c r="W13" s="1412"/>
      <c r="X13" s="391"/>
      <c r="Y13" s="391"/>
      <c r="Z13" s="419"/>
      <c r="AA13" s="390"/>
      <c r="AB13" s="390"/>
    </row>
    <row r="14" spans="1:28" ht="31.2">
      <c r="A14" s="391"/>
      <c r="D14" s="1085" t="s">
        <v>899</v>
      </c>
      <c r="E14" s="1085" t="s">
        <v>900</v>
      </c>
      <c r="O14" s="1098" t="s">
        <v>901</v>
      </c>
      <c r="P14" s="1099" t="s">
        <v>902</v>
      </c>
      <c r="Q14" s="1100" t="s">
        <v>903</v>
      </c>
      <c r="R14" s="1101">
        <v>1</v>
      </c>
      <c r="S14" s="1102">
        <v>0</v>
      </c>
      <c r="T14" s="1103" t="s">
        <v>904</v>
      </c>
      <c r="U14" s="1104" t="s">
        <v>905</v>
      </c>
      <c r="V14" s="1105" t="s">
        <v>906</v>
      </c>
      <c r="W14" s="1105" t="s">
        <v>907</v>
      </c>
      <c r="X14" s="1106" t="s">
        <v>908</v>
      </c>
      <c r="Y14" s="1106" t="s">
        <v>909</v>
      </c>
      <c r="Z14" s="1107" t="s">
        <v>910</v>
      </c>
      <c r="AA14" s="1107" t="s">
        <v>911</v>
      </c>
      <c r="AB14" s="1108" t="s">
        <v>912</v>
      </c>
    </row>
    <row r="15" spans="1:28" ht="15.6">
      <c r="A15" s="527"/>
      <c r="B15" s="1141" t="s">
        <v>913</v>
      </c>
      <c r="C15" s="1141"/>
      <c r="D15" s="1140">
        <v>6980</v>
      </c>
      <c r="E15" s="1140">
        <v>7074</v>
      </c>
      <c r="O15" s="1109" t="s">
        <v>914</v>
      </c>
      <c r="P15" s="1110">
        <v>7184</v>
      </c>
      <c r="Q15" s="1111">
        <v>1245.3823475451604</v>
      </c>
      <c r="R15" s="1111">
        <f>P15+Q15</f>
        <v>8429.3823475451609</v>
      </c>
      <c r="S15" s="1111">
        <f>+R15*(1-(-1*$S$14))</f>
        <v>8429.3823475451609</v>
      </c>
      <c r="T15" s="1112">
        <v>0</v>
      </c>
      <c r="U15" s="1113">
        <f>IF($Z$11&gt;0,0,IF(T15=0,0,IF(AB15/4&gt;500000,"Mo","Qtrly")))</f>
        <v>0</v>
      </c>
      <c r="V15" s="1114">
        <f t="shared" ref="V15:V43" si="0">IF(U15="Qtrly",AB15/4,0)</f>
        <v>0</v>
      </c>
      <c r="W15" s="1114">
        <f t="shared" ref="W15:W43" si="1">IF(U15="Mo",AB15/12,0)</f>
        <v>0</v>
      </c>
      <c r="X15" s="1115">
        <f t="shared" ref="X15:X43" si="2">+Q15/R15</f>
        <v>0.14774301321233171</v>
      </c>
      <c r="Y15" s="1115">
        <f>+R15/$R$28</f>
        <v>1.1638051335266291</v>
      </c>
      <c r="Z15" s="1116">
        <f>IF(T15=0,0,T15*$Z$11)</f>
        <v>0</v>
      </c>
      <c r="AA15" s="1116">
        <f>IF($Z$11&gt;0,0,T15*R15)</f>
        <v>0</v>
      </c>
      <c r="AB15" s="1116">
        <f>IF($Z$11&gt;0,0,T15*S15)</f>
        <v>0</v>
      </c>
    </row>
    <row r="16" spans="1:28" ht="15.6">
      <c r="A16" s="527"/>
      <c r="B16" s="1141" t="s">
        <v>915</v>
      </c>
      <c r="C16" s="408"/>
      <c r="D16" s="1086">
        <f>+D15*$D$12</f>
        <v>6980</v>
      </c>
      <c r="E16" s="1086">
        <f>+E15*$D$12</f>
        <v>7074</v>
      </c>
      <c r="O16" s="1109"/>
      <c r="P16" s="1110"/>
      <c r="Q16" s="1111"/>
      <c r="R16" s="1111"/>
      <c r="S16" s="1111"/>
      <c r="T16" s="1112"/>
      <c r="U16" s="1113"/>
      <c r="V16" s="1114"/>
      <c r="W16" s="1114"/>
      <c r="X16" s="1115"/>
      <c r="Y16" s="1115"/>
      <c r="Z16" s="1116"/>
      <c r="AA16" s="1116"/>
      <c r="AB16" s="1116"/>
    </row>
    <row r="17" spans="1:28" ht="15.6">
      <c r="A17" s="527"/>
      <c r="E17" s="1193"/>
      <c r="O17" s="1109" t="s">
        <v>916</v>
      </c>
      <c r="P17" s="1117">
        <v>7006</v>
      </c>
      <c r="Q17" s="1118">
        <v>1320.4897724523435</v>
      </c>
      <c r="R17" s="1118">
        <f t="shared" ref="R17:R43" si="3">P17+Q17</f>
        <v>8326.4897724523435</v>
      </c>
      <c r="S17" s="1118">
        <f>+R17*(1-(-1*$S$14))</f>
        <v>8326.4897724523435</v>
      </c>
      <c r="T17" s="1119"/>
      <c r="U17" s="1113">
        <f>IF($Z$11&gt;0,0,IF(T17=0,0,IF(AB17/4&gt;500000,"Mo","Qtrly")))</f>
        <v>0</v>
      </c>
      <c r="V17" s="1120">
        <f t="shared" si="0"/>
        <v>0</v>
      </c>
      <c r="W17" s="1120">
        <f t="shared" si="1"/>
        <v>0</v>
      </c>
      <c r="X17" s="1115">
        <f t="shared" si="2"/>
        <v>0.15858901031994288</v>
      </c>
      <c r="Y17" s="1115">
        <f>+R17/$R$28</f>
        <v>1.1495992401221535</v>
      </c>
      <c r="Z17" s="1121">
        <f>IF(T17=0,0,T17*$Z$11)</f>
        <v>0</v>
      </c>
      <c r="AA17" s="1121">
        <f>IF($Z$11&gt;0,0,T17*R17)</f>
        <v>0</v>
      </c>
      <c r="AB17" s="1121">
        <f>IF($Z$11&gt;0,0,T17*S17)</f>
        <v>0</v>
      </c>
    </row>
    <row r="18" spans="1:28" ht="15.6">
      <c r="A18" s="527"/>
      <c r="B18" s="408" t="s">
        <v>917</v>
      </c>
      <c r="C18" s="408"/>
      <c r="O18" s="1109"/>
      <c r="P18" s="1117"/>
      <c r="Q18" s="1118"/>
      <c r="R18" s="1118"/>
      <c r="S18" s="1118"/>
      <c r="T18" s="1119"/>
      <c r="U18" s="1113"/>
      <c r="V18" s="1120"/>
      <c r="W18" s="1120"/>
      <c r="X18" s="1115"/>
      <c r="Y18" s="1115"/>
      <c r="Z18" s="1121"/>
      <c r="AA18" s="1121"/>
      <c r="AB18" s="1121"/>
    </row>
    <row r="19" spans="1:28" ht="15.6">
      <c r="A19" s="527"/>
      <c r="B19" s="1087" t="s">
        <v>918</v>
      </c>
      <c r="C19" s="1087"/>
      <c r="D19" s="1072"/>
      <c r="O19" s="1109"/>
      <c r="P19" s="1117"/>
      <c r="Q19" s="1118"/>
      <c r="R19" s="1118"/>
      <c r="S19" s="1118"/>
      <c r="T19" s="1119"/>
      <c r="U19" s="1113"/>
      <c r="V19" s="1120"/>
      <c r="W19" s="1120"/>
      <c r="X19" s="1115"/>
      <c r="Y19" s="1115"/>
      <c r="Z19" s="1121"/>
      <c r="AA19" s="1121"/>
      <c r="AB19" s="1121"/>
    </row>
    <row r="20" spans="1:28" ht="15.6">
      <c r="A20" s="527"/>
      <c r="B20" s="1083" t="s">
        <v>919</v>
      </c>
      <c r="C20" s="1083"/>
      <c r="D20" s="1085" t="s">
        <v>899</v>
      </c>
      <c r="E20" s="1085" t="s">
        <v>900</v>
      </c>
      <c r="F20" s="1369" t="s">
        <v>920</v>
      </c>
      <c r="O20" s="1109"/>
      <c r="P20" s="1117"/>
      <c r="Q20" s="1118"/>
      <c r="R20" s="1118"/>
      <c r="S20" s="1118"/>
      <c r="T20" s="1119"/>
      <c r="U20" s="1113"/>
      <c r="V20" s="1120"/>
      <c r="W20" s="1120"/>
      <c r="X20" s="1115"/>
      <c r="Y20" s="1115"/>
      <c r="Z20" s="1121"/>
      <c r="AA20" s="1121"/>
      <c r="AB20" s="1121"/>
    </row>
    <row r="21" spans="1:28" ht="15.6">
      <c r="A21" s="527"/>
      <c r="B21" s="1370" t="s">
        <v>921</v>
      </c>
      <c r="C21" s="1370"/>
      <c r="D21" s="1260">
        <v>7494</v>
      </c>
      <c r="E21" s="1131">
        <v>7594</v>
      </c>
      <c r="F21" s="1368">
        <f t="shared" ref="F21:F26" si="4">E21/D21-1</f>
        <v>1.3344008540165486E-2</v>
      </c>
      <c r="O21" s="1109"/>
      <c r="P21" s="1117"/>
      <c r="Q21" s="1118"/>
      <c r="R21" s="1118"/>
      <c r="S21" s="1118"/>
      <c r="T21" s="1119"/>
      <c r="U21" s="1113"/>
      <c r="V21" s="1120"/>
      <c r="W21" s="1120"/>
      <c r="X21" s="1115"/>
      <c r="Y21" s="1115"/>
      <c r="Z21" s="1121"/>
      <c r="AA21" s="1121"/>
      <c r="AB21" s="1121"/>
    </row>
    <row r="22" spans="1:28" ht="15.6">
      <c r="A22" s="527"/>
      <c r="B22" s="1371" t="s">
        <v>922</v>
      </c>
      <c r="C22" s="1371"/>
      <c r="D22" s="1261">
        <v>8093</v>
      </c>
      <c r="E22" s="1139">
        <v>8197</v>
      </c>
      <c r="F22" s="1368">
        <f t="shared" si="4"/>
        <v>1.2850611639688703E-2</v>
      </c>
      <c r="O22" s="1109"/>
      <c r="P22" s="1117"/>
      <c r="Q22" s="1118"/>
      <c r="R22" s="1118"/>
      <c r="S22" s="1118"/>
      <c r="T22" s="1119"/>
      <c r="U22" s="1113"/>
      <c r="V22" s="1120"/>
      <c r="W22" s="1120"/>
      <c r="X22" s="1115"/>
      <c r="Y22" s="1115"/>
      <c r="Z22" s="1121"/>
      <c r="AA22" s="1121"/>
      <c r="AB22" s="1121"/>
    </row>
    <row r="23" spans="1:28" ht="15.6">
      <c r="A23" s="527"/>
      <c r="B23" s="1371" t="s">
        <v>923</v>
      </c>
      <c r="C23" s="1371"/>
      <c r="D23" s="1261">
        <v>7197</v>
      </c>
      <c r="E23" s="1139">
        <v>7293</v>
      </c>
      <c r="F23" s="1368">
        <f t="shared" si="4"/>
        <v>1.3338891204668579E-2</v>
      </c>
      <c r="O23" s="1109"/>
      <c r="P23" s="1117"/>
      <c r="Q23" s="1118"/>
      <c r="R23" s="1118"/>
      <c r="S23" s="1118"/>
      <c r="T23" s="1119"/>
      <c r="U23" s="1113"/>
      <c r="V23" s="1120"/>
      <c r="W23" s="1120"/>
      <c r="X23" s="1115"/>
      <c r="Y23" s="1115"/>
      <c r="Z23" s="1121"/>
      <c r="AA23" s="1121"/>
      <c r="AB23" s="1121"/>
    </row>
    <row r="24" spans="1:28" ht="15.6">
      <c r="A24" s="527"/>
      <c r="B24" s="1371" t="s">
        <v>924</v>
      </c>
      <c r="C24" s="1371"/>
      <c r="D24" s="1261">
        <v>7715</v>
      </c>
      <c r="E24" s="1139">
        <v>7818</v>
      </c>
      <c r="F24" s="1368">
        <f t="shared" si="4"/>
        <v>1.335061568373308E-2</v>
      </c>
      <c r="O24" s="1109"/>
      <c r="P24" s="1117"/>
      <c r="Q24" s="1118"/>
      <c r="R24" s="1118"/>
      <c r="S24" s="1118"/>
      <c r="T24" s="1119"/>
      <c r="U24" s="1113"/>
      <c r="V24" s="1120"/>
      <c r="W24" s="1120"/>
      <c r="X24" s="1115"/>
      <c r="Y24" s="1115"/>
      <c r="Z24" s="1121"/>
      <c r="AA24" s="1121"/>
      <c r="AB24" s="1121"/>
    </row>
    <row r="25" spans="1:28" ht="15.6">
      <c r="A25" s="527"/>
      <c r="B25" s="1371" t="s">
        <v>925</v>
      </c>
      <c r="C25" s="1371"/>
      <c r="D25" s="1261">
        <v>6980</v>
      </c>
      <c r="E25" s="1139">
        <v>7074</v>
      </c>
      <c r="F25" s="1368">
        <f t="shared" si="4"/>
        <v>1.346704871060167E-2</v>
      </c>
      <c r="O25" s="1109"/>
      <c r="P25" s="1117"/>
      <c r="Q25" s="1118"/>
      <c r="R25" s="1118"/>
      <c r="S25" s="1118"/>
      <c r="T25" s="1119"/>
      <c r="U25" s="1113"/>
      <c r="V25" s="1120"/>
      <c r="W25" s="1120"/>
      <c r="X25" s="1115"/>
      <c r="Y25" s="1115"/>
      <c r="Z25" s="1121"/>
      <c r="AA25" s="1121"/>
      <c r="AB25" s="1121"/>
    </row>
    <row r="26" spans="1:28" ht="15.6">
      <c r="A26" s="527"/>
      <c r="B26" s="1371" t="s">
        <v>926</v>
      </c>
      <c r="C26" s="1371"/>
      <c r="D26" s="1261">
        <v>10367</v>
      </c>
      <c r="E26" s="1139">
        <v>10501</v>
      </c>
      <c r="F26" s="1368">
        <f t="shared" si="4"/>
        <v>1.2925629400983851E-2</v>
      </c>
      <c r="O26" s="1109"/>
      <c r="P26" s="1117"/>
      <c r="Q26" s="1118"/>
      <c r="R26" s="1118"/>
      <c r="S26" s="1118"/>
      <c r="T26" s="1119"/>
      <c r="U26" s="1113"/>
      <c r="V26" s="1120"/>
      <c r="W26" s="1120"/>
      <c r="X26" s="1115"/>
      <c r="Y26" s="1115"/>
      <c r="Z26" s="1121"/>
      <c r="AA26" s="1121"/>
      <c r="AB26" s="1121"/>
    </row>
    <row r="27" spans="1:28" ht="15.6">
      <c r="A27" s="527"/>
      <c r="O27" s="1109"/>
      <c r="P27" s="1117"/>
      <c r="Q27" s="1118"/>
      <c r="R27" s="1118"/>
      <c r="S27" s="1118"/>
      <c r="T27" s="1119"/>
      <c r="U27" s="1113"/>
      <c r="V27" s="1120"/>
      <c r="W27" s="1120"/>
      <c r="X27" s="1115"/>
      <c r="Y27" s="1115"/>
      <c r="Z27" s="1121"/>
      <c r="AA27" s="1121"/>
      <c r="AB27" s="1121"/>
    </row>
    <row r="28" spans="1:28" ht="15.6">
      <c r="A28" s="527"/>
      <c r="B28" s="408" t="s">
        <v>917</v>
      </c>
      <c r="C28" s="408"/>
      <c r="O28" s="1122" t="s">
        <v>257</v>
      </c>
      <c r="P28" s="1123">
        <v>6067</v>
      </c>
      <c r="Q28" s="1124">
        <v>1175.9499619081098</v>
      </c>
      <c r="R28" s="1124">
        <f t="shared" si="3"/>
        <v>7242.9499619081098</v>
      </c>
      <c r="S28" s="1124">
        <f t="shared" ref="S28:S43" si="5">+R28*(1-(-1*$S$14))</f>
        <v>7242.9499619081098</v>
      </c>
      <c r="T28" s="1125">
        <v>276</v>
      </c>
      <c r="U28" s="1113" t="str">
        <f t="shared" ref="U28:U43" si="6">IF($Z$11&gt;0,0,IF(T28=0,0,IF(AB28/4&gt;500000,"Mo","Qtrly")))</f>
        <v>Qtrly</v>
      </c>
      <c r="V28" s="1120">
        <f t="shared" si="0"/>
        <v>499763.5473716596</v>
      </c>
      <c r="W28" s="1120">
        <f t="shared" si="1"/>
        <v>0</v>
      </c>
      <c r="X28" s="1126">
        <f t="shared" si="2"/>
        <v>0.1623578746356979</v>
      </c>
      <c r="Y28" s="1126">
        <f t="shared" ref="Y28:Y43" si="7">+R28/$R$28</f>
        <v>1</v>
      </c>
      <c r="Z28" s="1121">
        <f t="shared" ref="Z28:Z43" si="8">IF(T28=0,0,T28*$Z$11)</f>
        <v>0</v>
      </c>
      <c r="AA28" s="1127">
        <f t="shared" ref="AA28:AA43" si="9">IF($Z$11&gt;0,0,T28*R28)</f>
        <v>1999054.1894866384</v>
      </c>
      <c r="AB28" s="1121">
        <f t="shared" ref="AB28:AB43" si="10">IF($Z$11&gt;0,0,T28*S28)</f>
        <v>1999054.1894866384</v>
      </c>
    </row>
    <row r="29" spans="1:28" ht="15.6">
      <c r="A29" s="527"/>
      <c r="B29" s="1087" t="s">
        <v>927</v>
      </c>
      <c r="C29" s="1087"/>
      <c r="D29" s="1072"/>
      <c r="E29" s="1072"/>
      <c r="O29" s="1109" t="s">
        <v>928</v>
      </c>
      <c r="P29" s="1117">
        <v>6086</v>
      </c>
      <c r="Q29" s="1118">
        <v>3253.7290423366917</v>
      </c>
      <c r="R29" s="1118">
        <f t="shared" si="3"/>
        <v>9339.7290423366921</v>
      </c>
      <c r="S29" s="1118">
        <f t="shared" si="5"/>
        <v>9339.7290423366921</v>
      </c>
      <c r="T29" s="1119">
        <v>0</v>
      </c>
      <c r="U29" s="1113">
        <f t="shared" si="6"/>
        <v>0</v>
      </c>
      <c r="V29" s="1120">
        <f t="shared" si="0"/>
        <v>0</v>
      </c>
      <c r="W29" s="1120">
        <f t="shared" si="1"/>
        <v>0</v>
      </c>
      <c r="X29" s="1115">
        <f t="shared" si="2"/>
        <v>0.34837510034687758</v>
      </c>
      <c r="Y29" s="1115">
        <f t="shared" si="7"/>
        <v>1.2894924155842433</v>
      </c>
      <c r="Z29" s="1121">
        <f t="shared" si="8"/>
        <v>0</v>
      </c>
      <c r="AA29" s="1121">
        <f t="shared" si="9"/>
        <v>0</v>
      </c>
      <c r="AB29" s="1121">
        <f t="shared" si="10"/>
        <v>0</v>
      </c>
    </row>
    <row r="30" spans="1:28" ht="15.6">
      <c r="A30" s="527"/>
      <c r="B30" s="408"/>
      <c r="C30" s="408"/>
      <c r="E30" s="1072"/>
      <c r="O30" s="1109"/>
      <c r="P30" s="1117"/>
      <c r="Q30" s="1118"/>
      <c r="R30" s="1118"/>
      <c r="S30" s="1118"/>
      <c r="T30" s="1119"/>
      <c r="U30" s="1113"/>
      <c r="V30" s="1120"/>
      <c r="W30" s="1120"/>
      <c r="X30" s="1115"/>
      <c r="Y30" s="1115"/>
      <c r="Z30" s="1121"/>
      <c r="AA30" s="1121"/>
      <c r="AB30" s="1121"/>
    </row>
    <row r="31" spans="1:28" ht="25.5" customHeight="1">
      <c r="A31" s="527"/>
      <c r="B31" s="1083" t="s">
        <v>919</v>
      </c>
      <c r="C31" s="1083"/>
      <c r="D31" s="1420" t="s">
        <v>1219</v>
      </c>
      <c r="E31" s="1085" t="s">
        <v>900</v>
      </c>
      <c r="F31" s="1369" t="s">
        <v>920</v>
      </c>
      <c r="G31" s="1420" t="s">
        <v>1220</v>
      </c>
      <c r="H31" s="1420" t="s">
        <v>1221</v>
      </c>
      <c r="I31" s="1420" t="s">
        <v>1221</v>
      </c>
      <c r="J31" s="1085" t="s">
        <v>929</v>
      </c>
      <c r="O31" s="1109" t="s">
        <v>930</v>
      </c>
      <c r="P31" s="1117">
        <v>7891</v>
      </c>
      <c r="Q31" s="1118">
        <v>1529.3898852952666</v>
      </c>
      <c r="R31" s="1118">
        <f t="shared" si="3"/>
        <v>9420.3898852952661</v>
      </c>
      <c r="S31" s="1118">
        <f t="shared" si="5"/>
        <v>9420.3898852952661</v>
      </c>
      <c r="T31" s="1119">
        <v>0</v>
      </c>
      <c r="U31" s="1113">
        <f t="shared" si="6"/>
        <v>0</v>
      </c>
      <c r="V31" s="1120">
        <f t="shared" si="0"/>
        <v>0</v>
      </c>
      <c r="W31" s="1120">
        <f t="shared" si="1"/>
        <v>0</v>
      </c>
      <c r="X31" s="1115">
        <f t="shared" si="2"/>
        <v>0.16234889467606473</v>
      </c>
      <c r="Y31" s="1115">
        <f t="shared" si="7"/>
        <v>1.3006288784043349</v>
      </c>
      <c r="Z31" s="1121">
        <f t="shared" si="8"/>
        <v>0</v>
      </c>
      <c r="AA31" s="1121">
        <f t="shared" si="9"/>
        <v>0</v>
      </c>
      <c r="AB31" s="1121">
        <f t="shared" si="10"/>
        <v>0</v>
      </c>
    </row>
    <row r="32" spans="1:28" ht="15.6">
      <c r="A32" s="527"/>
      <c r="B32" s="391" t="s">
        <v>921</v>
      </c>
      <c r="C32" s="391"/>
      <c r="D32" s="526">
        <f t="shared" ref="D32:E37" si="11">+D21*$D$12</f>
        <v>7494</v>
      </c>
      <c r="E32" s="1131">
        <f t="shared" si="11"/>
        <v>7594</v>
      </c>
      <c r="F32" s="1368">
        <f t="shared" ref="F32:F37" si="12">E32/D32-1</f>
        <v>1.3344008540165486E-2</v>
      </c>
      <c r="G32" s="1384">
        <f>+R15</f>
        <v>8429.3823475451609</v>
      </c>
      <c r="H32" s="1378">
        <f>+D32-G32</f>
        <v>-935.38234754516088</v>
      </c>
      <c r="I32" s="1379">
        <f>+H32/D32</f>
        <v>-0.12481750033962649</v>
      </c>
      <c r="J32" s="1377">
        <f t="shared" ref="J32:J37" si="13">+E32-G32</f>
        <v>-835.38234754516088</v>
      </c>
      <c r="O32" s="1109" t="s">
        <v>931</v>
      </c>
      <c r="P32" s="1117">
        <v>20750</v>
      </c>
      <c r="Q32" s="1118">
        <v>9469.2635503703241</v>
      </c>
      <c r="R32" s="1118">
        <f t="shared" si="3"/>
        <v>30219.263550370324</v>
      </c>
      <c r="S32" s="1118">
        <f t="shared" si="5"/>
        <v>30219.263550370324</v>
      </c>
      <c r="T32" s="1119">
        <v>0</v>
      </c>
      <c r="U32" s="1113">
        <f t="shared" si="6"/>
        <v>0</v>
      </c>
      <c r="V32" s="1120">
        <f t="shared" si="0"/>
        <v>0</v>
      </c>
      <c r="W32" s="1120">
        <f t="shared" si="1"/>
        <v>0</v>
      </c>
      <c r="X32" s="1115">
        <f t="shared" si="2"/>
        <v>0.31335189669949065</v>
      </c>
      <c r="Y32" s="1115">
        <f t="shared" si="7"/>
        <v>4.1722314401312319</v>
      </c>
      <c r="Z32" s="1121">
        <f t="shared" si="8"/>
        <v>0</v>
      </c>
      <c r="AA32" s="1121">
        <f t="shared" si="9"/>
        <v>0</v>
      </c>
      <c r="AB32" s="1121">
        <f t="shared" si="10"/>
        <v>0</v>
      </c>
    </row>
    <row r="33" spans="1:28" ht="15.6">
      <c r="A33" s="527"/>
      <c r="B33" s="1421" t="s">
        <v>916</v>
      </c>
      <c r="C33" s="1421"/>
      <c r="D33" s="1241">
        <f t="shared" si="11"/>
        <v>8093</v>
      </c>
      <c r="E33" s="1139">
        <f t="shared" si="11"/>
        <v>8197</v>
      </c>
      <c r="F33" s="1368">
        <f t="shared" si="12"/>
        <v>1.2850611639688703E-2</v>
      </c>
      <c r="G33" s="1385">
        <f>_xlfn.XLOOKUP(B33,Counties,$R$15:$R$43)</f>
        <v>8326.4897724523435</v>
      </c>
      <c r="H33" s="1380">
        <f t="shared" ref="H33:H37" si="14">+D33-G33</f>
        <v>-233.48977245234346</v>
      </c>
      <c r="I33" s="1381">
        <f t="shared" ref="I33:I37" si="15">+H33/D33</f>
        <v>-2.8850830650233961E-2</v>
      </c>
      <c r="J33" s="1375">
        <f t="shared" si="13"/>
        <v>-129.48977245234346</v>
      </c>
      <c r="O33" s="1109" t="s">
        <v>932</v>
      </c>
      <c r="P33" s="1117">
        <v>11032</v>
      </c>
      <c r="Q33" s="1118">
        <v>20035.774574253475</v>
      </c>
      <c r="R33" s="1118">
        <f t="shared" si="3"/>
        <v>31067.774574253475</v>
      </c>
      <c r="S33" s="1118">
        <f t="shared" si="5"/>
        <v>31067.774574253475</v>
      </c>
      <c r="T33" s="1119">
        <v>0</v>
      </c>
      <c r="U33" s="1113">
        <f t="shared" si="6"/>
        <v>0</v>
      </c>
      <c r="V33" s="1120">
        <f t="shared" si="0"/>
        <v>0</v>
      </c>
      <c r="W33" s="1120">
        <f t="shared" si="1"/>
        <v>0</v>
      </c>
      <c r="X33" s="1115">
        <f t="shared" si="2"/>
        <v>0.64490536734026471</v>
      </c>
      <c r="Y33" s="1115">
        <f t="shared" si="7"/>
        <v>4.2893813622410919</v>
      </c>
      <c r="Z33" s="1121">
        <f t="shared" si="8"/>
        <v>0</v>
      </c>
      <c r="AA33" s="1121">
        <f t="shared" si="9"/>
        <v>0</v>
      </c>
      <c r="AB33" s="1121">
        <f t="shared" si="10"/>
        <v>0</v>
      </c>
    </row>
    <row r="34" spans="1:28" ht="15.6">
      <c r="A34" s="527"/>
      <c r="B34" s="1421" t="s">
        <v>257</v>
      </c>
      <c r="C34" s="1421"/>
      <c r="D34" s="1241">
        <f t="shared" si="11"/>
        <v>7197</v>
      </c>
      <c r="E34" s="1139">
        <f t="shared" si="11"/>
        <v>7293</v>
      </c>
      <c r="F34" s="1368">
        <f t="shared" si="12"/>
        <v>1.3338891204668579E-2</v>
      </c>
      <c r="G34" s="1385">
        <f>_xlfn.XLOOKUP(B34,Counties,$R$15:$R$43)</f>
        <v>7242.9499619081098</v>
      </c>
      <c r="H34" s="1380">
        <f t="shared" si="14"/>
        <v>-45.949961908109799</v>
      </c>
      <c r="I34" s="1381">
        <f t="shared" si="15"/>
        <v>-6.3845994036556622E-3</v>
      </c>
      <c r="J34" s="1375">
        <f t="shared" si="13"/>
        <v>50.050038091890201</v>
      </c>
      <c r="O34" s="1109" t="s">
        <v>933</v>
      </c>
      <c r="P34" s="1117">
        <v>7431</v>
      </c>
      <c r="Q34" s="1118">
        <v>2257.9168173623493</v>
      </c>
      <c r="R34" s="1118">
        <f t="shared" si="3"/>
        <v>9688.9168173623493</v>
      </c>
      <c r="S34" s="1118">
        <f t="shared" si="5"/>
        <v>9688.9168173623493</v>
      </c>
      <c r="T34" s="1119">
        <v>0</v>
      </c>
      <c r="U34" s="1113">
        <f t="shared" si="6"/>
        <v>0</v>
      </c>
      <c r="V34" s="1120">
        <f t="shared" si="0"/>
        <v>0</v>
      </c>
      <c r="W34" s="1120">
        <f t="shared" si="1"/>
        <v>0</v>
      </c>
      <c r="X34" s="1115">
        <f t="shared" si="2"/>
        <v>0.2330412016043121</v>
      </c>
      <c r="Y34" s="1115">
        <f t="shared" si="7"/>
        <v>1.3377031276369422</v>
      </c>
      <c r="Z34" s="1121">
        <f t="shared" si="8"/>
        <v>0</v>
      </c>
      <c r="AA34" s="1121">
        <f t="shared" si="9"/>
        <v>0</v>
      </c>
      <c r="AB34" s="1121">
        <f t="shared" si="10"/>
        <v>0</v>
      </c>
    </row>
    <row r="35" spans="1:28" ht="15.6">
      <c r="A35" s="527"/>
      <c r="B35" s="1421" t="s">
        <v>930</v>
      </c>
      <c r="C35" s="1421"/>
      <c r="D35" s="1241">
        <f t="shared" si="11"/>
        <v>7715</v>
      </c>
      <c r="E35" s="1139">
        <f t="shared" si="11"/>
        <v>7818</v>
      </c>
      <c r="F35" s="1368">
        <f t="shared" si="12"/>
        <v>1.335061568373308E-2</v>
      </c>
      <c r="G35" s="1385">
        <f>_xlfn.XLOOKUP(B35,Counties,$R$15:$R$43)</f>
        <v>9420.3898852952661</v>
      </c>
      <c r="H35" s="1380">
        <f t="shared" si="14"/>
        <v>-1705.3898852952661</v>
      </c>
      <c r="I35" s="1381">
        <f t="shared" si="15"/>
        <v>-0.22104859174274349</v>
      </c>
      <c r="J35" s="1375">
        <f t="shared" si="13"/>
        <v>-1602.3898852952661</v>
      </c>
      <c r="O35" s="1109" t="s">
        <v>934</v>
      </c>
      <c r="P35" s="1117">
        <v>3517</v>
      </c>
      <c r="Q35" s="1118">
        <v>8536.338724633586</v>
      </c>
      <c r="R35" s="1118">
        <f t="shared" si="3"/>
        <v>12053.338724633586</v>
      </c>
      <c r="S35" s="1118">
        <f t="shared" si="5"/>
        <v>12053.338724633586</v>
      </c>
      <c r="T35" s="1119">
        <v>0</v>
      </c>
      <c r="U35" s="1113">
        <f t="shared" si="6"/>
        <v>0</v>
      </c>
      <c r="V35" s="1120">
        <f t="shared" si="0"/>
        <v>0</v>
      </c>
      <c r="W35" s="1120">
        <f t="shared" si="1"/>
        <v>0</v>
      </c>
      <c r="X35" s="1115">
        <f t="shared" si="2"/>
        <v>0.70821362608749594</v>
      </c>
      <c r="Y35" s="1115">
        <f t="shared" si="7"/>
        <v>1.6641477282079979</v>
      </c>
      <c r="Z35" s="1121">
        <f t="shared" si="8"/>
        <v>0</v>
      </c>
      <c r="AA35" s="1121">
        <f t="shared" si="9"/>
        <v>0</v>
      </c>
      <c r="AB35" s="1121">
        <f t="shared" si="10"/>
        <v>0</v>
      </c>
    </row>
    <row r="36" spans="1:28" ht="15.6">
      <c r="A36" s="527"/>
      <c r="B36" s="1421" t="s">
        <v>935</v>
      </c>
      <c r="C36" s="1421"/>
      <c r="D36" s="1241">
        <f t="shared" si="11"/>
        <v>6980</v>
      </c>
      <c r="E36" s="1139">
        <f t="shared" si="11"/>
        <v>7074</v>
      </c>
      <c r="F36" s="1368">
        <f t="shared" si="12"/>
        <v>1.346704871060167E-2</v>
      </c>
      <c r="G36" s="1385">
        <f>_xlfn.XLOOKUP(B36,Counties,$R$15:$R$43)</f>
        <v>7451.3102570989922</v>
      </c>
      <c r="H36" s="1380">
        <f t="shared" si="14"/>
        <v>-471.31025709899222</v>
      </c>
      <c r="I36" s="1381">
        <f t="shared" si="15"/>
        <v>-6.7522959469769661E-2</v>
      </c>
      <c r="J36" s="1375">
        <f t="shared" si="13"/>
        <v>-377.31025709899222</v>
      </c>
      <c r="O36" s="1109" t="s">
        <v>936</v>
      </c>
      <c r="P36" s="1117">
        <v>12131</v>
      </c>
      <c r="Q36" s="1118">
        <v>1685.3148174012715</v>
      </c>
      <c r="R36" s="1118">
        <f t="shared" si="3"/>
        <v>13816.314817401271</v>
      </c>
      <c r="S36" s="1118">
        <f t="shared" si="5"/>
        <v>13816.314817401271</v>
      </c>
      <c r="T36" s="1119">
        <v>0</v>
      </c>
      <c r="U36" s="1113">
        <f t="shared" si="6"/>
        <v>0</v>
      </c>
      <c r="V36" s="1120">
        <f t="shared" si="0"/>
        <v>0</v>
      </c>
      <c r="W36" s="1120">
        <f t="shared" si="1"/>
        <v>0</v>
      </c>
      <c r="X36" s="1115">
        <f t="shared" si="2"/>
        <v>0.12198005326852161</v>
      </c>
      <c r="Y36" s="1115">
        <f t="shared" si="7"/>
        <v>1.9075535368963739</v>
      </c>
      <c r="Z36" s="1121">
        <f t="shared" si="8"/>
        <v>0</v>
      </c>
      <c r="AA36" s="1121">
        <f t="shared" si="9"/>
        <v>0</v>
      </c>
      <c r="AB36" s="1121">
        <f t="shared" si="10"/>
        <v>0</v>
      </c>
    </row>
    <row r="37" spans="1:28" ht="15.6">
      <c r="A37" s="527"/>
      <c r="B37" s="1422" t="s">
        <v>937</v>
      </c>
      <c r="C37" s="1422"/>
      <c r="D37" s="1423">
        <f t="shared" si="11"/>
        <v>10367</v>
      </c>
      <c r="E37" s="1424">
        <f t="shared" si="11"/>
        <v>10501</v>
      </c>
      <c r="F37" s="1425">
        <f t="shared" si="12"/>
        <v>1.2925629400983851E-2</v>
      </c>
      <c r="G37" s="1386">
        <f>_xlfn.XLOOKUP(B37,Counties,$R$15:$R$43)</f>
        <v>11115.885152830571</v>
      </c>
      <c r="H37" s="1382">
        <f t="shared" si="14"/>
        <v>-748.88515283057131</v>
      </c>
      <c r="I37" s="1383">
        <f t="shared" si="15"/>
        <v>-7.2237402607366774E-2</v>
      </c>
      <c r="J37" s="1426">
        <f t="shared" si="13"/>
        <v>-614.88515283057131</v>
      </c>
      <c r="O37" s="1109" t="s">
        <v>938</v>
      </c>
      <c r="P37" s="1117">
        <v>7724</v>
      </c>
      <c r="Q37" s="1118">
        <v>1043.382638093434</v>
      </c>
      <c r="R37" s="1118">
        <f t="shared" si="3"/>
        <v>8767.3826380934333</v>
      </c>
      <c r="S37" s="1118">
        <f t="shared" si="5"/>
        <v>8767.3826380934333</v>
      </c>
      <c r="T37" s="1119">
        <v>0</v>
      </c>
      <c r="U37" s="1113">
        <f t="shared" si="6"/>
        <v>0</v>
      </c>
      <c r="V37" s="1120">
        <f t="shared" si="0"/>
        <v>0</v>
      </c>
      <c r="W37" s="1120">
        <f t="shared" si="1"/>
        <v>0</v>
      </c>
      <c r="X37" s="1115">
        <f t="shared" si="2"/>
        <v>0.11900731166449117</v>
      </c>
      <c r="Y37" s="1115">
        <f t="shared" si="7"/>
        <v>1.2104712422704245</v>
      </c>
      <c r="Z37" s="1121">
        <f t="shared" si="8"/>
        <v>0</v>
      </c>
      <c r="AA37" s="1121">
        <f t="shared" si="9"/>
        <v>0</v>
      </c>
      <c r="AB37" s="1121">
        <f t="shared" si="10"/>
        <v>0</v>
      </c>
    </row>
    <row r="38" spans="1:28" ht="15.6">
      <c r="A38" s="527"/>
      <c r="H38" s="5"/>
      <c r="O38" s="1109" t="s">
        <v>939</v>
      </c>
      <c r="P38" s="1117">
        <v>10152</v>
      </c>
      <c r="Q38" s="1118">
        <v>1653.6465092972339</v>
      </c>
      <c r="R38" s="1118">
        <f t="shared" si="3"/>
        <v>11805.646509297234</v>
      </c>
      <c r="S38" s="1118">
        <f t="shared" si="5"/>
        <v>11805.646509297234</v>
      </c>
      <c r="T38" s="1119">
        <v>0</v>
      </c>
      <c r="U38" s="1113">
        <f t="shared" si="6"/>
        <v>0</v>
      </c>
      <c r="V38" s="1120">
        <f t="shared" si="0"/>
        <v>0</v>
      </c>
      <c r="W38" s="1120">
        <f t="shared" si="1"/>
        <v>0</v>
      </c>
      <c r="X38" s="1115">
        <f t="shared" si="2"/>
        <v>0.14007250750689063</v>
      </c>
      <c r="Y38" s="1115">
        <f t="shared" si="7"/>
        <v>1.6299500302204366</v>
      </c>
      <c r="Z38" s="1121">
        <f t="shared" si="8"/>
        <v>0</v>
      </c>
      <c r="AA38" s="1121">
        <f t="shared" si="9"/>
        <v>0</v>
      </c>
      <c r="AB38" s="1121">
        <f t="shared" si="10"/>
        <v>0</v>
      </c>
    </row>
    <row r="39" spans="1:28" ht="15.6">
      <c r="A39" s="527"/>
      <c r="B39" s="1142" t="s">
        <v>940</v>
      </c>
      <c r="C39" s="1142"/>
      <c r="D39" s="1143"/>
      <c r="E39" s="1143"/>
      <c r="G39" s="1085" t="s">
        <v>1222</v>
      </c>
      <c r="O39" s="1109" t="s">
        <v>941</v>
      </c>
      <c r="P39" s="1117">
        <v>7967</v>
      </c>
      <c r="Q39" s="1118">
        <v>1826.7160516863926</v>
      </c>
      <c r="R39" s="1118">
        <f t="shared" si="3"/>
        <v>9793.7160516863933</v>
      </c>
      <c r="S39" s="1118">
        <f t="shared" si="5"/>
        <v>9793.7160516863933</v>
      </c>
      <c r="T39" s="1119">
        <v>0</v>
      </c>
      <c r="U39" s="1113">
        <f t="shared" si="6"/>
        <v>0</v>
      </c>
      <c r="V39" s="1120">
        <f t="shared" si="0"/>
        <v>0</v>
      </c>
      <c r="W39" s="1120">
        <f t="shared" si="1"/>
        <v>0</v>
      </c>
      <c r="X39" s="1115">
        <f t="shared" si="2"/>
        <v>0.18651919680393919</v>
      </c>
      <c r="Y39" s="1115">
        <f t="shared" si="7"/>
        <v>1.3521722645045444</v>
      </c>
      <c r="Z39" s="1121">
        <f t="shared" si="8"/>
        <v>0</v>
      </c>
      <c r="AA39" s="1121">
        <f t="shared" si="9"/>
        <v>0</v>
      </c>
      <c r="AB39" s="1121">
        <f t="shared" si="10"/>
        <v>0</v>
      </c>
    </row>
    <row r="40" spans="1:28" ht="15.6">
      <c r="A40" s="527"/>
      <c r="B40" s="1080" t="s">
        <v>942</v>
      </c>
      <c r="C40" s="1080"/>
      <c r="D40" s="1081"/>
      <c r="E40" s="1137"/>
      <c r="H40">
        <v>7197</v>
      </c>
      <c r="O40" s="1109" t="s">
        <v>943</v>
      </c>
      <c r="P40" s="1117">
        <v>9691</v>
      </c>
      <c r="Q40" s="1118">
        <v>3203.4141560818189</v>
      </c>
      <c r="R40" s="1118">
        <f t="shared" si="3"/>
        <v>12894.414156081819</v>
      </c>
      <c r="S40" s="1118">
        <f t="shared" si="5"/>
        <v>12894.414156081819</v>
      </c>
      <c r="T40" s="1119">
        <v>0</v>
      </c>
      <c r="U40" s="1113">
        <f t="shared" si="6"/>
        <v>0</v>
      </c>
      <c r="V40" s="1120">
        <f t="shared" si="0"/>
        <v>0</v>
      </c>
      <c r="W40" s="1120">
        <f t="shared" si="1"/>
        <v>0</v>
      </c>
      <c r="X40" s="1115">
        <f t="shared" si="2"/>
        <v>0.24843425356947191</v>
      </c>
      <c r="Y40" s="1115">
        <f t="shared" si="7"/>
        <v>1.7802710530786086</v>
      </c>
      <c r="Z40" s="1121">
        <f t="shared" si="8"/>
        <v>0</v>
      </c>
      <c r="AA40" s="1121">
        <f t="shared" si="9"/>
        <v>0</v>
      </c>
      <c r="AB40" s="1121">
        <f t="shared" si="10"/>
        <v>0</v>
      </c>
    </row>
    <row r="41" spans="1:28" ht="15.6">
      <c r="A41" s="527"/>
      <c r="B41" s="1088" t="s">
        <v>944</v>
      </c>
      <c r="C41" s="1088"/>
      <c r="D41" s="1435">
        <v>0.38284007225232736</v>
      </c>
      <c r="E41" s="1280">
        <v>0.33</v>
      </c>
      <c r="F41" t="s">
        <v>945</v>
      </c>
      <c r="G41" s="1434">
        <f>+$D$34*D41</f>
        <v>2755.3</v>
      </c>
      <c r="H41" s="1436">
        <f>+$H$40+G41</f>
        <v>9952.2999999999993</v>
      </c>
      <c r="O41" s="1109" t="s">
        <v>946</v>
      </c>
      <c r="P41" s="1117">
        <v>6136</v>
      </c>
      <c r="Q41" s="1118">
        <v>10216.403262371867</v>
      </c>
      <c r="R41" s="1118">
        <f t="shared" si="3"/>
        <v>16352.403262371867</v>
      </c>
      <c r="S41" s="1118">
        <f t="shared" si="5"/>
        <v>16352.403262371867</v>
      </c>
      <c r="T41" s="1119">
        <v>0</v>
      </c>
      <c r="U41" s="1113">
        <f t="shared" si="6"/>
        <v>0</v>
      </c>
      <c r="V41" s="1120">
        <f t="shared" si="0"/>
        <v>0</v>
      </c>
      <c r="W41" s="1120">
        <f t="shared" si="1"/>
        <v>0</v>
      </c>
      <c r="X41" s="1115">
        <f t="shared" si="2"/>
        <v>0.62476463541481964</v>
      </c>
      <c r="Y41" s="1115">
        <f t="shared" si="7"/>
        <v>2.257699328087575</v>
      </c>
      <c r="Z41" s="1121">
        <f t="shared" si="8"/>
        <v>0</v>
      </c>
      <c r="AA41" s="1121">
        <f t="shared" si="9"/>
        <v>0</v>
      </c>
      <c r="AB41" s="1121">
        <f t="shared" si="10"/>
        <v>0</v>
      </c>
    </row>
    <row r="42" spans="1:28" ht="15.6">
      <c r="A42" s="527"/>
      <c r="B42" s="1138" t="s">
        <v>947</v>
      </c>
      <c r="C42" s="1138"/>
      <c r="D42" s="1188">
        <v>0.24</v>
      </c>
      <c r="E42" s="1188">
        <v>0.23</v>
      </c>
      <c r="G42" s="526">
        <f>+$D$34*D42</f>
        <v>1727.28</v>
      </c>
      <c r="H42" s="1436">
        <f>+$H$40+G42</f>
        <v>8924.2800000000007</v>
      </c>
      <c r="O42" s="1122" t="s">
        <v>935</v>
      </c>
      <c r="P42" s="1123">
        <v>6034</v>
      </c>
      <c r="Q42" s="1124">
        <v>1417.3102570989925</v>
      </c>
      <c r="R42" s="1124">
        <f t="shared" si="3"/>
        <v>7451.3102570989922</v>
      </c>
      <c r="S42" s="1124">
        <f t="shared" si="5"/>
        <v>7451.3102570989922</v>
      </c>
      <c r="T42" s="1125">
        <v>0</v>
      </c>
      <c r="U42" s="1113">
        <f t="shared" si="6"/>
        <v>0</v>
      </c>
      <c r="V42" s="1120">
        <f t="shared" si="0"/>
        <v>0</v>
      </c>
      <c r="W42" s="1120">
        <f t="shared" si="1"/>
        <v>0</v>
      </c>
      <c r="X42" s="1126">
        <f t="shared" si="2"/>
        <v>0.19020953472561372</v>
      </c>
      <c r="Y42" s="1126">
        <f t="shared" si="7"/>
        <v>1.0287673249555338</v>
      </c>
      <c r="Z42" s="1121">
        <f t="shared" si="8"/>
        <v>0</v>
      </c>
      <c r="AA42" s="1127">
        <f t="shared" si="9"/>
        <v>0</v>
      </c>
      <c r="AB42" s="1127">
        <f t="shared" si="10"/>
        <v>0</v>
      </c>
    </row>
    <row r="43" spans="1:28" ht="15.6">
      <c r="A43" s="527"/>
      <c r="B43" s="1138" t="s">
        <v>948</v>
      </c>
      <c r="C43" s="1138"/>
      <c r="D43" s="1188">
        <v>0.03</v>
      </c>
      <c r="E43" s="1188">
        <v>0.03</v>
      </c>
      <c r="G43" s="526">
        <f>+$D$34*D43</f>
        <v>215.91</v>
      </c>
      <c r="H43" s="1436">
        <f>+$H$40+G43</f>
        <v>7412.91</v>
      </c>
      <c r="I43" s="1437" t="s">
        <v>1223</v>
      </c>
      <c r="O43" s="1109" t="s">
        <v>937</v>
      </c>
      <c r="P43" s="1117">
        <v>8512</v>
      </c>
      <c r="Q43" s="1118">
        <v>2603.8851528305713</v>
      </c>
      <c r="R43" s="1118">
        <f t="shared" si="3"/>
        <v>11115.885152830571</v>
      </c>
      <c r="S43" s="1118">
        <f t="shared" si="5"/>
        <v>11115.885152830571</v>
      </c>
      <c r="T43" s="1128">
        <v>0</v>
      </c>
      <c r="U43" s="1113">
        <f t="shared" si="6"/>
        <v>0</v>
      </c>
      <c r="V43" s="1120">
        <f t="shared" si="0"/>
        <v>0</v>
      </c>
      <c r="W43" s="1120">
        <f t="shared" si="1"/>
        <v>0</v>
      </c>
      <c r="X43" s="1129">
        <f t="shared" si="2"/>
        <v>0.23424901544322926</v>
      </c>
      <c r="Y43" s="1129">
        <f t="shared" si="7"/>
        <v>1.5347179272659452</v>
      </c>
      <c r="Z43" s="1121">
        <f t="shared" si="8"/>
        <v>0</v>
      </c>
      <c r="AA43" s="1121">
        <f t="shared" si="9"/>
        <v>0</v>
      </c>
      <c r="AB43" s="1121">
        <f t="shared" si="10"/>
        <v>0</v>
      </c>
    </row>
    <row r="44" spans="1:28" ht="15.6">
      <c r="A44" s="528"/>
      <c r="B44" s="1138" t="s">
        <v>949</v>
      </c>
      <c r="C44" s="1138"/>
      <c r="D44" s="1188">
        <v>0.12</v>
      </c>
      <c r="E44" s="1188">
        <v>0.12</v>
      </c>
      <c r="G44" s="526">
        <f>+$D$34*D44</f>
        <v>863.64</v>
      </c>
      <c r="H44" s="1436">
        <f>+$H$40+G44</f>
        <v>8060.64</v>
      </c>
      <c r="O44" s="825" t="s">
        <v>950</v>
      </c>
      <c r="P44" s="420"/>
      <c r="Q44" s="399"/>
      <c r="R44" s="1362">
        <f>IF(OR(AB44=0,T44=0),0,AB44/T44)</f>
        <v>7242.9499619081098</v>
      </c>
      <c r="S44" s="399"/>
      <c r="T44" s="1363">
        <f>SUM(T15:T43)</f>
        <v>276</v>
      </c>
      <c r="U44" s="1364"/>
      <c r="V44" s="1365"/>
      <c r="W44" s="1364"/>
      <c r="X44" s="391"/>
      <c r="Y44" s="391"/>
      <c r="Z44" s="1366">
        <f>SUM(Z15:Z43)</f>
        <v>0</v>
      </c>
      <c r="AA44" s="1366">
        <f>SUM(AA15:AA43)</f>
        <v>1999054.1894866384</v>
      </c>
      <c r="AB44" s="1366">
        <f>SUM(AB15:AB43)</f>
        <v>1999054.1894866384</v>
      </c>
    </row>
    <row r="45" spans="1:28" ht="15.6">
      <c r="A45" s="391"/>
      <c r="H45" s="1205"/>
      <c r="I45" s="1204"/>
      <c r="J45" s="1205"/>
      <c r="K45" s="1210"/>
      <c r="L45" s="1205"/>
      <c r="M45" s="1204"/>
      <c r="O45" s="400"/>
      <c r="P45" s="401"/>
      <c r="Q45" s="402"/>
      <c r="R45" s="402"/>
      <c r="S45" s="402"/>
      <c r="T45" s="403"/>
      <c r="U45" s="403"/>
      <c r="V45" s="403"/>
      <c r="W45" s="403"/>
      <c r="X45" s="391"/>
      <c r="Y45" s="391"/>
      <c r="Z45" s="404">
        <f>IF(Z44=0,0,IF(Z44/4&gt;500000,"Monthly","Qtrly"))</f>
        <v>0</v>
      </c>
      <c r="AA45" s="405"/>
      <c r="AB45" s="405"/>
    </row>
    <row r="46" spans="1:28" ht="15.6" hidden="1" outlineLevel="1">
      <c r="A46" s="391"/>
      <c r="B46" s="1083" t="s">
        <v>951</v>
      </c>
      <c r="C46" s="1083"/>
      <c r="D46" s="434"/>
      <c r="O46" s="400"/>
      <c r="P46" s="401"/>
      <c r="Q46" s="402"/>
      <c r="R46" s="402"/>
      <c r="S46" s="402"/>
      <c r="T46" s="403"/>
      <c r="U46" s="403"/>
      <c r="V46" s="403"/>
      <c r="W46" s="403"/>
      <c r="X46" s="391"/>
      <c r="Y46" s="391"/>
      <c r="Z46" s="404"/>
      <c r="AA46" s="405"/>
      <c r="AB46" s="405"/>
    </row>
    <row r="47" spans="1:28" ht="15.6" hidden="1" outlineLevel="1">
      <c r="A47" s="391"/>
      <c r="B47" s="1167" t="s">
        <v>952</v>
      </c>
      <c r="C47" s="1167"/>
      <c r="D47" s="1276">
        <f>+J133</f>
        <v>150</v>
      </c>
      <c r="E47" s="1"/>
      <c r="F47" s="1196" t="s">
        <v>953</v>
      </c>
      <c r="V47" s="403"/>
      <c r="W47" s="403"/>
      <c r="X47" s="391"/>
      <c r="Y47" s="391"/>
      <c r="Z47" s="404"/>
      <c r="AA47" s="405"/>
      <c r="AB47" s="405"/>
    </row>
    <row r="48" spans="1:28" ht="15.6" hidden="1" outlineLevel="1">
      <c r="A48" s="391"/>
      <c r="B48" s="1166" t="s">
        <v>954</v>
      </c>
      <c r="C48" s="1166"/>
      <c r="D48" s="1277">
        <f>+J168</f>
        <v>327</v>
      </c>
      <c r="F48" t="s">
        <v>955</v>
      </c>
      <c r="I48" s="402"/>
      <c r="V48" s="403"/>
      <c r="W48" s="403"/>
      <c r="X48" s="391"/>
      <c r="Y48" s="391"/>
      <c r="Z48" s="404"/>
      <c r="AA48" s="405"/>
      <c r="AB48" s="405"/>
    </row>
    <row r="49" spans="1:34" ht="15.6" hidden="1" outlineLevel="1">
      <c r="A49" s="391"/>
      <c r="B49" s="1168"/>
      <c r="C49" s="1168"/>
      <c r="D49" s="1148">
        <f>SUM(D47:D48)</f>
        <v>477</v>
      </c>
      <c r="F49" s="1"/>
      <c r="I49" s="402"/>
      <c r="V49" s="403"/>
      <c r="W49" s="403"/>
      <c r="X49" s="391"/>
      <c r="Y49" s="391"/>
      <c r="Z49" s="404"/>
      <c r="AA49" s="405"/>
      <c r="AB49" s="405"/>
    </row>
    <row r="50" spans="1:34" ht="15.6" hidden="1" outlineLevel="1">
      <c r="A50" s="391"/>
      <c r="D50" s="5"/>
      <c r="F50" s="1"/>
      <c r="I50" s="402"/>
      <c r="V50" s="403"/>
      <c r="W50" s="403"/>
      <c r="X50" s="391"/>
      <c r="Y50" s="391"/>
      <c r="Z50" s="404"/>
      <c r="AA50" s="405"/>
      <c r="AB50" s="405"/>
    </row>
    <row r="51" spans="1:34" ht="15.6" hidden="1" outlineLevel="1">
      <c r="A51" s="391"/>
      <c r="B51" s="1206" t="s">
        <v>956</v>
      </c>
      <c r="C51" s="1206"/>
      <c r="D51" s="1206"/>
      <c r="F51" s="1"/>
      <c r="I51" s="402"/>
      <c r="V51" s="403"/>
      <c r="W51" s="403"/>
      <c r="X51" s="391"/>
      <c r="Y51" s="391"/>
      <c r="Z51" s="404"/>
      <c r="AA51" s="405"/>
      <c r="AB51" s="405"/>
    </row>
    <row r="52" spans="1:34" ht="15.6" hidden="1" outlineLevel="1">
      <c r="A52" s="391"/>
      <c r="B52" s="1202" t="s">
        <v>957</v>
      </c>
      <c r="C52" s="1203"/>
      <c r="D52" s="1203"/>
      <c r="F52" s="1"/>
      <c r="I52" s="402"/>
      <c r="V52" s="403"/>
      <c r="W52" s="403"/>
      <c r="X52" s="391"/>
      <c r="Y52" s="391"/>
      <c r="Z52" s="404"/>
      <c r="AA52" s="405"/>
      <c r="AB52" s="405"/>
    </row>
    <row r="53" spans="1:34" ht="15.6" hidden="1" outlineLevel="1">
      <c r="A53" s="391"/>
      <c r="B53" s="1204"/>
      <c r="C53" s="1205"/>
      <c r="D53" s="1204"/>
      <c r="F53" s="1"/>
      <c r="V53" s="403"/>
      <c r="W53" s="403"/>
      <c r="X53" s="391"/>
      <c r="Y53" s="391"/>
      <c r="Z53" s="404"/>
      <c r="AA53" s="405"/>
      <c r="AB53" s="405"/>
    </row>
    <row r="54" spans="1:34" ht="15.6" hidden="1" outlineLevel="1">
      <c r="A54" s="391"/>
      <c r="B54" s="1218" t="s">
        <v>958</v>
      </c>
      <c r="C54" s="1205"/>
      <c r="D54" s="1219">
        <v>500</v>
      </c>
      <c r="F54" s="1"/>
      <c r="V54" s="403"/>
      <c r="W54" s="403"/>
      <c r="X54" s="391"/>
      <c r="Y54" s="391"/>
      <c r="Z54" s="404"/>
      <c r="AA54" s="405"/>
      <c r="AB54" s="405"/>
    </row>
    <row r="55" spans="1:34" ht="15.6" hidden="1" outlineLevel="1">
      <c r="A55" s="391"/>
      <c r="B55" s="1218" t="s">
        <v>959</v>
      </c>
      <c r="C55" s="1205"/>
      <c r="D55" s="1219">
        <v>250</v>
      </c>
      <c r="F55" s="1"/>
      <c r="V55" s="403"/>
      <c r="W55" s="403"/>
      <c r="X55" s="391"/>
      <c r="Y55" s="391"/>
      <c r="Z55" s="404"/>
      <c r="AA55" s="405"/>
      <c r="AB55" s="405"/>
    </row>
    <row r="56" spans="1:34" ht="15.6" hidden="1" outlineLevel="1">
      <c r="A56" s="391"/>
      <c r="B56" s="1218" t="s">
        <v>960</v>
      </c>
      <c r="C56" s="1205"/>
      <c r="D56" s="1278">
        <f>SUM(B61,B63,B65,B67)</f>
        <v>318</v>
      </c>
      <c r="E56" s="1279"/>
      <c r="F56" s="1"/>
      <c r="V56" s="403"/>
      <c r="W56" s="403"/>
      <c r="X56" s="391"/>
      <c r="Y56" s="391"/>
      <c r="Z56" s="404"/>
      <c r="AA56" s="405"/>
      <c r="AB56" s="405"/>
    </row>
    <row r="57" spans="1:34" ht="15.6" hidden="1" outlineLevel="1">
      <c r="A57" s="391"/>
      <c r="B57" s="1204"/>
      <c r="C57" s="1205"/>
      <c r="D57" s="1204"/>
      <c r="F57" s="1"/>
      <c r="V57" s="403"/>
      <c r="W57" s="403"/>
      <c r="X57" s="391"/>
      <c r="Y57" s="391"/>
      <c r="Z57" s="404"/>
      <c r="AA57" s="405"/>
      <c r="AB57" s="405"/>
    </row>
    <row r="58" spans="1:34" ht="15.6" hidden="1" outlineLevel="1">
      <c r="A58" s="391"/>
      <c r="B58" s="1245" t="s">
        <v>961</v>
      </c>
      <c r="C58" s="1212"/>
      <c r="D58" s="1211"/>
      <c r="E58" s="434"/>
      <c r="F58" s="1"/>
      <c r="G58" t="s">
        <v>489</v>
      </c>
      <c r="K58">
        <v>500</v>
      </c>
      <c r="N58" t="s">
        <v>962</v>
      </c>
      <c r="V58" s="403"/>
      <c r="W58" s="403"/>
      <c r="X58" s="391"/>
      <c r="Y58" s="391"/>
      <c r="Z58" s="404"/>
      <c r="AA58" s="405"/>
      <c r="AB58" s="405"/>
    </row>
    <row r="59" spans="1:34" ht="15.6" hidden="1" outlineLevel="1">
      <c r="A59" s="391"/>
      <c r="B59" s="1206" t="s">
        <v>963</v>
      </c>
      <c r="C59" s="1212"/>
      <c r="D59" s="1206" t="s">
        <v>964</v>
      </c>
      <c r="E59" s="1211"/>
      <c r="G59" s="1204"/>
      <c r="I59" t="s">
        <v>965</v>
      </c>
      <c r="J59" t="s">
        <v>966</v>
      </c>
      <c r="K59" t="s">
        <v>967</v>
      </c>
      <c r="N59" t="s">
        <v>968</v>
      </c>
      <c r="V59" s="403"/>
      <c r="W59" s="403"/>
      <c r="X59" s="391"/>
      <c r="Y59" s="391"/>
      <c r="Z59" s="404"/>
      <c r="AA59" s="405"/>
      <c r="AB59" s="405"/>
    </row>
    <row r="60" spans="1:34" ht="15.6" hidden="1" outlineLevel="1">
      <c r="A60" s="391"/>
      <c r="B60" s="1203" t="s">
        <v>969</v>
      </c>
      <c r="C60" s="1220" t="s">
        <v>970</v>
      </c>
      <c r="D60" s="1220" t="s">
        <v>971</v>
      </c>
      <c r="E60" s="1220" t="s">
        <v>972</v>
      </c>
      <c r="G60" s="1204"/>
      <c r="I60" s="1220" t="s">
        <v>973</v>
      </c>
      <c r="J60" s="1220" t="s">
        <v>974</v>
      </c>
      <c r="K60" s="1220" t="s">
        <v>975</v>
      </c>
      <c r="N60" s="1220" t="s">
        <v>976</v>
      </c>
      <c r="V60" s="403"/>
      <c r="W60" s="403"/>
      <c r="X60" s="391"/>
      <c r="Y60" s="391"/>
      <c r="Z60" s="404"/>
      <c r="AA60" s="405"/>
      <c r="AB60" s="405"/>
    </row>
    <row r="61" spans="1:34" ht="15.6" hidden="1" outlineLevel="1">
      <c r="A61" s="391"/>
      <c r="B61" s="1208">
        <v>45</v>
      </c>
      <c r="C61" s="1208">
        <v>0</v>
      </c>
      <c r="D61" s="1209">
        <v>10</v>
      </c>
      <c r="E61" s="1208">
        <v>15</v>
      </c>
      <c r="G61" s="1202" t="s">
        <v>969</v>
      </c>
      <c r="H61" s="1281">
        <v>0.5</v>
      </c>
      <c r="I61" s="1282">
        <v>0.15</v>
      </c>
      <c r="J61" s="1282">
        <v>0.15</v>
      </c>
      <c r="K61" s="5">
        <f>+J61*$K$58</f>
        <v>75</v>
      </c>
      <c r="M61">
        <v>15</v>
      </c>
      <c r="V61" s="403"/>
      <c r="W61" s="403"/>
      <c r="X61" s="391"/>
      <c r="Y61" s="391"/>
      <c r="Z61" s="404"/>
      <c r="AA61" s="405"/>
      <c r="AB61" s="405"/>
    </row>
    <row r="62" spans="1:34" ht="15.6" hidden="1" outlineLevel="1">
      <c r="A62" s="391"/>
      <c r="B62" s="1203" t="s">
        <v>977</v>
      </c>
      <c r="C62" s="1220" t="s">
        <v>978</v>
      </c>
      <c r="D62" s="1220" t="s">
        <v>979</v>
      </c>
      <c r="E62" s="1204"/>
      <c r="G62" s="1283" t="s">
        <v>980</v>
      </c>
      <c r="H62" s="1281">
        <v>0.24</v>
      </c>
      <c r="I62" s="1282">
        <v>0.2</v>
      </c>
      <c r="J62" s="1282">
        <v>0.17</v>
      </c>
      <c r="K62" s="5">
        <f>+J62*$K$58</f>
        <v>85</v>
      </c>
      <c r="M62">
        <v>17</v>
      </c>
      <c r="V62" s="403"/>
      <c r="W62" s="403"/>
      <c r="X62" s="391"/>
      <c r="Y62" s="391"/>
      <c r="Z62" s="404"/>
      <c r="AA62" s="405"/>
      <c r="AB62" s="405"/>
    </row>
    <row r="63" spans="1:34" ht="15.6" hidden="1" outlineLevel="1">
      <c r="A63" s="391"/>
      <c r="B63" s="1208">
        <v>53</v>
      </c>
      <c r="C63" s="1208">
        <v>0</v>
      </c>
      <c r="D63" s="1208">
        <v>0</v>
      </c>
      <c r="F63" s="1204"/>
      <c r="G63" s="1283" t="s">
        <v>977</v>
      </c>
      <c r="H63" s="1281">
        <v>0.12</v>
      </c>
      <c r="I63" s="1282">
        <v>0.01</v>
      </c>
      <c r="J63" s="1282">
        <v>0.01</v>
      </c>
      <c r="K63" s="5">
        <f>+J63*$K$58</f>
        <v>5</v>
      </c>
      <c r="M63">
        <v>4</v>
      </c>
      <c r="V63" s="403"/>
      <c r="W63" s="403"/>
      <c r="X63" s="391"/>
      <c r="Y63" s="391"/>
      <c r="Z63" s="404"/>
      <c r="AA63" s="405"/>
      <c r="AB63" s="405"/>
    </row>
    <row r="64" spans="1:34" ht="15.6" hidden="1" outlineLevel="1">
      <c r="A64" s="391"/>
      <c r="B64" s="1203" t="s">
        <v>980</v>
      </c>
      <c r="C64" s="1220" t="s">
        <v>981</v>
      </c>
      <c r="D64" s="1204"/>
      <c r="F64" s="1204"/>
      <c r="G64" s="1202" t="s">
        <v>982</v>
      </c>
      <c r="H64" s="1281">
        <v>0.5</v>
      </c>
      <c r="I64" s="1282">
        <v>0.5</v>
      </c>
      <c r="J64" s="1282">
        <v>0.5</v>
      </c>
      <c r="K64" s="5">
        <f>+J64*$K$58</f>
        <v>250</v>
      </c>
      <c r="N64" s="1281">
        <v>0.8</v>
      </c>
      <c r="V64" s="403"/>
      <c r="W64" s="403"/>
      <c r="X64" s="391"/>
      <c r="Y64" s="391"/>
      <c r="Z64" s="404"/>
      <c r="AA64" s="405"/>
      <c r="AB64" s="405"/>
      <c r="AH64">
        <v>0.64</v>
      </c>
    </row>
    <row r="65" spans="1:28" ht="15.6" hidden="1" outlineLevel="1">
      <c r="A65" s="391"/>
      <c r="B65" s="1208">
        <v>30</v>
      </c>
      <c r="C65" s="1208">
        <v>20</v>
      </c>
      <c r="D65" s="1204"/>
      <c r="F65" s="1204"/>
      <c r="K65" s="5">
        <f>SUM(K61:K64)</f>
        <v>415</v>
      </c>
      <c r="V65" s="403"/>
      <c r="W65" s="403"/>
      <c r="X65" s="391"/>
      <c r="Y65" s="391"/>
      <c r="Z65" s="404"/>
      <c r="AA65" s="405"/>
      <c r="AB65" s="405"/>
    </row>
    <row r="66" spans="1:28" ht="15.6" hidden="1" outlineLevel="1">
      <c r="A66" s="391"/>
      <c r="B66" s="1203" t="s">
        <v>982</v>
      </c>
      <c r="C66" s="1207"/>
      <c r="D66" s="1207"/>
      <c r="F66" s="1207"/>
      <c r="I66" s="1281">
        <v>0.06</v>
      </c>
      <c r="V66" s="403"/>
      <c r="W66" s="403"/>
      <c r="X66" s="391"/>
      <c r="Y66" s="391"/>
      <c r="Z66" s="404"/>
      <c r="AA66" s="405"/>
      <c r="AB66" s="405"/>
    </row>
    <row r="67" spans="1:28" ht="15.6" hidden="1" outlineLevel="1">
      <c r="A67" s="391"/>
      <c r="B67" s="1208">
        <v>190</v>
      </c>
      <c r="C67" s="1204"/>
      <c r="D67" s="1210"/>
      <c r="F67" s="1204"/>
      <c r="G67" t="s">
        <v>983</v>
      </c>
      <c r="V67" s="403"/>
      <c r="W67" s="403"/>
      <c r="X67" s="391"/>
      <c r="Y67" s="391"/>
      <c r="Z67" s="404"/>
      <c r="AA67" s="405"/>
      <c r="AB67" s="405"/>
    </row>
    <row r="68" spans="1:28" ht="15.6" hidden="1" outlineLevel="1">
      <c r="A68" s="391"/>
      <c r="B68" s="1211"/>
      <c r="C68" s="1211"/>
      <c r="D68" s="1213"/>
      <c r="E68" s="1211"/>
      <c r="V68" s="403"/>
      <c r="W68" s="403"/>
      <c r="X68" s="391"/>
      <c r="Y68" s="391"/>
      <c r="Z68" s="404"/>
      <c r="AA68" s="405"/>
      <c r="AB68" s="405"/>
    </row>
    <row r="69" spans="1:28" ht="15.6" hidden="1" outlineLevel="1">
      <c r="A69" s="391"/>
      <c r="B69" s="1216" t="s">
        <v>984</v>
      </c>
      <c r="C69" s="1216"/>
      <c r="D69" s="1216"/>
      <c r="E69" s="1216"/>
      <c r="V69" s="403"/>
      <c r="W69" s="403"/>
      <c r="X69" s="391"/>
      <c r="Y69" s="391"/>
      <c r="Z69" s="404"/>
      <c r="AA69" s="405"/>
      <c r="AB69" s="405"/>
    </row>
    <row r="70" spans="1:28" ht="15.6" hidden="1" outlineLevel="1">
      <c r="A70" s="391"/>
      <c r="B70" s="1220" t="s">
        <v>985</v>
      </c>
      <c r="C70" s="1220" t="s">
        <v>986</v>
      </c>
      <c r="D70" s="1220" t="s">
        <v>987</v>
      </c>
      <c r="E70" s="1220" t="s">
        <v>988</v>
      </c>
      <c r="V70" s="403"/>
      <c r="W70" s="403"/>
      <c r="X70" s="391"/>
      <c r="Y70" s="391"/>
      <c r="Z70" s="404"/>
      <c r="AA70" s="405"/>
      <c r="AB70" s="405"/>
    </row>
    <row r="71" spans="1:28" ht="15.6" hidden="1" outlineLevel="1">
      <c r="A71" s="391"/>
      <c r="B71" s="1208">
        <v>0</v>
      </c>
      <c r="C71" s="1208">
        <v>1</v>
      </c>
      <c r="D71" s="1209">
        <v>1</v>
      </c>
      <c r="E71" s="1208">
        <v>10</v>
      </c>
      <c r="V71" s="403"/>
      <c r="W71" s="403"/>
      <c r="X71" s="391"/>
      <c r="Y71" s="391"/>
      <c r="Z71" s="404"/>
      <c r="AA71" s="405"/>
      <c r="AB71" s="405"/>
    </row>
    <row r="72" spans="1:28" ht="15.6" hidden="1" outlineLevel="1">
      <c r="A72" s="391"/>
      <c r="B72" s="1220" t="s">
        <v>989</v>
      </c>
      <c r="C72" s="1204"/>
      <c r="D72" s="1204"/>
      <c r="V72" s="403"/>
      <c r="W72" s="403"/>
      <c r="X72" s="391"/>
      <c r="Y72" s="391"/>
      <c r="Z72" s="404"/>
      <c r="AA72" s="405"/>
      <c r="AB72" s="405"/>
    </row>
    <row r="73" spans="1:28" ht="15.6" hidden="1" outlineLevel="1">
      <c r="A73" s="391"/>
      <c r="B73" s="1208">
        <v>0</v>
      </c>
      <c r="C73" s="1205"/>
      <c r="D73" s="1204"/>
      <c r="E73" s="1204"/>
      <c r="F73" s="1204"/>
      <c r="G73" s="1204"/>
      <c r="V73" s="403"/>
      <c r="W73" s="403"/>
      <c r="X73" s="391"/>
      <c r="Y73" s="391"/>
      <c r="Z73" s="404"/>
      <c r="AA73" s="405"/>
      <c r="AB73" s="405"/>
    </row>
    <row r="74" spans="1:28" ht="15.6" hidden="1" outlineLevel="1">
      <c r="A74" s="391"/>
      <c r="B74" s="1211"/>
      <c r="C74" s="1211"/>
      <c r="D74" s="1211"/>
      <c r="E74" s="1211"/>
      <c r="F74" s="1211"/>
      <c r="G74" s="1211"/>
      <c r="V74" s="403"/>
      <c r="W74" s="403"/>
      <c r="X74" s="391"/>
      <c r="Y74" s="391"/>
      <c r="Z74" s="404"/>
      <c r="AA74" s="405"/>
      <c r="AB74" s="405"/>
    </row>
    <row r="75" spans="1:28" ht="15.6" hidden="1" outlineLevel="1">
      <c r="A75" s="391"/>
      <c r="B75" s="1202" t="s">
        <v>990</v>
      </c>
      <c r="C75" s="1204"/>
      <c r="D75" s="1204"/>
      <c r="E75" s="1204"/>
      <c r="F75" s="1204"/>
      <c r="G75" s="1204"/>
      <c r="V75" s="403"/>
      <c r="W75" s="403"/>
      <c r="X75" s="391"/>
      <c r="Y75" s="391"/>
      <c r="Z75" s="404"/>
      <c r="AA75" s="405"/>
      <c r="AB75" s="405"/>
    </row>
    <row r="76" spans="1:28" ht="15.6" hidden="1" outlineLevel="1">
      <c r="A76" s="391"/>
      <c r="B76" s="1202" t="s">
        <v>991</v>
      </c>
      <c r="C76" s="1204"/>
      <c r="D76" s="1204"/>
      <c r="E76" s="1204"/>
      <c r="F76" s="1205"/>
      <c r="G76" s="1204"/>
      <c r="V76" s="403"/>
      <c r="W76" s="403"/>
      <c r="X76" s="391"/>
      <c r="Y76" s="391"/>
      <c r="Z76" s="404"/>
      <c r="AA76" s="405"/>
      <c r="AB76" s="405"/>
    </row>
    <row r="77" spans="1:28" ht="15.6" hidden="1" outlineLevel="1">
      <c r="A77" s="391"/>
      <c r="B77" s="1202"/>
      <c r="C77" s="1204"/>
      <c r="D77" s="1204"/>
      <c r="E77" s="1204"/>
      <c r="F77" s="1205"/>
      <c r="G77" s="1204"/>
      <c r="V77" s="403"/>
      <c r="W77" s="403"/>
      <c r="X77" s="391"/>
      <c r="Y77" s="391"/>
      <c r="Z77" s="404"/>
      <c r="AA77" s="405"/>
      <c r="AB77" s="405"/>
    </row>
    <row r="78" spans="1:28" ht="15.6" hidden="1" outlineLevel="1">
      <c r="A78" s="391"/>
      <c r="E78" s="1217" t="s">
        <v>489</v>
      </c>
      <c r="F78" s="1217" t="s">
        <v>992</v>
      </c>
      <c r="G78" s="1217" t="s">
        <v>993</v>
      </c>
      <c r="H78" s="1217" t="s">
        <v>982</v>
      </c>
      <c r="I78" s="1217" t="s">
        <v>994</v>
      </c>
      <c r="J78" s="1217" t="s">
        <v>123</v>
      </c>
      <c r="K78" s="1217" t="s">
        <v>995</v>
      </c>
      <c r="V78" s="403"/>
      <c r="W78" s="403"/>
      <c r="X78" s="391"/>
      <c r="Y78" s="391"/>
      <c r="Z78" s="404"/>
      <c r="AA78" s="405"/>
      <c r="AB78" s="405"/>
    </row>
    <row r="79" spans="1:28" ht="18" hidden="1" outlineLevel="1">
      <c r="A79" s="391"/>
      <c r="C79" s="1250" t="str">
        <f>+D14</f>
        <v>SYE 22</v>
      </c>
      <c r="E79" s="1214">
        <f>+D55</f>
        <v>250</v>
      </c>
      <c r="F79" s="1214">
        <f>B61</f>
        <v>45</v>
      </c>
      <c r="G79" s="1214">
        <f>B65-D61-C63-B73-E71</f>
        <v>10</v>
      </c>
      <c r="H79" s="1214">
        <f>B67-C65-D63-E61-D71-E71-B73</f>
        <v>144</v>
      </c>
      <c r="I79" s="1214">
        <f>B63-C61-C71-D71</f>
        <v>51</v>
      </c>
      <c r="J79" s="1221">
        <f>SUM(E79:I79)</f>
        <v>500</v>
      </c>
      <c r="K79" s="5">
        <f>+J79-D54</f>
        <v>0</v>
      </c>
      <c r="V79" s="403"/>
      <c r="W79" s="403"/>
      <c r="X79" s="391"/>
      <c r="Y79" s="391"/>
      <c r="Z79" s="404"/>
      <c r="AA79" s="405"/>
      <c r="AB79" s="405"/>
    </row>
    <row r="80" spans="1:28" ht="15.6" hidden="1" outlineLevel="1">
      <c r="A80" s="391"/>
      <c r="D80" s="1246" t="s">
        <v>996</v>
      </c>
      <c r="E80" s="1247">
        <f t="shared" ref="E80:J80" si="16">+E79/$J$79</f>
        <v>0.5</v>
      </c>
      <c r="F80" s="1247">
        <f t="shared" si="16"/>
        <v>0.09</v>
      </c>
      <c r="G80" s="1247">
        <f t="shared" si="16"/>
        <v>0.02</v>
      </c>
      <c r="H80" s="1272">
        <f t="shared" si="16"/>
        <v>0.28799999999999998</v>
      </c>
      <c r="I80" s="1247">
        <f t="shared" si="16"/>
        <v>0.10199999999999999</v>
      </c>
      <c r="J80" s="1247">
        <f t="shared" si="16"/>
        <v>1</v>
      </c>
      <c r="V80" s="403"/>
      <c r="W80" s="403"/>
      <c r="X80" s="391"/>
      <c r="Y80" s="391"/>
      <c r="Z80" s="404"/>
      <c r="AA80" s="405"/>
      <c r="AB80" s="405"/>
    </row>
    <row r="81" spans="1:28" ht="15.6" hidden="1" outlineLevel="1">
      <c r="A81" s="391"/>
      <c r="D81" s="1246" t="s">
        <v>997</v>
      </c>
      <c r="E81" s="1248">
        <v>0</v>
      </c>
      <c r="F81" s="1248">
        <f>+D41</f>
        <v>0.38284007225232736</v>
      </c>
      <c r="G81" s="1248">
        <f>+D42</f>
        <v>0.24</v>
      </c>
      <c r="H81" s="1248">
        <f>+D43</f>
        <v>0.03</v>
      </c>
      <c r="I81" s="1248">
        <f>+D44</f>
        <v>0.12</v>
      </c>
      <c r="J81" s="1207"/>
      <c r="V81" s="403"/>
      <c r="W81" s="403"/>
      <c r="X81" s="391"/>
      <c r="Y81" s="391"/>
      <c r="Z81" s="404"/>
      <c r="AA81" s="405"/>
      <c r="AB81" s="405"/>
    </row>
    <row r="82" spans="1:28" ht="15.6" hidden="1" outlineLevel="1">
      <c r="A82" s="391"/>
      <c r="E82" s="1215"/>
      <c r="F82" s="1215"/>
      <c r="G82" s="1215"/>
      <c r="H82" s="1215"/>
      <c r="I82" s="1215"/>
      <c r="J82" s="1207"/>
      <c r="V82" s="403"/>
      <c r="W82" s="403"/>
      <c r="X82" s="391"/>
      <c r="Y82" s="391"/>
      <c r="Z82" s="404"/>
      <c r="AA82" s="405"/>
      <c r="AB82" s="405"/>
    </row>
    <row r="83" spans="1:28" ht="15.6" hidden="1" outlineLevel="1">
      <c r="A83" s="391"/>
      <c r="B83" s="1" t="s">
        <v>998</v>
      </c>
      <c r="E83" s="1242" t="s">
        <v>999</v>
      </c>
      <c r="F83" s="1215"/>
      <c r="G83" s="1215"/>
      <c r="H83" s="1215"/>
      <c r="I83" s="1215"/>
      <c r="J83" s="1207"/>
      <c r="V83" s="403"/>
      <c r="W83" s="403"/>
      <c r="X83" s="391"/>
      <c r="Y83" s="391"/>
      <c r="Z83" s="404"/>
      <c r="AA83" s="405"/>
      <c r="AB83" s="405"/>
    </row>
    <row r="84" spans="1:28" ht="15.6" hidden="1" outlineLevel="1">
      <c r="A84" s="391"/>
      <c r="C84" s="1238" t="s">
        <v>1000</v>
      </c>
      <c r="D84" s="1"/>
      <c r="E84" s="1242" t="s">
        <v>1001</v>
      </c>
      <c r="F84" s="1242"/>
      <c r="G84" s="1242"/>
      <c r="H84" s="1242"/>
      <c r="I84" s="1242"/>
      <c r="J84" s="1203" t="s">
        <v>123</v>
      </c>
      <c r="V84" s="403"/>
      <c r="W84" s="403"/>
      <c r="X84" s="391"/>
      <c r="Y84" s="391"/>
      <c r="Z84" s="404"/>
      <c r="AA84" s="405"/>
      <c r="AB84" s="405"/>
    </row>
    <row r="85" spans="1:28" ht="15.6" hidden="1" outlineLevel="1">
      <c r="A85" s="391"/>
      <c r="B85" s="1" t="s">
        <v>1002</v>
      </c>
      <c r="C85" s="1238" t="s">
        <v>1003</v>
      </c>
      <c r="D85" s="1238" t="s">
        <v>285</v>
      </c>
      <c r="E85" s="1243">
        <f>+J79</f>
        <v>500</v>
      </c>
      <c r="F85" s="1244" t="s">
        <v>1004</v>
      </c>
      <c r="G85" s="1242"/>
      <c r="H85" s="1242"/>
      <c r="I85" s="1242"/>
      <c r="J85" s="1203" t="s">
        <v>1001</v>
      </c>
      <c r="V85" s="403"/>
      <c r="W85" s="403"/>
      <c r="X85" s="391"/>
      <c r="Y85" s="391"/>
      <c r="Z85" s="404"/>
      <c r="AA85" s="405"/>
      <c r="AB85" s="405"/>
    </row>
    <row r="86" spans="1:28" ht="15.6" hidden="1" outlineLevel="1">
      <c r="A86" s="391">
        <v>1</v>
      </c>
      <c r="B86" t="str">
        <f>$B32</f>
        <v xml:space="preserve">Carson City </v>
      </c>
      <c r="C86" s="1223"/>
      <c r="D86" s="526">
        <f t="shared" ref="D86:D91" si="17">+D32</f>
        <v>7494</v>
      </c>
      <c r="E86" s="1263">
        <f>IF($C86="y",$J$79*$D86,0)</f>
        <v>0</v>
      </c>
      <c r="F86" s="1263">
        <f t="shared" ref="F86:I92" si="18">IF($C86="y",F$79*F$81*$D86,0)</f>
        <v>0</v>
      </c>
      <c r="G86" s="1263">
        <f t="shared" si="18"/>
        <v>0</v>
      </c>
      <c r="H86" s="1263">
        <f t="shared" si="18"/>
        <v>0</v>
      </c>
      <c r="I86" s="1264">
        <f t="shared" si="18"/>
        <v>0</v>
      </c>
      <c r="J86" s="1234">
        <f t="shared" ref="J86:J93" si="19">SUM(E86:I86)</f>
        <v>0</v>
      </c>
      <c r="V86" s="403"/>
      <c r="W86" s="403"/>
      <c r="X86" s="391"/>
      <c r="Y86" s="391"/>
      <c r="Z86" s="404"/>
      <c r="AA86" s="405"/>
      <c r="AB86" s="405"/>
    </row>
    <row r="87" spans="1:28" ht="15.6" hidden="1" outlineLevel="1">
      <c r="A87" s="391">
        <f>1+A86</f>
        <v>2</v>
      </c>
      <c r="B87" s="387" t="str">
        <f t="shared" ref="B87:B90" si="20">$B33</f>
        <v>Churchill</v>
      </c>
      <c r="C87" s="1240"/>
      <c r="D87" s="1241">
        <f t="shared" si="17"/>
        <v>8093</v>
      </c>
      <c r="E87" s="1265">
        <f t="shared" ref="E87:E91" si="21">IF($C87="y",$J$79*$D87,0)</f>
        <v>0</v>
      </c>
      <c r="F87" s="1265">
        <f t="shared" si="18"/>
        <v>0</v>
      </c>
      <c r="G87" s="1265">
        <f t="shared" si="18"/>
        <v>0</v>
      </c>
      <c r="H87" s="1265">
        <f t="shared" si="18"/>
        <v>0</v>
      </c>
      <c r="I87" s="1266">
        <f t="shared" si="18"/>
        <v>0</v>
      </c>
      <c r="J87" s="1234">
        <f t="shared" si="19"/>
        <v>0</v>
      </c>
      <c r="V87" s="403"/>
      <c r="W87" s="403"/>
      <c r="X87" s="391"/>
      <c r="Y87" s="391"/>
      <c r="Z87" s="404"/>
      <c r="AA87" s="405"/>
      <c r="AB87" s="405"/>
    </row>
    <row r="88" spans="1:28" ht="15.6" hidden="1" outlineLevel="1">
      <c r="A88" s="391">
        <f t="shared" ref="A88:A90" si="22">1+A87</f>
        <v>3</v>
      </c>
      <c r="B88" s="387" t="str">
        <f t="shared" si="20"/>
        <v>Clark</v>
      </c>
      <c r="C88" s="1240" t="s">
        <v>1005</v>
      </c>
      <c r="D88" s="1241">
        <f t="shared" si="17"/>
        <v>7197</v>
      </c>
      <c r="E88" s="1265">
        <f t="shared" si="21"/>
        <v>3598500</v>
      </c>
      <c r="F88" s="1265">
        <f t="shared" si="18"/>
        <v>123988.50000000001</v>
      </c>
      <c r="G88" s="1265">
        <f t="shared" si="18"/>
        <v>17272.8</v>
      </c>
      <c r="H88" s="1265">
        <f t="shared" si="18"/>
        <v>31091.040000000001</v>
      </c>
      <c r="I88" s="1266">
        <f t="shared" si="18"/>
        <v>44045.64</v>
      </c>
      <c r="J88" s="1234">
        <f t="shared" si="19"/>
        <v>3814897.98</v>
      </c>
      <c r="V88" s="403"/>
      <c r="W88" s="403"/>
      <c r="X88" s="391"/>
      <c r="Y88" s="391"/>
      <c r="Z88" s="404"/>
      <c r="AA88" s="405"/>
      <c r="AB88" s="405"/>
    </row>
    <row r="89" spans="1:28" ht="15.6" hidden="1" outlineLevel="1">
      <c r="A89" s="391">
        <f t="shared" si="22"/>
        <v>4</v>
      </c>
      <c r="B89" s="387" t="str">
        <f t="shared" si="20"/>
        <v>Elko</v>
      </c>
      <c r="C89" s="1240"/>
      <c r="D89" s="1241">
        <f t="shared" si="17"/>
        <v>7715</v>
      </c>
      <c r="E89" s="1267">
        <f t="shared" si="21"/>
        <v>0</v>
      </c>
      <c r="F89" s="1267">
        <f t="shared" si="18"/>
        <v>0</v>
      </c>
      <c r="G89" s="1267">
        <f t="shared" si="18"/>
        <v>0</v>
      </c>
      <c r="H89" s="1267">
        <f t="shared" si="18"/>
        <v>0</v>
      </c>
      <c r="I89" s="1268">
        <f t="shared" si="18"/>
        <v>0</v>
      </c>
      <c r="J89" s="1234">
        <f t="shared" si="19"/>
        <v>0</v>
      </c>
      <c r="V89" s="403"/>
      <c r="W89" s="403"/>
      <c r="X89" s="391"/>
      <c r="Y89" s="391"/>
      <c r="Z89" s="404"/>
      <c r="AA89" s="405"/>
      <c r="AB89" s="405"/>
    </row>
    <row r="90" spans="1:28" ht="15.6" hidden="1" outlineLevel="1">
      <c r="A90" s="391">
        <f t="shared" si="22"/>
        <v>5</v>
      </c>
      <c r="B90" s="387" t="str">
        <f t="shared" si="20"/>
        <v>Washoe</v>
      </c>
      <c r="C90" s="1240"/>
      <c r="D90" s="1241">
        <f t="shared" si="17"/>
        <v>6980</v>
      </c>
      <c r="E90" s="1267">
        <f t="shared" si="21"/>
        <v>0</v>
      </c>
      <c r="F90" s="1267">
        <f t="shared" si="18"/>
        <v>0</v>
      </c>
      <c r="G90" s="1267">
        <f t="shared" si="18"/>
        <v>0</v>
      </c>
      <c r="H90" s="1267">
        <f t="shared" si="18"/>
        <v>0</v>
      </c>
      <c r="I90" s="1268">
        <f t="shared" si="18"/>
        <v>0</v>
      </c>
      <c r="J90" s="1234">
        <f t="shared" si="19"/>
        <v>0</v>
      </c>
      <c r="V90" s="403"/>
      <c r="W90" s="403"/>
      <c r="X90" s="391"/>
      <c r="Y90" s="391"/>
      <c r="Z90" s="404"/>
      <c r="AA90" s="405"/>
      <c r="AB90" s="405"/>
    </row>
    <row r="91" spans="1:28" ht="15.6" hidden="1" outlineLevel="1">
      <c r="A91" s="391">
        <f>1+A90</f>
        <v>6</v>
      </c>
      <c r="B91" t="str">
        <f>$B37</f>
        <v>White Pine</v>
      </c>
      <c r="C91" s="1223"/>
      <c r="D91" s="526">
        <f t="shared" si="17"/>
        <v>10367</v>
      </c>
      <c r="E91" s="1269">
        <f t="shared" si="21"/>
        <v>0</v>
      </c>
      <c r="F91" s="1269">
        <f t="shared" si="18"/>
        <v>0</v>
      </c>
      <c r="G91" s="1269">
        <f t="shared" si="18"/>
        <v>0</v>
      </c>
      <c r="H91" s="1269">
        <f t="shared" si="18"/>
        <v>0</v>
      </c>
      <c r="I91" s="1270">
        <f t="shared" si="18"/>
        <v>0</v>
      </c>
      <c r="J91" s="1235">
        <f t="shared" si="19"/>
        <v>0</v>
      </c>
      <c r="V91" s="403"/>
      <c r="W91" s="403"/>
      <c r="X91" s="391"/>
      <c r="Y91" s="391"/>
      <c r="Z91" s="404"/>
      <c r="AA91" s="405"/>
      <c r="AB91" s="405"/>
    </row>
    <row r="92" spans="1:28" ht="15.6" hidden="1" outlineLevel="1">
      <c r="A92" s="391"/>
      <c r="B92" s="1289" t="s">
        <v>1006</v>
      </c>
      <c r="C92" s="1224"/>
      <c r="D92" s="1222">
        <f>+D16</f>
        <v>6980</v>
      </c>
      <c r="E92" s="1227">
        <f>IF($C92="y",$J$79*$D92,0)</f>
        <v>0</v>
      </c>
      <c r="F92" s="1227">
        <f t="shared" si="18"/>
        <v>0</v>
      </c>
      <c r="G92" s="1227">
        <f t="shared" si="18"/>
        <v>0</v>
      </c>
      <c r="H92" s="1227">
        <f t="shared" si="18"/>
        <v>0</v>
      </c>
      <c r="I92" s="1236">
        <f t="shared" si="18"/>
        <v>0</v>
      </c>
      <c r="J92" s="1237">
        <f t="shared" si="19"/>
        <v>0</v>
      </c>
      <c r="K92" t="s">
        <v>1007</v>
      </c>
      <c r="V92" s="403"/>
      <c r="W92" s="403"/>
      <c r="X92" s="391"/>
      <c r="Y92" s="391"/>
      <c r="Z92" s="404"/>
      <c r="AA92" s="405"/>
      <c r="AB92" s="405"/>
    </row>
    <row r="93" spans="1:28" ht="15.6" hidden="1" outlineLevel="1">
      <c r="A93" s="391"/>
      <c r="C93" s="1239" t="str">
        <f>IF(COUNTIF(C86:C92,"y")&gt;1,"Error: Select 1 area","ok")</f>
        <v>ok</v>
      </c>
      <c r="E93" s="1181">
        <f>SUM(E86:E92)</f>
        <v>3598500</v>
      </c>
      <c r="F93" s="1181">
        <f>SUM(F86:F92)</f>
        <v>123988.50000000001</v>
      </c>
      <c r="G93" s="1181">
        <f>SUM(G86:G92)</f>
        <v>17272.8</v>
      </c>
      <c r="H93" s="1181">
        <f>SUM(H86:H92)</f>
        <v>31091.040000000001</v>
      </c>
      <c r="I93" s="1181">
        <f>SUM(I86:I92)</f>
        <v>44045.64</v>
      </c>
      <c r="J93" s="1183">
        <f t="shared" si="19"/>
        <v>3814897.98</v>
      </c>
      <c r="V93" s="403"/>
      <c r="W93" s="403"/>
      <c r="X93" s="391"/>
      <c r="Y93" s="391"/>
      <c r="Z93" s="404"/>
      <c r="AA93" s="405"/>
      <c r="AB93" s="405"/>
    </row>
    <row r="94" spans="1:28" ht="15.6" hidden="1" outlineLevel="1">
      <c r="A94" s="391"/>
      <c r="B94" s="1273"/>
      <c r="C94" s="1273"/>
      <c r="D94" s="1273" t="s">
        <v>285</v>
      </c>
      <c r="E94" s="1274">
        <f>+E93/J79</f>
        <v>7197</v>
      </c>
      <c r="F94" s="1274">
        <f>+F93/F79</f>
        <v>2755.3</v>
      </c>
      <c r="G94" s="1274">
        <f>+G93/G79</f>
        <v>1727.28</v>
      </c>
      <c r="H94" s="1274">
        <f>+H93/H79</f>
        <v>215.91</v>
      </c>
      <c r="I94" s="1274">
        <f>+I93/I79</f>
        <v>863.64</v>
      </c>
      <c r="J94" s="1274">
        <f>+J93/J79</f>
        <v>7629.7959600000004</v>
      </c>
      <c r="V94" s="403"/>
      <c r="W94" s="403"/>
      <c r="X94" s="391"/>
      <c r="Y94" s="391"/>
      <c r="Z94" s="404"/>
      <c r="AA94" s="405"/>
      <c r="AB94" s="405"/>
    </row>
    <row r="95" spans="1:28" ht="15.6" hidden="1" outlineLevel="1">
      <c r="A95" s="391"/>
      <c r="B95" s="1273"/>
      <c r="C95" s="1273"/>
      <c r="D95" s="1273"/>
      <c r="E95" s="1275">
        <f t="shared" ref="E95:J95" si="23">+E94/$E$94</f>
        <v>1</v>
      </c>
      <c r="F95" s="1275">
        <f t="shared" si="23"/>
        <v>0.38284007225232736</v>
      </c>
      <c r="G95" s="1275">
        <f t="shared" si="23"/>
        <v>0.24</v>
      </c>
      <c r="H95" s="1275">
        <f t="shared" si="23"/>
        <v>0.03</v>
      </c>
      <c r="I95" s="1275">
        <f t="shared" si="23"/>
        <v>0.12</v>
      </c>
      <c r="J95" s="1275">
        <f t="shared" si="23"/>
        <v>1.0601356065027094</v>
      </c>
      <c r="V95" s="403"/>
      <c r="W95" s="403"/>
      <c r="X95" s="391"/>
      <c r="Y95" s="391"/>
      <c r="Z95" s="404"/>
      <c r="AA95" s="405"/>
      <c r="AB95" s="405"/>
    </row>
    <row r="96" spans="1:28" ht="15.6" hidden="1" outlineLevel="1" collapsed="1">
      <c r="A96" s="391"/>
      <c r="B96" s="1273"/>
      <c r="C96" s="1273"/>
      <c r="D96" s="1273"/>
      <c r="E96" s="1275"/>
      <c r="F96" s="1275"/>
      <c r="G96" s="1275"/>
      <c r="H96" s="1275"/>
      <c r="I96" s="1275"/>
      <c r="J96" s="1275"/>
      <c r="V96" s="403"/>
      <c r="W96" s="403"/>
      <c r="X96" s="391"/>
      <c r="Y96" s="391"/>
      <c r="Z96" s="404"/>
      <c r="AA96" s="405"/>
      <c r="AB96" s="405"/>
    </row>
    <row r="97" spans="1:28" ht="15.6" hidden="1" outlineLevel="1">
      <c r="A97" s="391"/>
      <c r="E97" s="1217" t="s">
        <v>489</v>
      </c>
      <c r="F97" s="1217" t="s">
        <v>992</v>
      </c>
      <c r="G97" s="1217" t="s">
        <v>993</v>
      </c>
      <c r="H97" s="1217" t="s">
        <v>982</v>
      </c>
      <c r="I97" s="1217" t="s">
        <v>994</v>
      </c>
      <c r="J97" s="1217" t="s">
        <v>123</v>
      </c>
      <c r="V97" s="403"/>
      <c r="W97" s="403"/>
      <c r="X97" s="391"/>
      <c r="Y97" s="391"/>
      <c r="Z97" s="404"/>
      <c r="AA97" s="405"/>
      <c r="AB97" s="405"/>
    </row>
    <row r="98" spans="1:28" ht="15.6" hidden="1" outlineLevel="1">
      <c r="A98" s="391"/>
      <c r="E98" s="1214">
        <f>+E79</f>
        <v>250</v>
      </c>
      <c r="F98" s="1214">
        <f>+F79</f>
        <v>45</v>
      </c>
      <c r="G98" s="1214">
        <f>+G79</f>
        <v>10</v>
      </c>
      <c r="H98" s="1214">
        <f>+H79</f>
        <v>144</v>
      </c>
      <c r="I98" s="1214">
        <f>+I79</f>
        <v>51</v>
      </c>
      <c r="J98" s="1221">
        <f>SUM(E98:I98)</f>
        <v>500</v>
      </c>
      <c r="V98" s="403"/>
      <c r="W98" s="403"/>
      <c r="X98" s="391"/>
      <c r="Y98" s="391"/>
      <c r="Z98" s="404"/>
      <c r="AA98" s="405"/>
      <c r="AB98" s="405"/>
    </row>
    <row r="99" spans="1:28" ht="15.6" hidden="1" outlineLevel="1">
      <c r="A99" s="391"/>
      <c r="D99" s="1246" t="s">
        <v>996</v>
      </c>
      <c r="E99" s="1247">
        <f>+E98/$J98</f>
        <v>0.5</v>
      </c>
      <c r="F99" s="1247">
        <f t="shared" ref="F99:J99" si="24">+F98/$J98</f>
        <v>0.09</v>
      </c>
      <c r="G99" s="1247">
        <f t="shared" si="24"/>
        <v>0.02</v>
      </c>
      <c r="H99" s="1247">
        <f t="shared" si="24"/>
        <v>0.28799999999999998</v>
      </c>
      <c r="I99" s="1247">
        <f t="shared" si="24"/>
        <v>0.10199999999999999</v>
      </c>
      <c r="J99" s="1247">
        <f t="shared" si="24"/>
        <v>1</v>
      </c>
      <c r="V99" s="403"/>
      <c r="W99" s="403"/>
      <c r="X99" s="391"/>
      <c r="Y99" s="391"/>
      <c r="Z99" s="404"/>
      <c r="AA99" s="405"/>
      <c r="AB99" s="405"/>
    </row>
    <row r="100" spans="1:28" ht="15.6" hidden="1" outlineLevel="1">
      <c r="A100" s="391"/>
      <c r="D100" s="1246" t="s">
        <v>997</v>
      </c>
      <c r="E100" s="1248">
        <v>0</v>
      </c>
      <c r="F100" s="1248">
        <f>E41</f>
        <v>0.33</v>
      </c>
      <c r="G100" s="1248">
        <f>E42</f>
        <v>0.23</v>
      </c>
      <c r="H100" s="1248">
        <f>E43</f>
        <v>0.03</v>
      </c>
      <c r="I100" s="1248">
        <f>E44</f>
        <v>0.12</v>
      </c>
      <c r="J100" s="1207"/>
      <c r="V100" s="403"/>
      <c r="W100" s="403"/>
      <c r="X100" s="391"/>
      <c r="Y100" s="391"/>
      <c r="Z100" s="404"/>
      <c r="AA100" s="405"/>
      <c r="AB100" s="405"/>
    </row>
    <row r="101" spans="1:28" ht="15.6" collapsed="1">
      <c r="A101" s="391"/>
      <c r="D101" s="1246"/>
      <c r="E101" s="1215"/>
      <c r="F101" s="1215"/>
      <c r="G101" s="1215"/>
      <c r="H101" s="1215"/>
      <c r="I101" s="1215"/>
      <c r="J101" s="1207"/>
      <c r="V101" s="403"/>
      <c r="W101" s="403"/>
      <c r="X101" s="391"/>
      <c r="Y101" s="391"/>
      <c r="Z101" s="404"/>
      <c r="AA101" s="405"/>
      <c r="AB101" s="405"/>
    </row>
    <row r="102" spans="1:28" ht="18">
      <c r="A102" s="391"/>
      <c r="B102" t="s">
        <v>1008</v>
      </c>
      <c r="C102" s="1249" t="str">
        <f>+E14</f>
        <v>SYE 23</v>
      </c>
      <c r="D102" s="1246"/>
      <c r="E102" s="1215"/>
      <c r="F102" s="1215"/>
      <c r="G102" s="1215"/>
      <c r="H102" s="1215"/>
      <c r="I102" s="1215"/>
      <c r="J102" s="1207"/>
      <c r="V102" s="403"/>
      <c r="W102" s="403"/>
      <c r="X102" s="391"/>
      <c r="Y102" s="391"/>
      <c r="Z102" s="404"/>
      <c r="AA102" s="405"/>
      <c r="AB102" s="405"/>
    </row>
    <row r="103" spans="1:28" ht="15.6">
      <c r="A103" s="391"/>
      <c r="D103" s="1246"/>
      <c r="E103" s="1215"/>
      <c r="F103" s="1215"/>
      <c r="G103" s="1215"/>
      <c r="H103" s="1215"/>
      <c r="I103" s="1215"/>
      <c r="J103" s="1207"/>
      <c r="V103" s="403"/>
      <c r="W103" s="403"/>
      <c r="X103" s="391"/>
      <c r="Y103" s="391"/>
      <c r="Z103" s="404"/>
      <c r="AA103" s="405"/>
      <c r="AB103" s="405"/>
    </row>
    <row r="104" spans="1:28" ht="15.6">
      <c r="A104" s="391"/>
      <c r="B104" s="1" t="s">
        <v>998</v>
      </c>
      <c r="E104" s="1215"/>
      <c r="F104" s="1215"/>
      <c r="G104" s="1215"/>
      <c r="H104" s="1215"/>
      <c r="I104" s="1215"/>
      <c r="J104" s="1207"/>
      <c r="V104" s="403"/>
      <c r="W104" s="403"/>
      <c r="X104" s="391"/>
      <c r="Y104" s="391"/>
      <c r="Z104" s="404"/>
      <c r="AA104" s="405"/>
      <c r="AB104" s="405"/>
    </row>
    <row r="105" spans="1:28" ht="15.6">
      <c r="A105" s="391"/>
      <c r="C105" s="1238" t="s">
        <v>1000</v>
      </c>
      <c r="D105" s="1"/>
      <c r="E105" s="1242" t="s">
        <v>1009</v>
      </c>
      <c r="F105" s="1242"/>
      <c r="G105" s="1242"/>
      <c r="H105" s="1242"/>
      <c r="I105" s="1242"/>
      <c r="J105" s="1203" t="s">
        <v>123</v>
      </c>
      <c r="V105" s="403"/>
      <c r="W105" s="403"/>
      <c r="X105" s="391"/>
      <c r="Y105" s="391"/>
      <c r="Z105" s="404"/>
      <c r="AA105" s="405"/>
      <c r="AB105" s="405"/>
    </row>
    <row r="106" spans="1:28" ht="15.6">
      <c r="A106" s="391"/>
      <c r="B106" s="1082" t="s">
        <v>1002</v>
      </c>
      <c r="C106" s="1217" t="s">
        <v>1003</v>
      </c>
      <c r="D106" s="1217" t="str">
        <f>+E31</f>
        <v>SYE 23</v>
      </c>
      <c r="E106" s="1243">
        <f>+J98</f>
        <v>500</v>
      </c>
      <c r="F106" s="1244" t="s">
        <v>1004</v>
      </c>
      <c r="G106" s="1242"/>
      <c r="H106" s="1242"/>
      <c r="I106" s="1242"/>
      <c r="J106" s="1206" t="s">
        <v>1001</v>
      </c>
      <c r="V106" s="403"/>
      <c r="W106" s="403"/>
      <c r="X106" s="391"/>
      <c r="Y106" s="391"/>
      <c r="Z106" s="404"/>
      <c r="AA106" s="405"/>
      <c r="AB106" s="405"/>
    </row>
    <row r="107" spans="1:28" ht="15.6">
      <c r="A107" s="391">
        <v>1</v>
      </c>
      <c r="B107" s="1091" t="str">
        <f t="shared" ref="B107:B112" si="25">$B32</f>
        <v xml:space="preserve">Carson City </v>
      </c>
      <c r="C107" s="1223"/>
      <c r="D107" s="1290">
        <f t="shared" ref="D107:D112" si="26">+E32</f>
        <v>7594</v>
      </c>
      <c r="E107" s="1228">
        <f t="shared" ref="E107:E113" si="27">IF($C107="y",$J$98*$D107,0)</f>
        <v>0</v>
      </c>
      <c r="F107" s="1228">
        <f t="shared" ref="F107:I113" si="28">IF($C107="y",F$98*F$100*$D107,0)</f>
        <v>0</v>
      </c>
      <c r="G107" s="1228">
        <f t="shared" si="28"/>
        <v>0</v>
      </c>
      <c r="H107" s="1228">
        <f t="shared" si="28"/>
        <v>0</v>
      </c>
      <c r="I107" s="1230">
        <f t="shared" si="28"/>
        <v>0</v>
      </c>
      <c r="J107" s="1271">
        <f t="shared" ref="J107:J114" si="29">SUM(E107:I107)</f>
        <v>0</v>
      </c>
      <c r="V107" s="403"/>
      <c r="W107" s="403"/>
      <c r="X107" s="391"/>
      <c r="Y107" s="391"/>
      <c r="Z107" s="404"/>
      <c r="AA107" s="405"/>
      <c r="AB107" s="405"/>
    </row>
    <row r="108" spans="1:28" ht="15.6">
      <c r="A108" s="391">
        <f>1+A107</f>
        <v>2</v>
      </c>
      <c r="B108" s="1288" t="str">
        <f t="shared" si="25"/>
        <v>Churchill</v>
      </c>
      <c r="C108" s="1240"/>
      <c r="D108" s="1291">
        <f t="shared" si="26"/>
        <v>8197</v>
      </c>
      <c r="E108" s="1225">
        <f t="shared" si="27"/>
        <v>0</v>
      </c>
      <c r="F108" s="1225">
        <f t="shared" si="28"/>
        <v>0</v>
      </c>
      <c r="G108" s="1225">
        <f t="shared" si="28"/>
        <v>0</v>
      </c>
      <c r="H108" s="1225">
        <f t="shared" si="28"/>
        <v>0</v>
      </c>
      <c r="I108" s="1231">
        <f t="shared" si="28"/>
        <v>0</v>
      </c>
      <c r="J108" s="1234">
        <f t="shared" si="29"/>
        <v>0</v>
      </c>
      <c r="V108" s="403"/>
      <c r="W108" s="403"/>
      <c r="X108" s="391"/>
      <c r="Y108" s="391"/>
      <c r="Z108" s="404"/>
      <c r="AA108" s="405"/>
      <c r="AB108" s="405"/>
    </row>
    <row r="109" spans="1:28" ht="15.6">
      <c r="A109" s="391">
        <f t="shared" ref="A109:A111" si="30">1+A108</f>
        <v>3</v>
      </c>
      <c r="B109" s="1288" t="str">
        <f t="shared" si="25"/>
        <v>Clark</v>
      </c>
      <c r="C109" s="1240"/>
      <c r="D109" s="1291">
        <f t="shared" si="26"/>
        <v>7293</v>
      </c>
      <c r="E109" s="1225">
        <f t="shared" si="27"/>
        <v>0</v>
      </c>
      <c r="F109" s="1225">
        <f t="shared" si="28"/>
        <v>0</v>
      </c>
      <c r="G109" s="1225">
        <f t="shared" si="28"/>
        <v>0</v>
      </c>
      <c r="H109" s="1225">
        <f t="shared" si="28"/>
        <v>0</v>
      </c>
      <c r="I109" s="1231">
        <f t="shared" si="28"/>
        <v>0</v>
      </c>
      <c r="J109" s="1234">
        <f t="shared" si="29"/>
        <v>0</v>
      </c>
      <c r="V109" s="403"/>
      <c r="W109" s="403"/>
      <c r="X109" s="391"/>
      <c r="Y109" s="391"/>
      <c r="Z109" s="404"/>
      <c r="AA109" s="405"/>
      <c r="AB109" s="405"/>
    </row>
    <row r="110" spans="1:28" ht="15.6">
      <c r="A110" s="391">
        <f t="shared" si="30"/>
        <v>4</v>
      </c>
      <c r="B110" s="1288" t="str">
        <f t="shared" si="25"/>
        <v>Elko</v>
      </c>
      <c r="C110" s="1240"/>
      <c r="D110" s="1291">
        <f t="shared" si="26"/>
        <v>7818</v>
      </c>
      <c r="E110" s="1226">
        <f t="shared" si="27"/>
        <v>0</v>
      </c>
      <c r="F110" s="1226">
        <f t="shared" si="28"/>
        <v>0</v>
      </c>
      <c r="G110" s="1226">
        <f t="shared" si="28"/>
        <v>0</v>
      </c>
      <c r="H110" s="1226">
        <f t="shared" si="28"/>
        <v>0</v>
      </c>
      <c r="I110" s="1232">
        <f t="shared" si="28"/>
        <v>0</v>
      </c>
      <c r="J110" s="1234">
        <f t="shared" si="29"/>
        <v>0</v>
      </c>
      <c r="V110" s="403"/>
      <c r="W110" s="403"/>
      <c r="X110" s="391"/>
      <c r="Y110" s="391"/>
      <c r="Z110" s="404"/>
      <c r="AA110" s="405"/>
      <c r="AB110" s="405"/>
    </row>
    <row r="111" spans="1:28" ht="15.6">
      <c r="A111" s="391">
        <f t="shared" si="30"/>
        <v>5</v>
      </c>
      <c r="B111" s="1288" t="str">
        <f t="shared" si="25"/>
        <v>Washoe</v>
      </c>
      <c r="C111" s="1240"/>
      <c r="D111" s="1291">
        <f t="shared" si="26"/>
        <v>7074</v>
      </c>
      <c r="E111" s="1226">
        <f t="shared" si="27"/>
        <v>0</v>
      </c>
      <c r="F111" s="1226">
        <f t="shared" si="28"/>
        <v>0</v>
      </c>
      <c r="G111" s="1226">
        <f t="shared" si="28"/>
        <v>0</v>
      </c>
      <c r="H111" s="1226">
        <f t="shared" si="28"/>
        <v>0</v>
      </c>
      <c r="I111" s="1232">
        <f t="shared" si="28"/>
        <v>0</v>
      </c>
      <c r="J111" s="1234">
        <f t="shared" si="29"/>
        <v>0</v>
      </c>
      <c r="V111" s="403"/>
      <c r="W111" s="403"/>
      <c r="X111" s="391"/>
      <c r="Y111" s="391"/>
      <c r="Z111" s="404"/>
      <c r="AA111" s="405"/>
      <c r="AB111" s="405"/>
    </row>
    <row r="112" spans="1:28" ht="15.6">
      <c r="A112" s="391">
        <f>1+A111</f>
        <v>6</v>
      </c>
      <c r="B112" s="1091" t="str">
        <f t="shared" si="25"/>
        <v>White Pine</v>
      </c>
      <c r="C112" s="1223"/>
      <c r="D112" s="1290">
        <f t="shared" si="26"/>
        <v>10501</v>
      </c>
      <c r="E112" s="1229">
        <f t="shared" si="27"/>
        <v>0</v>
      </c>
      <c r="F112" s="1229">
        <f t="shared" si="28"/>
        <v>0</v>
      </c>
      <c r="G112" s="1229">
        <f t="shared" si="28"/>
        <v>0</v>
      </c>
      <c r="H112" s="1229">
        <f t="shared" si="28"/>
        <v>0</v>
      </c>
      <c r="I112" s="1233">
        <f t="shared" si="28"/>
        <v>0</v>
      </c>
      <c r="J112" s="1235">
        <f t="shared" si="29"/>
        <v>0</v>
      </c>
      <c r="V112" s="403"/>
      <c r="W112" s="403"/>
      <c r="X112" s="391"/>
      <c r="Y112" s="391"/>
      <c r="Z112" s="404"/>
      <c r="AA112" s="405"/>
      <c r="AB112" s="405"/>
    </row>
    <row r="113" spans="1:28" ht="15.6">
      <c r="A113" s="391"/>
      <c r="B113" s="1289" t="s">
        <v>1006</v>
      </c>
      <c r="C113" s="1224" t="s">
        <v>1005</v>
      </c>
      <c r="D113" s="1292">
        <f>+E16</f>
        <v>7074</v>
      </c>
      <c r="E113" s="1227">
        <f t="shared" si="27"/>
        <v>3537000</v>
      </c>
      <c r="F113" s="1227">
        <f t="shared" si="28"/>
        <v>105048.90000000001</v>
      </c>
      <c r="G113" s="1227">
        <f t="shared" si="28"/>
        <v>16270.200000000003</v>
      </c>
      <c r="H113" s="1227">
        <f t="shared" si="28"/>
        <v>30559.68</v>
      </c>
      <c r="I113" s="1236">
        <f t="shared" si="28"/>
        <v>43292.88</v>
      </c>
      <c r="J113" s="1237">
        <f t="shared" si="29"/>
        <v>3732171.66</v>
      </c>
      <c r="K113" t="s">
        <v>1007</v>
      </c>
      <c r="V113" s="403"/>
      <c r="W113" s="403"/>
      <c r="X113" s="391"/>
      <c r="Y113" s="391"/>
      <c r="Z113" s="404"/>
      <c r="AA113" s="405"/>
      <c r="AB113" s="405"/>
    </row>
    <row r="114" spans="1:28" ht="15.6">
      <c r="A114" s="391"/>
      <c r="B114" t="s">
        <v>1010</v>
      </c>
      <c r="C114" s="1239"/>
      <c r="D114" s="526">
        <v>7074</v>
      </c>
      <c r="E114" s="1181">
        <f>SUM(E107:E113)</f>
        <v>3537000</v>
      </c>
      <c r="F114" s="1181">
        <f>SUM(F107:F113)</f>
        <v>105048.90000000001</v>
      </c>
      <c r="G114" s="1181">
        <f>SUM(G107:G113)</f>
        <v>16270.200000000003</v>
      </c>
      <c r="H114" s="1181">
        <f>SUM(H107:H113)</f>
        <v>30559.68</v>
      </c>
      <c r="I114" s="1181">
        <f>SUM(I107:I113)</f>
        <v>43292.88</v>
      </c>
      <c r="J114" s="1183">
        <f t="shared" si="29"/>
        <v>3732171.66</v>
      </c>
      <c r="V114" s="403"/>
      <c r="W114" s="403"/>
      <c r="X114" s="391"/>
      <c r="Y114" s="391"/>
      <c r="Z114" s="404"/>
      <c r="AA114" s="405"/>
      <c r="AB114" s="405"/>
    </row>
    <row r="115" spans="1:28" ht="15.6">
      <c r="A115" s="391"/>
      <c r="B115" t="s">
        <v>1011</v>
      </c>
      <c r="D115" s="1373">
        <f>+D116</f>
        <v>7074</v>
      </c>
      <c r="E115" s="1207"/>
      <c r="F115" s="1207"/>
      <c r="G115" s="1207"/>
      <c r="H115" s="1207"/>
      <c r="V115" s="403"/>
      <c r="W115" s="403"/>
      <c r="X115" s="391"/>
      <c r="Y115" s="391"/>
      <c r="Z115" s="404"/>
      <c r="AA115" s="405"/>
      <c r="AB115" s="405"/>
    </row>
    <row r="116" spans="1:28" ht="15.6">
      <c r="A116" s="391"/>
      <c r="D116" s="1374">
        <f>+D114*D12</f>
        <v>7074</v>
      </c>
      <c r="E116" s="1207"/>
      <c r="F116" s="1207"/>
      <c r="G116" s="1207"/>
      <c r="H116" s="1207"/>
      <c r="V116" s="403"/>
      <c r="W116" s="403"/>
      <c r="X116" s="391"/>
      <c r="Y116" s="391"/>
      <c r="Z116" s="404"/>
      <c r="AA116" s="405"/>
      <c r="AB116" s="405"/>
    </row>
    <row r="117" spans="1:28" ht="15.6">
      <c r="A117" s="391"/>
      <c r="D117" s="1374"/>
      <c r="E117" s="1207"/>
      <c r="F117" s="1207"/>
      <c r="G117" s="1207"/>
      <c r="H117" s="1207"/>
      <c r="V117" s="403"/>
      <c r="W117" s="403"/>
      <c r="X117" s="391"/>
      <c r="Y117" s="391"/>
      <c r="Z117" s="404"/>
      <c r="AA117" s="405"/>
      <c r="AB117" s="405"/>
    </row>
    <row r="118" spans="1:28" ht="30">
      <c r="A118" s="391"/>
      <c r="E118" s="1521" t="s">
        <v>1314</v>
      </c>
      <c r="F118" s="1521" t="s">
        <v>1315</v>
      </c>
      <c r="G118" s="1521" t="s">
        <v>1316</v>
      </c>
      <c r="H118" s="1207"/>
      <c r="V118" s="403"/>
      <c r="W118" s="403"/>
      <c r="X118" s="391"/>
      <c r="Y118" s="391"/>
      <c r="Z118" s="404"/>
      <c r="AA118" s="405"/>
      <c r="AB118" s="405"/>
    </row>
    <row r="119" spans="1:28" ht="30">
      <c r="A119" s="391"/>
      <c r="D119" s="1205"/>
      <c r="E119" s="1521" t="s">
        <v>272</v>
      </c>
      <c r="F119" s="1521" t="s">
        <v>1317</v>
      </c>
      <c r="G119" s="1521" t="s">
        <v>1318</v>
      </c>
      <c r="H119" s="1204"/>
      <c r="V119" s="403"/>
      <c r="W119" s="403"/>
      <c r="X119" s="391"/>
      <c r="Y119" s="391"/>
      <c r="Z119" s="404"/>
      <c r="AA119" s="405"/>
      <c r="AB119" s="405"/>
    </row>
    <row r="120" spans="1:28" ht="45">
      <c r="A120" s="391"/>
      <c r="E120" s="1521" t="s">
        <v>128</v>
      </c>
      <c r="F120" s="1521" t="s">
        <v>1319</v>
      </c>
      <c r="G120" s="1521" t="s">
        <v>1320</v>
      </c>
      <c r="V120" s="403"/>
      <c r="W120" s="403"/>
      <c r="X120" s="391"/>
      <c r="Y120" s="391"/>
      <c r="Z120" s="404"/>
      <c r="AA120" s="405"/>
      <c r="AB120" s="405"/>
    </row>
    <row r="121" spans="1:28" ht="30">
      <c r="A121" s="391"/>
      <c r="E121" s="1521" t="s">
        <v>1321</v>
      </c>
      <c r="F121" s="1521" t="s">
        <v>1322</v>
      </c>
      <c r="G121" s="1521" t="s">
        <v>1320</v>
      </c>
      <c r="V121" s="403"/>
      <c r="W121" s="403"/>
      <c r="X121" s="391"/>
      <c r="Y121" s="391"/>
      <c r="Z121" s="404"/>
      <c r="AA121" s="405"/>
      <c r="AB121" s="405"/>
    </row>
    <row r="122" spans="1:28" ht="45">
      <c r="A122" s="391"/>
      <c r="E122" s="1521" t="s">
        <v>1323</v>
      </c>
      <c r="F122" s="1521" t="s">
        <v>1324</v>
      </c>
      <c r="G122" s="1521" t="s">
        <v>1325</v>
      </c>
      <c r="J122" s="402"/>
      <c r="V122" s="403"/>
      <c r="W122" s="403"/>
      <c r="X122" s="391"/>
      <c r="Y122" s="391"/>
      <c r="Z122" s="404"/>
      <c r="AA122" s="405"/>
      <c r="AB122" s="405"/>
    </row>
    <row r="123" spans="1:28" ht="15.6" hidden="1" outlineLevel="1">
      <c r="A123" s="391"/>
      <c r="B123" s="1171" t="s">
        <v>1012</v>
      </c>
      <c r="C123" s="1171"/>
      <c r="D123" s="1171"/>
      <c r="E123" s="1172"/>
      <c r="F123" s="1097"/>
      <c r="G123" s="1171"/>
      <c r="H123" s="1097"/>
      <c r="I123" s="1097"/>
      <c r="J123" s="1173"/>
      <c r="V123" s="403"/>
      <c r="W123" s="403"/>
      <c r="X123" s="391"/>
      <c r="Y123" s="391"/>
      <c r="Z123" s="404"/>
      <c r="AA123" s="405"/>
      <c r="AB123" s="405"/>
    </row>
    <row r="124" spans="1:28" ht="15.6" hidden="1" outlineLevel="1">
      <c r="A124" s="391"/>
      <c r="B124" s="1169" t="s">
        <v>1002</v>
      </c>
      <c r="C124" s="1169"/>
      <c r="D124" s="1169"/>
      <c r="E124" s="1094"/>
      <c r="F124" s="1094"/>
      <c r="G124" s="1169"/>
      <c r="H124" s="1094"/>
      <c r="I124" s="1094"/>
      <c r="J124" s="1170"/>
      <c r="V124" s="403"/>
      <c r="W124" s="403"/>
      <c r="X124" s="391"/>
      <c r="Y124" s="391"/>
      <c r="Z124" s="404"/>
      <c r="AA124" s="405"/>
      <c r="AB124" s="405"/>
    </row>
    <row r="125" spans="1:28" ht="15.6" hidden="1" outlineLevel="1">
      <c r="A125" s="391"/>
      <c r="B125" s="1082"/>
      <c r="C125" s="1082"/>
      <c r="D125" s="1082"/>
      <c r="E125" s="1082" t="s">
        <v>1013</v>
      </c>
      <c r="F125" s="434"/>
      <c r="G125" s="1082"/>
      <c r="H125" s="434"/>
      <c r="I125" s="434"/>
      <c r="J125" s="1165"/>
      <c r="V125" s="403"/>
      <c r="W125" s="403"/>
      <c r="X125" s="391"/>
      <c r="Y125" s="391"/>
      <c r="Z125" s="404"/>
      <c r="AA125" s="405"/>
      <c r="AB125" s="405"/>
    </row>
    <row r="126" spans="1:28" ht="15.6" hidden="1" outlineLevel="1">
      <c r="A126" s="391"/>
      <c r="B126" s="1085"/>
      <c r="C126" s="1085"/>
      <c r="D126" s="1085"/>
      <c r="E126" s="1085" t="s">
        <v>489</v>
      </c>
      <c r="F126" s="1085" t="s">
        <v>992</v>
      </c>
      <c r="G126" s="1085" t="s">
        <v>993</v>
      </c>
      <c r="H126" s="1085" t="s">
        <v>982</v>
      </c>
      <c r="I126" s="1085" t="s">
        <v>994</v>
      </c>
      <c r="J126" s="1085" t="s">
        <v>123</v>
      </c>
      <c r="V126" s="403"/>
      <c r="W126" s="403"/>
      <c r="X126" s="391"/>
      <c r="Y126" s="391"/>
      <c r="Z126" s="404"/>
      <c r="AA126" s="405"/>
      <c r="AB126" s="405"/>
    </row>
    <row r="127" spans="1:28" ht="15.6" hidden="1" outlineLevel="1">
      <c r="A127" s="391">
        <v>1</v>
      </c>
      <c r="B127" t="str">
        <f>+B$32</f>
        <v xml:space="preserve">Carson City </v>
      </c>
      <c r="E127" s="1194">
        <v>10</v>
      </c>
      <c r="F127" s="1194">
        <v>4</v>
      </c>
      <c r="G127" s="1194">
        <v>5</v>
      </c>
      <c r="H127" s="1194">
        <v>5</v>
      </c>
      <c r="I127" s="1194">
        <v>1</v>
      </c>
      <c r="J127" s="1179">
        <f t="shared" ref="J127:J133" si="31">SUM(E127:I127)</f>
        <v>25</v>
      </c>
      <c r="V127" s="403"/>
      <c r="W127" s="403"/>
      <c r="X127" s="391"/>
      <c r="Y127" s="391"/>
      <c r="Z127" s="404"/>
      <c r="AA127" s="405"/>
      <c r="AB127" s="405"/>
    </row>
    <row r="128" spans="1:28" ht="15.6" hidden="1" outlineLevel="1">
      <c r="A128" s="391">
        <f>1+A127</f>
        <v>2</v>
      </c>
      <c r="B128" t="str">
        <f>+$B$33</f>
        <v>Churchill</v>
      </c>
      <c r="E128" s="1194">
        <v>10</v>
      </c>
      <c r="F128" s="1194">
        <v>4</v>
      </c>
      <c r="G128" s="1194">
        <v>5</v>
      </c>
      <c r="H128" s="1194">
        <v>5</v>
      </c>
      <c r="I128" s="1194">
        <v>1</v>
      </c>
      <c r="J128" s="1146">
        <f t="shared" si="31"/>
        <v>25</v>
      </c>
      <c r="V128" s="403"/>
      <c r="W128" s="403"/>
      <c r="X128" s="391"/>
      <c r="Y128" s="391"/>
      <c r="Z128" s="404"/>
      <c r="AA128" s="405"/>
      <c r="AB128" s="405"/>
    </row>
    <row r="129" spans="1:28" ht="15.6" hidden="1" outlineLevel="1">
      <c r="A129" s="391">
        <f t="shared" ref="A129:A132" si="32">1+A128</f>
        <v>3</v>
      </c>
      <c r="B129" t="str">
        <f>+$B$34</f>
        <v>Clark</v>
      </c>
      <c r="E129" s="1194">
        <v>10</v>
      </c>
      <c r="F129" s="1194">
        <v>4</v>
      </c>
      <c r="G129" s="1194">
        <v>5</v>
      </c>
      <c r="H129" s="1194">
        <v>5</v>
      </c>
      <c r="I129" s="1194">
        <v>1</v>
      </c>
      <c r="J129" s="1146">
        <f t="shared" si="31"/>
        <v>25</v>
      </c>
      <c r="V129" s="403"/>
      <c r="W129" s="403"/>
      <c r="X129" s="391"/>
      <c r="Y129" s="391"/>
      <c r="Z129" s="404"/>
      <c r="AA129" s="405"/>
      <c r="AB129" s="405"/>
    </row>
    <row r="130" spans="1:28" ht="15.6" hidden="1" outlineLevel="1">
      <c r="A130" s="391">
        <f t="shared" si="32"/>
        <v>4</v>
      </c>
      <c r="B130" t="str">
        <f>+$B$35</f>
        <v>Elko</v>
      </c>
      <c r="E130" s="1194">
        <v>10</v>
      </c>
      <c r="F130" s="1194">
        <v>4</v>
      </c>
      <c r="G130" s="1194">
        <v>5</v>
      </c>
      <c r="H130" s="1194">
        <v>5</v>
      </c>
      <c r="I130" s="1194">
        <v>1</v>
      </c>
      <c r="J130" s="1146">
        <f t="shared" si="31"/>
        <v>25</v>
      </c>
      <c r="V130" s="403"/>
      <c r="W130" s="403"/>
      <c r="X130" s="391"/>
      <c r="Y130" s="391"/>
      <c r="Z130" s="404"/>
      <c r="AA130" s="405"/>
      <c r="AB130" s="405"/>
    </row>
    <row r="131" spans="1:28" ht="15.6" hidden="1" outlineLevel="1">
      <c r="A131" s="391">
        <f t="shared" si="32"/>
        <v>5</v>
      </c>
      <c r="B131" t="str">
        <f>+$B$36</f>
        <v>Washoe</v>
      </c>
      <c r="E131" s="1195">
        <v>10</v>
      </c>
      <c r="F131" s="1195">
        <v>4</v>
      </c>
      <c r="G131" s="1195">
        <v>5</v>
      </c>
      <c r="H131" s="1195">
        <v>5</v>
      </c>
      <c r="I131" s="1195">
        <v>1</v>
      </c>
      <c r="J131" s="1146">
        <f t="shared" si="31"/>
        <v>25</v>
      </c>
      <c r="V131" s="403"/>
      <c r="W131" s="403"/>
      <c r="X131" s="391"/>
      <c r="Y131" s="391"/>
      <c r="Z131" s="404"/>
      <c r="AA131" s="405"/>
      <c r="AB131" s="405"/>
    </row>
    <row r="132" spans="1:28" ht="15.6" hidden="1" outlineLevel="1">
      <c r="A132" s="391">
        <f t="shared" si="32"/>
        <v>6</v>
      </c>
      <c r="B132" t="str">
        <f>+$B$37</f>
        <v>White Pine</v>
      </c>
      <c r="E132" s="1195">
        <v>10</v>
      </c>
      <c r="F132" s="1195">
        <v>4</v>
      </c>
      <c r="G132" s="1195">
        <v>5</v>
      </c>
      <c r="H132" s="1195">
        <v>5</v>
      </c>
      <c r="I132" s="1195">
        <v>1</v>
      </c>
      <c r="J132" s="1157">
        <f t="shared" si="31"/>
        <v>25</v>
      </c>
      <c r="V132" s="403"/>
      <c r="W132" s="403"/>
      <c r="X132" s="391"/>
      <c r="Y132" s="391"/>
      <c r="Z132" s="404"/>
      <c r="AA132" s="405"/>
      <c r="AB132" s="405"/>
    </row>
    <row r="133" spans="1:28" ht="15.6" hidden="1" outlineLevel="1">
      <c r="A133" s="391"/>
      <c r="B133" s="1158" t="s">
        <v>123</v>
      </c>
      <c r="C133" s="1158"/>
      <c r="D133" s="1158"/>
      <c r="E133" s="1163">
        <f>SUM(E127:E132)</f>
        <v>60</v>
      </c>
      <c r="F133" s="1163">
        <f>SUM(F127:F132)</f>
        <v>24</v>
      </c>
      <c r="G133" s="1163">
        <f t="shared" ref="G133:I133" si="33">SUM(G127:G132)</f>
        <v>30</v>
      </c>
      <c r="H133" s="1163">
        <f t="shared" si="33"/>
        <v>30</v>
      </c>
      <c r="I133" s="1163">
        <f t="shared" si="33"/>
        <v>6</v>
      </c>
      <c r="J133" s="1163">
        <f t="shared" si="31"/>
        <v>150</v>
      </c>
      <c r="P133" s="401"/>
      <c r="Q133" s="402"/>
      <c r="R133" s="402"/>
      <c r="S133" s="402"/>
      <c r="T133" s="403"/>
      <c r="U133" s="403"/>
      <c r="V133" s="403"/>
      <c r="W133" s="403"/>
      <c r="X133" s="391"/>
      <c r="Y133" s="391"/>
      <c r="Z133" s="404"/>
      <c r="AA133" s="405"/>
      <c r="AB133" s="405"/>
    </row>
    <row r="134" spans="1:28" ht="15.6" hidden="1" outlineLevel="1">
      <c r="A134" s="391"/>
      <c r="J134" s="1151"/>
      <c r="O134" s="400"/>
      <c r="P134" s="401"/>
      <c r="Q134" s="402"/>
      <c r="R134" s="402"/>
      <c r="S134" s="402"/>
      <c r="T134" s="403"/>
      <c r="U134" s="403"/>
      <c r="V134" s="403"/>
      <c r="W134" s="403"/>
      <c r="X134" s="391"/>
      <c r="Y134" s="391"/>
      <c r="Z134" s="404"/>
      <c r="AA134" s="405"/>
      <c r="AB134" s="405"/>
    </row>
    <row r="135" spans="1:28" ht="15.6" hidden="1" outlineLevel="1">
      <c r="A135" s="391"/>
      <c r="E135" s="1082" t="s">
        <v>1014</v>
      </c>
      <c r="F135" s="434"/>
      <c r="G135" s="1082"/>
      <c r="H135" s="1082"/>
      <c r="I135" s="1082"/>
      <c r="J135" s="434"/>
      <c r="O135" s="400"/>
      <c r="P135" s="401"/>
      <c r="Q135" s="402"/>
      <c r="R135" s="402"/>
      <c r="S135" s="402"/>
      <c r="T135" s="403"/>
      <c r="U135" s="403"/>
      <c r="V135" s="403"/>
      <c r="W135" s="403"/>
      <c r="X135" s="391"/>
      <c r="Y135" s="391"/>
      <c r="Z135" s="404"/>
      <c r="AA135" s="405"/>
      <c r="AB135" s="405"/>
    </row>
    <row r="136" spans="1:28" ht="15.6" hidden="1" outlineLevel="1">
      <c r="A136" s="391"/>
      <c r="E136" s="1085" t="s">
        <v>489</v>
      </c>
      <c r="F136" s="1085" t="s">
        <v>992</v>
      </c>
      <c r="G136" s="1085" t="s">
        <v>993</v>
      </c>
      <c r="H136" s="1085" t="s">
        <v>982</v>
      </c>
      <c r="I136" s="1085" t="s">
        <v>994</v>
      </c>
      <c r="J136" s="1147"/>
      <c r="O136" s="400"/>
      <c r="P136" s="401"/>
      <c r="Q136" s="402"/>
      <c r="R136" s="402"/>
      <c r="S136" s="402"/>
      <c r="T136" s="403"/>
      <c r="U136" s="403"/>
      <c r="V136" s="403"/>
      <c r="W136" s="403"/>
      <c r="X136" s="391"/>
      <c r="Y136" s="391"/>
      <c r="Z136" s="404"/>
      <c r="AA136" s="405"/>
      <c r="AB136" s="405"/>
    </row>
    <row r="137" spans="1:28" ht="15.6" hidden="1" outlineLevel="1">
      <c r="A137" s="391"/>
      <c r="B137" s="1085" t="s">
        <v>1015</v>
      </c>
      <c r="C137" s="1085"/>
      <c r="D137" s="1085"/>
      <c r="E137" s="1197">
        <v>0</v>
      </c>
      <c r="F137" s="1189">
        <f>+D41</f>
        <v>0.38284007225232736</v>
      </c>
      <c r="G137" s="1189">
        <f>+D42</f>
        <v>0.24</v>
      </c>
      <c r="H137" s="1189">
        <f>+D43</f>
        <v>0.03</v>
      </c>
      <c r="I137" s="1189">
        <f>+D44</f>
        <v>0.12</v>
      </c>
      <c r="J137" s="1085" t="s">
        <v>123</v>
      </c>
      <c r="P137" s="401"/>
      <c r="Q137" s="402"/>
      <c r="R137" s="402"/>
      <c r="S137" s="402"/>
      <c r="T137" s="403"/>
      <c r="U137" s="403"/>
      <c r="V137" s="403"/>
      <c r="W137" s="403"/>
      <c r="X137" s="391"/>
      <c r="Y137" s="391"/>
      <c r="Z137" s="404"/>
      <c r="AA137" s="405"/>
      <c r="AB137" s="405"/>
    </row>
    <row r="138" spans="1:28" ht="15.6" hidden="1" outlineLevel="1">
      <c r="A138" s="391">
        <v>1</v>
      </c>
      <c r="B138" t="str">
        <f>+B$32</f>
        <v xml:space="preserve">Carson City </v>
      </c>
      <c r="E138" s="1149"/>
      <c r="F138" s="1150">
        <v>4</v>
      </c>
      <c r="G138" s="1150">
        <v>2</v>
      </c>
      <c r="H138" s="1150">
        <v>3</v>
      </c>
      <c r="I138" s="1150">
        <v>1</v>
      </c>
      <c r="J138" s="1179">
        <f t="shared" ref="J138:J144" si="34">SUM(E138:I138)</f>
        <v>10</v>
      </c>
      <c r="P138" s="401"/>
      <c r="Q138" s="402"/>
      <c r="R138" s="402"/>
      <c r="S138" s="402"/>
      <c r="T138" s="403"/>
      <c r="U138" s="403"/>
      <c r="V138" s="403"/>
      <c r="W138" s="403"/>
      <c r="X138" s="391"/>
      <c r="Y138" s="391"/>
      <c r="Z138" s="404"/>
      <c r="AA138" s="405"/>
      <c r="AB138" s="405"/>
    </row>
    <row r="139" spans="1:28" ht="15.6" hidden="1" outlineLevel="1">
      <c r="A139" s="391">
        <f>1+A138</f>
        <v>2</v>
      </c>
      <c r="B139" t="str">
        <f>+$B$33</f>
        <v>Churchill</v>
      </c>
      <c r="E139" s="1149"/>
      <c r="F139" s="1152">
        <v>4</v>
      </c>
      <c r="G139" s="1152">
        <v>2</v>
      </c>
      <c r="H139" s="1152">
        <v>3</v>
      </c>
      <c r="I139" s="1152">
        <v>1</v>
      </c>
      <c r="J139" s="1146">
        <f t="shared" si="34"/>
        <v>10</v>
      </c>
      <c r="P139" s="401"/>
      <c r="Q139" s="402"/>
      <c r="R139" s="402"/>
      <c r="S139" s="402"/>
      <c r="T139" s="403"/>
      <c r="U139" s="403"/>
      <c r="V139" s="403"/>
      <c r="W139" s="403"/>
      <c r="X139" s="391"/>
      <c r="Y139" s="391"/>
      <c r="Z139" s="404"/>
      <c r="AA139" s="405"/>
      <c r="AB139" s="405"/>
    </row>
    <row r="140" spans="1:28" ht="15.6" hidden="1" outlineLevel="1">
      <c r="A140" s="391">
        <f t="shared" ref="A140:A143" si="35">1+A139</f>
        <v>3</v>
      </c>
      <c r="B140" t="str">
        <f>+$B$34</f>
        <v>Clark</v>
      </c>
      <c r="E140" s="1149"/>
      <c r="F140" s="1152">
        <v>4</v>
      </c>
      <c r="G140" s="1152">
        <v>2</v>
      </c>
      <c r="H140" s="1152">
        <v>3</v>
      </c>
      <c r="I140" s="1152">
        <v>1</v>
      </c>
      <c r="J140" s="1146">
        <f t="shared" si="34"/>
        <v>10</v>
      </c>
      <c r="P140" s="401"/>
      <c r="Q140" s="402"/>
      <c r="R140" s="402"/>
      <c r="S140" s="402"/>
      <c r="T140" s="403"/>
      <c r="U140" s="403"/>
      <c r="V140" s="403"/>
      <c r="W140" s="403"/>
      <c r="X140" s="391"/>
      <c r="Y140" s="391"/>
      <c r="Z140" s="404"/>
      <c r="AA140" s="405"/>
      <c r="AB140" s="405"/>
    </row>
    <row r="141" spans="1:28" ht="15.6" hidden="1" outlineLevel="1">
      <c r="A141" s="391">
        <f t="shared" si="35"/>
        <v>4</v>
      </c>
      <c r="B141" t="str">
        <f>+$B$35</f>
        <v>Elko</v>
      </c>
      <c r="E141" s="1149"/>
      <c r="F141" s="1152">
        <v>4</v>
      </c>
      <c r="G141" s="1152">
        <v>2</v>
      </c>
      <c r="H141" s="1152">
        <v>3</v>
      </c>
      <c r="I141" s="1152">
        <v>1</v>
      </c>
      <c r="J141" s="1146">
        <f t="shared" si="34"/>
        <v>10</v>
      </c>
      <c r="P141" s="401"/>
      <c r="Q141" s="402"/>
      <c r="R141" s="402"/>
      <c r="S141" s="402"/>
      <c r="T141" s="403"/>
      <c r="U141" s="403"/>
      <c r="V141" s="403"/>
      <c r="W141" s="403"/>
      <c r="X141" s="391"/>
      <c r="Y141" s="391"/>
      <c r="Z141" s="404"/>
      <c r="AA141" s="405"/>
      <c r="AB141" s="405"/>
    </row>
    <row r="142" spans="1:28" ht="15.6" hidden="1" outlineLevel="1">
      <c r="A142" s="391">
        <f t="shared" si="35"/>
        <v>5</v>
      </c>
      <c r="B142" t="str">
        <f>+$B$36</f>
        <v>Washoe</v>
      </c>
      <c r="E142" s="1149"/>
      <c r="F142" s="1152">
        <v>4</v>
      </c>
      <c r="G142" s="1152">
        <v>2</v>
      </c>
      <c r="H142" s="1152">
        <v>3</v>
      </c>
      <c r="I142" s="1152">
        <v>1</v>
      </c>
      <c r="J142" s="1146">
        <f t="shared" si="34"/>
        <v>10</v>
      </c>
      <c r="P142" s="401"/>
      <c r="Q142" s="402"/>
      <c r="R142" s="402"/>
      <c r="S142" s="402"/>
      <c r="T142" s="403"/>
      <c r="U142" s="403"/>
      <c r="V142" s="403"/>
      <c r="W142" s="403"/>
      <c r="X142" s="391"/>
      <c r="Y142" s="391"/>
      <c r="Z142" s="404"/>
      <c r="AA142" s="405"/>
      <c r="AB142" s="405"/>
    </row>
    <row r="143" spans="1:28" ht="15.6" hidden="1" outlineLevel="1">
      <c r="A143" s="391">
        <f t="shared" si="35"/>
        <v>6</v>
      </c>
      <c r="B143" t="str">
        <f>+$B$37</f>
        <v>White Pine</v>
      </c>
      <c r="E143" s="1149"/>
      <c r="F143" s="1153">
        <v>4</v>
      </c>
      <c r="G143" s="1153">
        <v>2</v>
      </c>
      <c r="H143" s="1153">
        <v>3</v>
      </c>
      <c r="I143" s="1153">
        <v>1</v>
      </c>
      <c r="J143" s="1157">
        <f t="shared" si="34"/>
        <v>10</v>
      </c>
      <c r="P143" s="401"/>
      <c r="Q143" s="402"/>
      <c r="R143" s="402"/>
      <c r="S143" s="402"/>
      <c r="T143" s="403"/>
      <c r="U143" s="403"/>
      <c r="V143" s="403"/>
      <c r="W143" s="403"/>
      <c r="X143" s="391"/>
      <c r="Y143" s="391"/>
      <c r="Z143" s="404"/>
      <c r="AA143" s="405"/>
      <c r="AB143" s="405"/>
    </row>
    <row r="144" spans="1:28" ht="15.6" hidden="1" outlineLevel="1">
      <c r="A144" s="391"/>
      <c r="B144" s="1158" t="s">
        <v>123</v>
      </c>
      <c r="C144" s="1158"/>
      <c r="D144" s="1158"/>
      <c r="E144" s="1155"/>
      <c r="F144" s="1155">
        <f t="shared" ref="F144" si="36">SUM(F138:F143)</f>
        <v>24</v>
      </c>
      <c r="G144" s="1155">
        <f t="shared" ref="G144" si="37">SUM(G138:G143)</f>
        <v>12</v>
      </c>
      <c r="H144" s="1155">
        <f t="shared" ref="H144" si="38">SUM(H138:H143)</f>
        <v>18</v>
      </c>
      <c r="I144" s="1155">
        <f t="shared" ref="I144" si="39">SUM(I138:I143)</f>
        <v>6</v>
      </c>
      <c r="J144" s="1163">
        <f t="shared" si="34"/>
        <v>60</v>
      </c>
      <c r="O144" s="400"/>
      <c r="P144" s="401"/>
      <c r="Q144" s="402"/>
      <c r="R144" s="402"/>
      <c r="S144" s="402"/>
      <c r="T144" s="403"/>
      <c r="U144" s="403"/>
      <c r="V144" s="403"/>
      <c r="W144" s="403"/>
      <c r="X144" s="391"/>
      <c r="Y144" s="391"/>
      <c r="Z144" s="404"/>
      <c r="AA144" s="405"/>
      <c r="AB144" s="405"/>
    </row>
    <row r="145" spans="1:28" ht="15.6" hidden="1" outlineLevel="1">
      <c r="A145" s="391"/>
      <c r="O145" s="400"/>
      <c r="P145" s="401"/>
      <c r="Q145" s="402"/>
      <c r="R145" s="402"/>
      <c r="S145" s="402"/>
      <c r="T145" s="403"/>
      <c r="U145" s="403"/>
      <c r="V145" s="403"/>
      <c r="W145" s="403"/>
      <c r="X145" s="391"/>
      <c r="Y145" s="391"/>
      <c r="Z145" s="404"/>
      <c r="AA145" s="405"/>
      <c r="AB145" s="405"/>
    </row>
    <row r="146" spans="1:28" ht="15.6" hidden="1" outlineLevel="1">
      <c r="A146" s="391"/>
      <c r="E146" s="1" t="s">
        <v>1016</v>
      </c>
      <c r="F146" s="1"/>
      <c r="G146" s="434"/>
      <c r="H146" s="434"/>
      <c r="I146" s="434"/>
      <c r="O146" s="400"/>
      <c r="P146" s="401"/>
      <c r="Q146" s="402"/>
      <c r="R146" s="402"/>
      <c r="S146" s="402"/>
      <c r="T146" s="403"/>
      <c r="U146" s="403"/>
      <c r="V146" s="403"/>
      <c r="W146" s="403"/>
      <c r="X146" s="391"/>
      <c r="Y146" s="391"/>
      <c r="Z146" s="404"/>
      <c r="AA146" s="405"/>
      <c r="AB146" s="405"/>
    </row>
    <row r="147" spans="1:28" ht="15.6" hidden="1" outlineLevel="1">
      <c r="A147" s="391"/>
      <c r="E147" s="1159" t="s">
        <v>489</v>
      </c>
      <c r="F147" s="1159" t="s">
        <v>992</v>
      </c>
      <c r="G147" s="1085" t="s">
        <v>993</v>
      </c>
      <c r="H147" s="1085" t="s">
        <v>982</v>
      </c>
      <c r="I147" s="1085" t="s">
        <v>994</v>
      </c>
      <c r="J147" s="1159" t="s">
        <v>123</v>
      </c>
      <c r="K147" s="403"/>
      <c r="O147" s="400"/>
      <c r="P147" s="401"/>
      <c r="Q147" s="402"/>
      <c r="R147" s="402"/>
      <c r="S147" s="402"/>
      <c r="T147" s="403"/>
      <c r="U147" s="403"/>
      <c r="V147" s="403"/>
      <c r="W147" s="403"/>
      <c r="X147" s="391"/>
      <c r="Y147" s="391"/>
      <c r="Z147" s="404"/>
      <c r="AA147" s="405"/>
      <c r="AB147" s="405"/>
    </row>
    <row r="148" spans="1:28" ht="15.6" hidden="1" outlineLevel="1">
      <c r="A148" s="391">
        <v>1</v>
      </c>
      <c r="B148" t="str">
        <f>+B$32</f>
        <v xml:space="preserve">Carson City </v>
      </c>
      <c r="E148" s="1160">
        <f>+E127-E138</f>
        <v>10</v>
      </c>
      <c r="F148" s="1160">
        <f t="shared" ref="F148:I148" si="40">+F127-F138</f>
        <v>0</v>
      </c>
      <c r="G148" s="1160">
        <f t="shared" si="40"/>
        <v>3</v>
      </c>
      <c r="H148" s="1160">
        <f t="shared" si="40"/>
        <v>2</v>
      </c>
      <c r="I148" s="1160">
        <f t="shared" si="40"/>
        <v>0</v>
      </c>
      <c r="J148" s="1151">
        <f t="shared" ref="J148:J154" si="41">SUM(E148:I148)</f>
        <v>15</v>
      </c>
      <c r="O148" s="400"/>
      <c r="P148" s="401"/>
      <c r="Q148" s="402"/>
      <c r="R148" s="402"/>
      <c r="S148" s="402"/>
      <c r="T148" s="403"/>
      <c r="U148" s="403"/>
      <c r="V148" s="403"/>
      <c r="W148" s="403"/>
      <c r="X148" s="391"/>
      <c r="Y148" s="391"/>
      <c r="Z148" s="404"/>
      <c r="AA148" s="405"/>
      <c r="AB148" s="405"/>
    </row>
    <row r="149" spans="1:28" ht="15.6" hidden="1" outlineLevel="1">
      <c r="A149" s="391">
        <f>1+A148</f>
        <v>2</v>
      </c>
      <c r="B149" t="str">
        <f>+$B$33</f>
        <v>Churchill</v>
      </c>
      <c r="E149" s="1161">
        <f t="shared" ref="E149:I149" si="42">+E128-E139</f>
        <v>10</v>
      </c>
      <c r="F149" s="1161">
        <f t="shared" si="42"/>
        <v>0</v>
      </c>
      <c r="G149" s="1161">
        <f t="shared" si="42"/>
        <v>3</v>
      </c>
      <c r="H149" s="1161">
        <f t="shared" si="42"/>
        <v>2</v>
      </c>
      <c r="I149" s="1161">
        <f t="shared" si="42"/>
        <v>0</v>
      </c>
      <c r="J149" s="1151">
        <f t="shared" si="41"/>
        <v>15</v>
      </c>
      <c r="O149" s="400"/>
      <c r="P149" s="401"/>
      <c r="Q149" s="402"/>
      <c r="R149" s="402"/>
      <c r="S149" s="402"/>
      <c r="T149" s="403"/>
      <c r="U149" s="403"/>
      <c r="V149" s="403"/>
      <c r="W149" s="403"/>
      <c r="X149" s="391"/>
      <c r="Y149" s="391"/>
      <c r="Z149" s="404"/>
      <c r="AA149" s="405"/>
      <c r="AB149" s="405"/>
    </row>
    <row r="150" spans="1:28" ht="15.6" hidden="1" outlineLevel="1">
      <c r="A150" s="391">
        <f t="shared" ref="A150:A153" si="43">1+A149</f>
        <v>3</v>
      </c>
      <c r="B150" t="str">
        <f>+$B$34</f>
        <v>Clark</v>
      </c>
      <c r="E150" s="1161">
        <f t="shared" ref="E150:I150" si="44">+E129-E140</f>
        <v>10</v>
      </c>
      <c r="F150" s="1161">
        <f t="shared" si="44"/>
        <v>0</v>
      </c>
      <c r="G150" s="1161">
        <f t="shared" si="44"/>
        <v>3</v>
      </c>
      <c r="H150" s="1161">
        <f t="shared" si="44"/>
        <v>2</v>
      </c>
      <c r="I150" s="1161">
        <f t="shared" si="44"/>
        <v>0</v>
      </c>
      <c r="J150" s="1151">
        <f t="shared" si="41"/>
        <v>15</v>
      </c>
      <c r="O150" s="400"/>
      <c r="P150" s="401"/>
      <c r="Q150" s="402"/>
      <c r="R150" s="402"/>
      <c r="S150" s="402"/>
      <c r="T150" s="403"/>
      <c r="U150" s="403"/>
      <c r="V150" s="403"/>
      <c r="W150" s="403"/>
      <c r="X150" s="391"/>
      <c r="Y150" s="391"/>
      <c r="Z150" s="404"/>
      <c r="AA150" s="405"/>
      <c r="AB150" s="405"/>
    </row>
    <row r="151" spans="1:28" ht="15.6" hidden="1" outlineLevel="1">
      <c r="A151" s="391">
        <f t="shared" si="43"/>
        <v>4</v>
      </c>
      <c r="B151" t="str">
        <f>+$B$35</f>
        <v>Elko</v>
      </c>
      <c r="E151" s="1161">
        <f t="shared" ref="E151:I151" si="45">+E130-E141</f>
        <v>10</v>
      </c>
      <c r="F151" s="1161">
        <f t="shared" si="45"/>
        <v>0</v>
      </c>
      <c r="G151" s="1161">
        <f t="shared" si="45"/>
        <v>3</v>
      </c>
      <c r="H151" s="1161">
        <f t="shared" si="45"/>
        <v>2</v>
      </c>
      <c r="I151" s="1161">
        <f t="shared" si="45"/>
        <v>0</v>
      </c>
      <c r="J151" s="1151">
        <f t="shared" si="41"/>
        <v>15</v>
      </c>
      <c r="O151" s="400"/>
      <c r="P151" s="401"/>
      <c r="Q151" s="402"/>
      <c r="R151" s="402"/>
      <c r="S151" s="402"/>
      <c r="T151" s="403"/>
      <c r="U151" s="403"/>
      <c r="V151" s="403"/>
      <c r="W151" s="403"/>
      <c r="X151" s="391"/>
      <c r="Y151" s="391"/>
      <c r="Z151" s="404"/>
      <c r="AA151" s="405"/>
      <c r="AB151" s="405"/>
    </row>
    <row r="152" spans="1:28" ht="15.6" hidden="1" outlineLevel="1">
      <c r="A152" s="391">
        <f t="shared" si="43"/>
        <v>5</v>
      </c>
      <c r="B152" t="str">
        <f>+$B$36</f>
        <v>Washoe</v>
      </c>
      <c r="E152" s="1161">
        <f t="shared" ref="E152:I152" si="46">+E131-E142</f>
        <v>10</v>
      </c>
      <c r="F152" s="1161">
        <f t="shared" si="46"/>
        <v>0</v>
      </c>
      <c r="G152" s="1161">
        <f t="shared" si="46"/>
        <v>3</v>
      </c>
      <c r="H152" s="1161">
        <f t="shared" si="46"/>
        <v>2</v>
      </c>
      <c r="I152" s="1161">
        <f t="shared" si="46"/>
        <v>0</v>
      </c>
      <c r="J152" s="1151">
        <f t="shared" si="41"/>
        <v>15</v>
      </c>
      <c r="O152" s="400"/>
      <c r="P152" s="401"/>
      <c r="Q152" s="402"/>
      <c r="R152" s="402"/>
      <c r="S152" s="402"/>
      <c r="T152" s="403"/>
      <c r="U152" s="403"/>
      <c r="V152" s="403"/>
      <c r="W152" s="403"/>
      <c r="X152" s="391"/>
      <c r="Y152" s="391"/>
      <c r="Z152" s="404"/>
      <c r="AA152" s="405"/>
      <c r="AB152" s="405"/>
    </row>
    <row r="153" spans="1:28" ht="15.6" hidden="1" outlineLevel="1">
      <c r="A153" s="391">
        <f t="shared" si="43"/>
        <v>6</v>
      </c>
      <c r="B153" t="str">
        <f>+$B$37</f>
        <v>White Pine</v>
      </c>
      <c r="E153" s="1162">
        <f t="shared" ref="E153:I153" si="47">+E132-E143</f>
        <v>10</v>
      </c>
      <c r="F153" s="1162">
        <f t="shared" si="47"/>
        <v>0</v>
      </c>
      <c r="G153" s="1162">
        <f t="shared" si="47"/>
        <v>3</v>
      </c>
      <c r="H153" s="1162">
        <f t="shared" si="47"/>
        <v>2</v>
      </c>
      <c r="I153" s="1162">
        <f t="shared" si="47"/>
        <v>0</v>
      </c>
      <c r="J153" s="1151">
        <f t="shared" si="41"/>
        <v>15</v>
      </c>
      <c r="O153" s="400"/>
      <c r="P153" s="401"/>
      <c r="Q153" s="402"/>
      <c r="R153" s="402"/>
      <c r="S153" s="402"/>
      <c r="T153" s="403"/>
      <c r="U153" s="403"/>
      <c r="V153" s="403"/>
      <c r="W153" s="403"/>
      <c r="X153" s="391"/>
      <c r="Y153" s="391"/>
      <c r="Z153" s="404"/>
      <c r="AA153" s="405"/>
      <c r="AB153" s="405"/>
    </row>
    <row r="154" spans="1:28" ht="15.6" hidden="1" outlineLevel="1">
      <c r="A154" s="391"/>
      <c r="B154" s="1158" t="s">
        <v>123</v>
      </c>
      <c r="C154" s="1158"/>
      <c r="D154" s="1158"/>
      <c r="E154" s="1155">
        <f>SUM(E148:E153)</f>
        <v>60</v>
      </c>
      <c r="F154" s="1155">
        <f t="shared" ref="F154:I154" si="48">SUM(F148:F153)</f>
        <v>0</v>
      </c>
      <c r="G154" s="1155">
        <f t="shared" si="48"/>
        <v>18</v>
      </c>
      <c r="H154" s="1155">
        <f t="shared" si="48"/>
        <v>12</v>
      </c>
      <c r="I154" s="1155">
        <f t="shared" si="48"/>
        <v>0</v>
      </c>
      <c r="J154" s="1155">
        <f t="shared" si="41"/>
        <v>90</v>
      </c>
      <c r="O154" s="400"/>
      <c r="P154" s="401"/>
      <c r="Q154" s="402"/>
      <c r="R154" s="402"/>
      <c r="S154" s="402"/>
      <c r="T154" s="403"/>
      <c r="U154" s="403"/>
      <c r="V154" s="403"/>
      <c r="W154" s="403"/>
      <c r="X154" s="391"/>
      <c r="Y154" s="391"/>
      <c r="Z154" s="404"/>
      <c r="AA154" s="405"/>
      <c r="AB154" s="405"/>
    </row>
    <row r="155" spans="1:28" ht="15.6" hidden="1" outlineLevel="1">
      <c r="A155" s="391"/>
      <c r="O155" s="400"/>
      <c r="P155" s="401"/>
      <c r="Q155" s="402"/>
      <c r="R155" s="402"/>
      <c r="S155" s="402"/>
      <c r="T155" s="403"/>
      <c r="U155" s="403"/>
      <c r="V155" s="403"/>
      <c r="W155" s="403"/>
      <c r="X155" s="391"/>
      <c r="Y155" s="391"/>
      <c r="Z155" s="404"/>
      <c r="AA155" s="405"/>
      <c r="AB155" s="405"/>
    </row>
    <row r="156" spans="1:28" ht="15.6" hidden="1" outlineLevel="1">
      <c r="A156" s="391"/>
      <c r="B156" s="1158" t="s">
        <v>1017</v>
      </c>
      <c r="C156" s="1158"/>
      <c r="D156" s="1158"/>
      <c r="E156" s="1155">
        <f>+E144+E154</f>
        <v>60</v>
      </c>
      <c r="F156" s="1155">
        <f t="shared" ref="F156:I156" si="49">+F144+F154</f>
        <v>24</v>
      </c>
      <c r="G156" s="1155">
        <f t="shared" si="49"/>
        <v>30</v>
      </c>
      <c r="H156" s="1155">
        <f t="shared" si="49"/>
        <v>30</v>
      </c>
      <c r="I156" s="1155">
        <f t="shared" si="49"/>
        <v>6</v>
      </c>
      <c r="J156" s="1155">
        <f>SUM(E156:I156)</f>
        <v>150</v>
      </c>
      <c r="O156" s="400"/>
      <c r="P156" s="401"/>
      <c r="Q156" s="402"/>
      <c r="R156" s="402"/>
      <c r="S156" s="402"/>
      <c r="T156" s="403"/>
      <c r="U156" s="403"/>
      <c r="V156" s="403"/>
      <c r="W156" s="403"/>
      <c r="X156" s="391"/>
      <c r="Y156" s="391"/>
      <c r="Z156" s="404"/>
      <c r="AA156" s="405"/>
      <c r="AB156" s="405"/>
    </row>
    <row r="157" spans="1:28" ht="15.6" hidden="1" outlineLevel="1">
      <c r="A157" s="391"/>
      <c r="O157" s="400"/>
      <c r="P157" s="401"/>
      <c r="Q157" s="402"/>
      <c r="R157" s="402"/>
      <c r="S157" s="402"/>
      <c r="T157" s="403"/>
      <c r="U157" s="403"/>
      <c r="V157" s="403"/>
      <c r="W157" s="403"/>
      <c r="X157" s="391"/>
      <c r="Y157" s="391"/>
      <c r="Z157" s="404"/>
      <c r="AA157" s="405"/>
      <c r="AB157" s="405"/>
    </row>
    <row r="158" spans="1:28" ht="15.6" hidden="1" outlineLevel="1">
      <c r="A158" s="391"/>
      <c r="B158" s="1171" t="s">
        <v>1012</v>
      </c>
      <c r="C158" s="1171"/>
      <c r="D158" s="1171"/>
      <c r="E158" s="1172"/>
      <c r="F158" s="1097"/>
      <c r="G158" s="1171"/>
      <c r="H158" s="1097"/>
      <c r="I158" s="1097"/>
      <c r="J158" s="1173"/>
      <c r="O158" s="400"/>
      <c r="P158" s="401"/>
      <c r="Q158" s="402"/>
      <c r="R158" s="402"/>
      <c r="S158" s="402"/>
      <c r="T158" s="403"/>
      <c r="U158" s="403"/>
      <c r="V158" s="403"/>
      <c r="W158" s="403"/>
      <c r="X158" s="391"/>
      <c r="Y158" s="391"/>
      <c r="Z158" s="404"/>
      <c r="AA158" s="405"/>
      <c r="AB158" s="405"/>
    </row>
    <row r="159" spans="1:28" ht="15.6" hidden="1" outlineLevel="1">
      <c r="A159" s="391"/>
      <c r="B159" s="1169" t="s">
        <v>1018</v>
      </c>
      <c r="C159" s="1169"/>
      <c r="D159" s="1169"/>
      <c r="E159" s="1169"/>
      <c r="F159" s="1094"/>
      <c r="G159" s="1169"/>
      <c r="H159" s="1094"/>
      <c r="I159" s="1094"/>
      <c r="J159" s="1170"/>
      <c r="O159" s="400"/>
      <c r="P159" s="401"/>
      <c r="Q159" s="402"/>
      <c r="R159" s="402"/>
      <c r="S159" s="402"/>
      <c r="T159" s="403"/>
      <c r="U159" s="403"/>
      <c r="V159" s="403"/>
      <c r="W159" s="403"/>
      <c r="X159" s="391"/>
      <c r="Y159" s="391"/>
      <c r="Z159" s="404"/>
      <c r="AA159" s="405"/>
      <c r="AB159" s="405"/>
    </row>
    <row r="160" spans="1:28" ht="15.6" hidden="1" outlineLevel="2">
      <c r="A160" s="391"/>
      <c r="B160" s="1082"/>
      <c r="C160" s="1082"/>
      <c r="D160" s="1082"/>
      <c r="E160" s="1082" t="s">
        <v>1013</v>
      </c>
      <c r="F160" s="434"/>
      <c r="G160" s="1082"/>
      <c r="H160" s="434"/>
      <c r="I160" s="434"/>
      <c r="J160" s="1165"/>
      <c r="O160" s="400"/>
      <c r="P160" s="401"/>
      <c r="Q160" s="402"/>
      <c r="R160" s="402"/>
      <c r="S160" s="402"/>
      <c r="T160" s="403"/>
      <c r="U160" s="403"/>
      <c r="V160" s="403"/>
      <c r="W160" s="403"/>
      <c r="X160" s="391"/>
      <c r="Y160" s="391"/>
      <c r="Z160" s="404"/>
      <c r="AA160" s="405"/>
      <c r="AB160" s="405"/>
    </row>
    <row r="161" spans="1:28" ht="15.6" hidden="1" outlineLevel="2">
      <c r="A161" s="391"/>
      <c r="B161" s="1085"/>
      <c r="C161" s="1085"/>
      <c r="D161" s="1085"/>
      <c r="E161" s="1085" t="s">
        <v>489</v>
      </c>
      <c r="F161" s="1085" t="s">
        <v>992</v>
      </c>
      <c r="G161" s="1085" t="s">
        <v>993</v>
      </c>
      <c r="H161" s="1085" t="s">
        <v>982</v>
      </c>
      <c r="I161" s="1085" t="s">
        <v>994</v>
      </c>
      <c r="J161" s="1085" t="s">
        <v>123</v>
      </c>
      <c r="O161" s="400"/>
      <c r="P161" s="401"/>
      <c r="Q161" s="402"/>
      <c r="R161" s="402"/>
      <c r="S161" s="402"/>
      <c r="T161" s="403"/>
      <c r="U161" s="403"/>
      <c r="V161" s="403"/>
      <c r="W161" s="403"/>
      <c r="X161" s="391"/>
      <c r="Y161" s="391"/>
      <c r="Z161" s="404"/>
      <c r="AA161" s="405"/>
      <c r="AB161" s="405"/>
    </row>
    <row r="162" spans="1:28" ht="15.6" hidden="1" outlineLevel="2">
      <c r="A162" s="391">
        <v>1</v>
      </c>
      <c r="B162" t="str">
        <f>+B$32</f>
        <v xml:space="preserve">Carson City </v>
      </c>
      <c r="E162" s="1145">
        <v>100</v>
      </c>
      <c r="F162" s="1145">
        <v>40</v>
      </c>
      <c r="G162" s="1145">
        <v>50</v>
      </c>
      <c r="H162" s="1145">
        <v>50</v>
      </c>
      <c r="I162" s="1145">
        <v>2</v>
      </c>
      <c r="J162" s="1164">
        <f t="shared" ref="J162:J168" si="50">SUM(E162:I162)</f>
        <v>242</v>
      </c>
      <c r="O162" s="400"/>
      <c r="P162" s="401"/>
      <c r="Q162" s="402"/>
      <c r="R162" s="402"/>
      <c r="S162" s="402"/>
      <c r="T162" s="403"/>
      <c r="U162" s="403"/>
      <c r="V162" s="403"/>
      <c r="W162" s="403"/>
      <c r="X162" s="391"/>
      <c r="Y162" s="391"/>
      <c r="Z162" s="404"/>
      <c r="AA162" s="405"/>
      <c r="AB162" s="405"/>
    </row>
    <row r="163" spans="1:28" ht="15.6" hidden="1" outlineLevel="2">
      <c r="A163" s="391">
        <f>1+A162</f>
        <v>2</v>
      </c>
      <c r="B163" t="str">
        <f>+$B$33</f>
        <v>Churchill</v>
      </c>
      <c r="E163" s="1145"/>
      <c r="F163" s="1145">
        <v>30</v>
      </c>
      <c r="G163" s="1145">
        <v>0</v>
      </c>
      <c r="H163" s="1145">
        <v>0</v>
      </c>
      <c r="I163" s="1145">
        <v>0</v>
      </c>
      <c r="J163" s="1146">
        <f t="shared" si="50"/>
        <v>30</v>
      </c>
      <c r="O163" s="400"/>
      <c r="P163" s="401"/>
      <c r="Q163" s="402"/>
      <c r="R163" s="402"/>
      <c r="S163" s="402"/>
      <c r="T163" s="403"/>
      <c r="U163" s="403"/>
      <c r="V163" s="403"/>
      <c r="W163" s="403"/>
      <c r="X163" s="391"/>
      <c r="Y163" s="391"/>
      <c r="Z163" s="404"/>
      <c r="AA163" s="405"/>
      <c r="AB163" s="405"/>
    </row>
    <row r="164" spans="1:28" ht="15.6" hidden="1" outlineLevel="2">
      <c r="A164" s="391">
        <f t="shared" ref="A164:A167" si="51">1+A163</f>
        <v>3</v>
      </c>
      <c r="B164" t="str">
        <f>+$B$34</f>
        <v>Clark</v>
      </c>
      <c r="E164" s="1145"/>
      <c r="F164" s="1145">
        <v>30</v>
      </c>
      <c r="G164" s="1145">
        <v>0</v>
      </c>
      <c r="H164" s="1145">
        <v>0</v>
      </c>
      <c r="I164" s="1145">
        <v>0</v>
      </c>
      <c r="J164" s="1146">
        <f t="shared" si="50"/>
        <v>30</v>
      </c>
      <c r="O164" s="400"/>
      <c r="P164" s="401"/>
      <c r="Q164" s="402"/>
      <c r="R164" s="402"/>
      <c r="S164" s="402"/>
      <c r="T164" s="403"/>
      <c r="U164" s="403"/>
      <c r="V164" s="403"/>
      <c r="W164" s="403"/>
      <c r="X164" s="391"/>
      <c r="Y164" s="391"/>
      <c r="Z164" s="404"/>
      <c r="AA164" s="405"/>
      <c r="AB164" s="405"/>
    </row>
    <row r="165" spans="1:28" ht="15.6" hidden="1" outlineLevel="2">
      <c r="A165" s="391">
        <f t="shared" si="51"/>
        <v>4</v>
      </c>
      <c r="B165" t="str">
        <f>+$B$35</f>
        <v>Elko</v>
      </c>
      <c r="E165" s="1145"/>
      <c r="F165" s="1145">
        <v>5</v>
      </c>
      <c r="G165" s="1145">
        <v>0</v>
      </c>
      <c r="H165" s="1145">
        <v>0</v>
      </c>
      <c r="I165" s="1145">
        <v>0</v>
      </c>
      <c r="J165" s="1146">
        <f t="shared" si="50"/>
        <v>5</v>
      </c>
      <c r="O165" s="400"/>
      <c r="P165" s="401"/>
      <c r="Q165" s="402"/>
      <c r="R165" s="402"/>
      <c r="S165" s="402"/>
      <c r="T165" s="403"/>
      <c r="U165" s="403"/>
      <c r="V165" s="403"/>
      <c r="W165" s="403"/>
      <c r="X165" s="391"/>
      <c r="Y165" s="391"/>
      <c r="Z165" s="404"/>
      <c r="AA165" s="405"/>
      <c r="AB165" s="405"/>
    </row>
    <row r="166" spans="1:28" ht="15.6" hidden="1" outlineLevel="2">
      <c r="A166" s="391">
        <f t="shared" si="51"/>
        <v>5</v>
      </c>
      <c r="B166" t="str">
        <f>+$B$36</f>
        <v>Washoe</v>
      </c>
      <c r="E166" s="1156"/>
      <c r="F166" s="1156">
        <v>10</v>
      </c>
      <c r="G166" s="1156">
        <v>0</v>
      </c>
      <c r="H166" s="1156">
        <v>0</v>
      </c>
      <c r="I166" s="1156">
        <v>0</v>
      </c>
      <c r="J166" s="1146">
        <f t="shared" si="50"/>
        <v>10</v>
      </c>
      <c r="O166" s="400"/>
      <c r="P166" s="401"/>
      <c r="Q166" s="402"/>
      <c r="R166" s="402"/>
      <c r="S166" s="402"/>
      <c r="T166" s="403"/>
      <c r="U166" s="403"/>
      <c r="V166" s="403"/>
      <c r="W166" s="403"/>
      <c r="X166" s="391"/>
      <c r="Y166" s="391"/>
      <c r="Z166" s="404"/>
      <c r="AA166" s="405"/>
      <c r="AB166" s="405"/>
    </row>
    <row r="167" spans="1:28" ht="15.6" hidden="1" outlineLevel="2">
      <c r="A167" s="391">
        <f t="shared" si="51"/>
        <v>6</v>
      </c>
      <c r="B167" t="str">
        <f>+$B$37</f>
        <v>White Pine</v>
      </c>
      <c r="E167" s="1156"/>
      <c r="F167" s="1156">
        <v>10</v>
      </c>
      <c r="G167" s="1156">
        <v>0</v>
      </c>
      <c r="H167" s="1156">
        <v>0</v>
      </c>
      <c r="I167" s="1156">
        <v>0</v>
      </c>
      <c r="J167" s="1157">
        <f t="shared" si="50"/>
        <v>10</v>
      </c>
      <c r="O167" s="400"/>
      <c r="P167" s="401"/>
      <c r="Q167" s="402"/>
      <c r="R167" s="402"/>
      <c r="S167" s="402"/>
      <c r="T167" s="403"/>
      <c r="U167" s="403"/>
      <c r="V167" s="403"/>
      <c r="W167" s="403"/>
      <c r="X167" s="391"/>
      <c r="Y167" s="391"/>
      <c r="Z167" s="404"/>
      <c r="AA167" s="405"/>
      <c r="AB167" s="405"/>
    </row>
    <row r="168" spans="1:28" ht="15.6" hidden="1" outlineLevel="2">
      <c r="A168" s="391"/>
      <c r="B168" s="1158" t="s">
        <v>123</v>
      </c>
      <c r="C168" s="1158"/>
      <c r="D168" s="1158"/>
      <c r="E168" s="1163">
        <f>SUM(E162:E167)</f>
        <v>100</v>
      </c>
      <c r="F168" s="1163">
        <f>SUM(F162:F167)</f>
        <v>125</v>
      </c>
      <c r="G168" s="1163">
        <f t="shared" ref="G168" si="52">SUM(G162:G167)</f>
        <v>50</v>
      </c>
      <c r="H168" s="1163">
        <f t="shared" ref="H168" si="53">SUM(H162:H167)</f>
        <v>50</v>
      </c>
      <c r="I168" s="1163">
        <f t="shared" ref="I168" si="54">SUM(I162:I167)</f>
        <v>2</v>
      </c>
      <c r="J168" s="1163">
        <f t="shared" si="50"/>
        <v>327</v>
      </c>
      <c r="O168" s="400"/>
      <c r="P168" s="401"/>
      <c r="Q168" s="402"/>
      <c r="R168" s="402"/>
      <c r="S168" s="402"/>
      <c r="T168" s="403"/>
      <c r="U168" s="403"/>
      <c r="V168" s="403"/>
      <c r="W168" s="403"/>
      <c r="X168" s="391"/>
      <c r="Y168" s="391"/>
      <c r="Z168" s="404"/>
      <c r="AA168" s="405"/>
      <c r="AB168" s="405"/>
    </row>
    <row r="169" spans="1:28" ht="15.6" hidden="1" outlineLevel="2">
      <c r="A169" s="391"/>
      <c r="J169" s="1151"/>
      <c r="O169" s="400"/>
      <c r="P169" s="401"/>
      <c r="Q169" s="402"/>
      <c r="R169" s="402"/>
      <c r="S169" s="402"/>
      <c r="T169" s="403"/>
      <c r="U169" s="403"/>
      <c r="V169" s="403"/>
      <c r="W169" s="403"/>
      <c r="X169" s="391"/>
      <c r="Y169" s="391"/>
      <c r="Z169" s="404"/>
      <c r="AA169" s="405"/>
      <c r="AB169" s="405"/>
    </row>
    <row r="170" spans="1:28" ht="15.6" hidden="1" outlineLevel="2">
      <c r="A170" s="391"/>
      <c r="E170" s="1082" t="s">
        <v>1019</v>
      </c>
      <c r="F170" s="434"/>
      <c r="G170" s="1082"/>
      <c r="H170" s="1082"/>
      <c r="I170" s="1082"/>
      <c r="J170" s="434"/>
      <c r="O170" s="400"/>
      <c r="P170" s="401"/>
      <c r="Q170" s="402"/>
      <c r="R170" s="402"/>
      <c r="S170" s="402"/>
      <c r="T170" s="403"/>
      <c r="U170" s="403"/>
      <c r="V170" s="403"/>
      <c r="W170" s="403"/>
      <c r="X170" s="391"/>
      <c r="Y170" s="391"/>
      <c r="Z170" s="404"/>
      <c r="AA170" s="405"/>
      <c r="AB170" s="405"/>
    </row>
    <row r="171" spans="1:28" ht="15.6" hidden="1" outlineLevel="2">
      <c r="A171" s="391"/>
      <c r="E171" s="1085" t="s">
        <v>489</v>
      </c>
      <c r="F171" s="1085" t="s">
        <v>992</v>
      </c>
      <c r="G171" s="1085" t="s">
        <v>993</v>
      </c>
      <c r="H171" s="1085" t="s">
        <v>982</v>
      </c>
      <c r="I171" s="1085" t="s">
        <v>994</v>
      </c>
      <c r="J171" s="1147"/>
      <c r="O171" s="400"/>
      <c r="P171" s="401"/>
      <c r="Q171" s="402"/>
      <c r="R171" s="402"/>
      <c r="S171" s="402"/>
      <c r="T171" s="403"/>
      <c r="U171" s="403"/>
      <c r="V171" s="403"/>
      <c r="W171" s="403"/>
      <c r="X171" s="391"/>
      <c r="Y171" s="391"/>
      <c r="Z171" s="404"/>
      <c r="AA171" s="405"/>
      <c r="AB171" s="405"/>
    </row>
    <row r="172" spans="1:28" ht="15.6" hidden="1" outlineLevel="2">
      <c r="A172" s="391"/>
      <c r="E172" s="1147"/>
      <c r="F172" s="1144">
        <f>+E148</f>
        <v>10</v>
      </c>
      <c r="G172" s="1144">
        <f>+E149</f>
        <v>10</v>
      </c>
      <c r="H172" s="1144">
        <f>+E150</f>
        <v>10</v>
      </c>
      <c r="I172" s="1144">
        <f>+E151</f>
        <v>10</v>
      </c>
      <c r="J172" s="1085" t="s">
        <v>123</v>
      </c>
      <c r="O172" s="400"/>
      <c r="P172" s="401"/>
      <c r="Q172" s="402"/>
      <c r="R172" s="402"/>
      <c r="S172" s="402"/>
      <c r="T172" s="403"/>
      <c r="U172" s="403"/>
      <c r="V172" s="403"/>
      <c r="W172" s="403"/>
      <c r="X172" s="391"/>
      <c r="Y172" s="391"/>
      <c r="Z172" s="404"/>
      <c r="AA172" s="405"/>
      <c r="AB172" s="405"/>
    </row>
    <row r="173" spans="1:28" ht="15.6" hidden="1" outlineLevel="2">
      <c r="A173" s="391">
        <v>1</v>
      </c>
      <c r="B173" t="str">
        <f>+B$32</f>
        <v xml:space="preserve">Carson City </v>
      </c>
      <c r="E173" s="1149"/>
      <c r="F173" s="1150">
        <v>20</v>
      </c>
      <c r="G173" s="1150">
        <v>20</v>
      </c>
      <c r="H173" s="1150">
        <v>30</v>
      </c>
      <c r="I173" s="1150">
        <v>1</v>
      </c>
      <c r="J173" s="1164">
        <f t="shared" ref="J173:J179" si="55">SUM(E173:I173)</f>
        <v>71</v>
      </c>
      <c r="O173" s="400"/>
      <c r="P173" s="401"/>
      <c r="Q173" s="402"/>
      <c r="R173" s="402"/>
      <c r="S173" s="402"/>
      <c r="T173" s="403"/>
      <c r="U173" s="403"/>
      <c r="V173" s="403"/>
      <c r="W173" s="403"/>
      <c r="X173" s="391"/>
      <c r="Y173" s="391"/>
      <c r="Z173" s="404"/>
      <c r="AA173" s="405"/>
      <c r="AB173" s="405"/>
    </row>
    <row r="174" spans="1:28" ht="15.6" hidden="1" outlineLevel="2">
      <c r="A174" s="391">
        <f>1+A173</f>
        <v>2</v>
      </c>
      <c r="B174" t="str">
        <f>+$B$33</f>
        <v>Churchill</v>
      </c>
      <c r="E174" s="1149"/>
      <c r="F174" s="1152">
        <v>0</v>
      </c>
      <c r="G174" s="1152"/>
      <c r="H174" s="1152"/>
      <c r="I174" s="1152"/>
      <c r="J174" s="1146">
        <f t="shared" si="55"/>
        <v>0</v>
      </c>
      <c r="O174" s="400"/>
      <c r="P174" s="401"/>
      <c r="Q174" s="402"/>
      <c r="R174" s="402"/>
      <c r="S174" s="402"/>
      <c r="T174" s="403"/>
      <c r="U174" s="403"/>
      <c r="V174" s="403"/>
      <c r="W174" s="403"/>
      <c r="X174" s="391"/>
      <c r="Y174" s="391"/>
      <c r="Z174" s="404"/>
      <c r="AA174" s="405"/>
      <c r="AB174" s="405"/>
    </row>
    <row r="175" spans="1:28" ht="15.6" hidden="1" outlineLevel="2">
      <c r="A175" s="391">
        <f t="shared" ref="A175:A178" si="56">1+A174</f>
        <v>3</v>
      </c>
      <c r="B175" t="str">
        <f>+$B$34</f>
        <v>Clark</v>
      </c>
      <c r="E175" s="1149"/>
      <c r="F175" s="1152">
        <v>30</v>
      </c>
      <c r="G175" s="1152"/>
      <c r="H175" s="1152"/>
      <c r="I175" s="1152"/>
      <c r="J175" s="1146">
        <f t="shared" si="55"/>
        <v>30</v>
      </c>
      <c r="O175" s="400"/>
      <c r="P175" s="401"/>
      <c r="Q175" s="402"/>
      <c r="R175" s="402"/>
      <c r="S175" s="402"/>
      <c r="T175" s="403"/>
      <c r="U175" s="403"/>
      <c r="V175" s="403"/>
      <c r="W175" s="403"/>
      <c r="X175" s="391"/>
      <c r="Y175" s="391"/>
      <c r="Z175" s="404"/>
      <c r="AA175" s="405"/>
      <c r="AB175" s="405"/>
    </row>
    <row r="176" spans="1:28" ht="15.6" hidden="1" outlineLevel="2">
      <c r="A176" s="391">
        <f t="shared" si="56"/>
        <v>4</v>
      </c>
      <c r="B176" t="str">
        <f>+$B$35</f>
        <v>Elko</v>
      </c>
      <c r="E176" s="1149"/>
      <c r="F176" s="1152">
        <v>5</v>
      </c>
      <c r="G176" s="1152"/>
      <c r="H176" s="1152"/>
      <c r="I176" s="1152"/>
      <c r="J176" s="1146">
        <f t="shared" si="55"/>
        <v>5</v>
      </c>
      <c r="O176" s="400"/>
      <c r="P176" s="401"/>
      <c r="Q176" s="402"/>
      <c r="R176" s="402"/>
      <c r="S176" s="402"/>
      <c r="T176" s="403"/>
      <c r="U176" s="403"/>
      <c r="V176" s="403"/>
      <c r="W176" s="403"/>
      <c r="X176" s="391"/>
      <c r="Y176" s="391"/>
      <c r="Z176" s="404"/>
      <c r="AA176" s="405"/>
      <c r="AB176" s="405"/>
    </row>
    <row r="177" spans="1:28" ht="15.6" hidden="1" outlineLevel="2">
      <c r="A177" s="391">
        <f t="shared" si="56"/>
        <v>5</v>
      </c>
      <c r="B177" t="str">
        <f>+$B$36</f>
        <v>Washoe</v>
      </c>
      <c r="E177" s="1149"/>
      <c r="F177" s="1152">
        <v>10</v>
      </c>
      <c r="G177" s="1152"/>
      <c r="H177" s="1152"/>
      <c r="I177" s="1152"/>
      <c r="J177" s="1146">
        <f t="shared" si="55"/>
        <v>10</v>
      </c>
      <c r="O177" s="400"/>
      <c r="P177" s="401"/>
      <c r="Q177" s="402"/>
      <c r="R177" s="402"/>
      <c r="S177" s="402"/>
      <c r="T177" s="403"/>
      <c r="U177" s="403"/>
      <c r="V177" s="403"/>
      <c r="W177" s="403"/>
      <c r="X177" s="391"/>
      <c r="Y177" s="391"/>
      <c r="Z177" s="404"/>
      <c r="AA177" s="405"/>
      <c r="AB177" s="405"/>
    </row>
    <row r="178" spans="1:28" ht="15.6" hidden="1" outlineLevel="2">
      <c r="A178" s="391">
        <f t="shared" si="56"/>
        <v>6</v>
      </c>
      <c r="B178" t="str">
        <f>+$B$37</f>
        <v>White Pine</v>
      </c>
      <c r="E178" s="1149"/>
      <c r="F178" s="1153">
        <v>0</v>
      </c>
      <c r="G178" s="1153"/>
      <c r="H178" s="1153"/>
      <c r="I178" s="1153"/>
      <c r="J178" s="1157">
        <f t="shared" si="55"/>
        <v>0</v>
      </c>
      <c r="O178" s="400"/>
      <c r="P178" s="401"/>
      <c r="Q178" s="402"/>
      <c r="R178" s="402"/>
      <c r="S178" s="402"/>
      <c r="T178" s="403"/>
      <c r="U178" s="403"/>
      <c r="V178" s="403"/>
      <c r="W178" s="403"/>
      <c r="X178" s="391"/>
      <c r="Y178" s="391"/>
      <c r="Z178" s="404"/>
      <c r="AA178" s="405"/>
      <c r="AB178" s="405"/>
    </row>
    <row r="179" spans="1:28" ht="15.6" hidden="1" outlineLevel="2">
      <c r="A179" s="391"/>
      <c r="B179" s="1158" t="s">
        <v>123</v>
      </c>
      <c r="C179" s="1158"/>
      <c r="D179" s="1158"/>
      <c r="E179" s="1154"/>
      <c r="F179" s="1155">
        <f t="shared" ref="F179" si="57">SUM(F173:F178)</f>
        <v>65</v>
      </c>
      <c r="G179" s="1155">
        <f t="shared" ref="G179" si="58">SUM(G173:G178)</f>
        <v>20</v>
      </c>
      <c r="H179" s="1155">
        <f t="shared" ref="H179" si="59">SUM(H173:H178)</f>
        <v>30</v>
      </c>
      <c r="I179" s="1155">
        <f t="shared" ref="I179" si="60">SUM(I173:I178)</f>
        <v>1</v>
      </c>
      <c r="J179" s="1163">
        <f t="shared" si="55"/>
        <v>116</v>
      </c>
      <c r="O179" s="400"/>
      <c r="P179" s="401"/>
      <c r="Q179" s="402"/>
      <c r="R179" s="402"/>
      <c r="S179" s="402"/>
      <c r="T179" s="403"/>
      <c r="U179" s="403"/>
      <c r="V179" s="403"/>
      <c r="W179" s="403"/>
      <c r="X179" s="391"/>
      <c r="Y179" s="391"/>
      <c r="Z179" s="404"/>
      <c r="AA179" s="405"/>
      <c r="AB179" s="405"/>
    </row>
    <row r="180" spans="1:28" ht="15.6" hidden="1" outlineLevel="2">
      <c r="A180" s="391"/>
      <c r="O180" s="400"/>
      <c r="P180" s="401"/>
      <c r="Q180" s="402"/>
      <c r="R180" s="402"/>
      <c r="S180" s="402"/>
      <c r="T180" s="403"/>
      <c r="U180" s="403"/>
      <c r="V180" s="403"/>
      <c r="W180" s="403"/>
      <c r="X180" s="391"/>
      <c r="Y180" s="391"/>
      <c r="Z180" s="404"/>
      <c r="AA180" s="405"/>
      <c r="AB180" s="405"/>
    </row>
    <row r="181" spans="1:28" ht="15.6" hidden="1" outlineLevel="2">
      <c r="A181" s="391"/>
      <c r="E181" s="1082"/>
      <c r="F181" s="1" t="s">
        <v>1016</v>
      </c>
      <c r="G181" s="434"/>
      <c r="H181" s="434"/>
      <c r="I181" s="434"/>
      <c r="O181" s="400"/>
      <c r="P181" s="401"/>
      <c r="Q181" s="402"/>
      <c r="R181" s="402"/>
      <c r="S181" s="402"/>
      <c r="T181" s="403"/>
      <c r="U181" s="403"/>
      <c r="V181" s="403"/>
      <c r="W181" s="403"/>
      <c r="X181" s="391"/>
      <c r="Y181" s="391"/>
      <c r="Z181" s="404"/>
      <c r="AA181" s="405"/>
      <c r="AB181" s="405"/>
    </row>
    <row r="182" spans="1:28" ht="15.6" hidden="1" outlineLevel="2">
      <c r="A182" s="391"/>
      <c r="E182" s="1085" t="s">
        <v>489</v>
      </c>
      <c r="F182" s="1159" t="s">
        <v>992</v>
      </c>
      <c r="G182" s="1085" t="s">
        <v>993</v>
      </c>
      <c r="H182" s="1085" t="s">
        <v>982</v>
      </c>
      <c r="I182" s="1085" t="s">
        <v>994</v>
      </c>
      <c r="O182" s="400"/>
      <c r="P182" s="401"/>
      <c r="Q182" s="402"/>
      <c r="R182" s="402"/>
      <c r="S182" s="402"/>
      <c r="T182" s="403"/>
      <c r="U182" s="403"/>
      <c r="V182" s="403"/>
      <c r="W182" s="403"/>
      <c r="X182" s="391"/>
      <c r="Y182" s="391"/>
      <c r="Z182" s="404"/>
      <c r="AA182" s="405"/>
      <c r="AB182" s="405"/>
    </row>
    <row r="183" spans="1:28" ht="15.6" hidden="1" outlineLevel="2">
      <c r="A183" s="391">
        <v>1</v>
      </c>
      <c r="B183" t="str">
        <f>+B$32</f>
        <v xml:space="preserve">Carson City </v>
      </c>
      <c r="E183" s="1160">
        <f>+E162-E173</f>
        <v>100</v>
      </c>
      <c r="F183" s="1160">
        <f t="shared" ref="F183:I183" si="61">+F162-F173</f>
        <v>20</v>
      </c>
      <c r="G183" s="1160">
        <f t="shared" si="61"/>
        <v>30</v>
      </c>
      <c r="H183" s="1160">
        <f t="shared" si="61"/>
        <v>20</v>
      </c>
      <c r="I183" s="1160">
        <f t="shared" si="61"/>
        <v>1</v>
      </c>
      <c r="J183" s="1151">
        <f t="shared" ref="J183:J189" si="62">SUM(E183:I183)</f>
        <v>171</v>
      </c>
      <c r="O183" s="400"/>
      <c r="P183" s="401"/>
      <c r="Q183" s="402"/>
      <c r="R183" s="402"/>
      <c r="S183" s="402"/>
      <c r="T183" s="403"/>
      <c r="U183" s="403"/>
      <c r="V183" s="403"/>
      <c r="W183" s="403"/>
      <c r="X183" s="391"/>
      <c r="Y183" s="391"/>
      <c r="Z183" s="404"/>
      <c r="AA183" s="405"/>
      <c r="AB183" s="405"/>
    </row>
    <row r="184" spans="1:28" ht="15.6" hidden="1" outlineLevel="2">
      <c r="A184" s="391">
        <f>1+A183</f>
        <v>2</v>
      </c>
      <c r="B184" t="str">
        <f>+$B$33</f>
        <v>Churchill</v>
      </c>
      <c r="E184" s="1161">
        <f t="shared" ref="E184:I184" si="63">+E163-E174</f>
        <v>0</v>
      </c>
      <c r="F184" s="1161">
        <f t="shared" si="63"/>
        <v>30</v>
      </c>
      <c r="G184" s="1161">
        <f t="shared" si="63"/>
        <v>0</v>
      </c>
      <c r="H184" s="1161">
        <f t="shared" si="63"/>
        <v>0</v>
      </c>
      <c r="I184" s="1161">
        <f t="shared" si="63"/>
        <v>0</v>
      </c>
      <c r="J184" s="1151">
        <f t="shared" si="62"/>
        <v>30</v>
      </c>
      <c r="O184" s="400"/>
      <c r="P184" s="401"/>
      <c r="Q184" s="402"/>
      <c r="R184" s="402"/>
      <c r="S184" s="402"/>
      <c r="T184" s="403"/>
      <c r="U184" s="403"/>
      <c r="V184" s="403"/>
      <c r="W184" s="403"/>
      <c r="X184" s="391"/>
      <c r="Y184" s="391"/>
      <c r="Z184" s="404"/>
      <c r="AA184" s="405"/>
      <c r="AB184" s="405"/>
    </row>
    <row r="185" spans="1:28" ht="15.6" hidden="1" outlineLevel="2">
      <c r="A185" s="391">
        <f t="shared" ref="A185:A188" si="64">1+A184</f>
        <v>3</v>
      </c>
      <c r="B185" t="str">
        <f>+$B$34</f>
        <v>Clark</v>
      </c>
      <c r="E185" s="1161">
        <f t="shared" ref="E185:I185" si="65">+E164-E175</f>
        <v>0</v>
      </c>
      <c r="F185" s="1161">
        <f t="shared" si="65"/>
        <v>0</v>
      </c>
      <c r="G185" s="1161">
        <f t="shared" si="65"/>
        <v>0</v>
      </c>
      <c r="H185" s="1161">
        <f t="shared" si="65"/>
        <v>0</v>
      </c>
      <c r="I185" s="1161">
        <f t="shared" si="65"/>
        <v>0</v>
      </c>
      <c r="J185" s="1151">
        <f t="shared" si="62"/>
        <v>0</v>
      </c>
      <c r="O185" s="400"/>
      <c r="P185" s="401"/>
      <c r="Q185" s="402"/>
      <c r="R185" s="402"/>
      <c r="S185" s="402"/>
      <c r="T185" s="403"/>
      <c r="U185" s="403"/>
      <c r="V185" s="403"/>
      <c r="W185" s="403"/>
      <c r="X185" s="391"/>
      <c r="Y185" s="391"/>
      <c r="Z185" s="404"/>
      <c r="AA185" s="405"/>
      <c r="AB185" s="405"/>
    </row>
    <row r="186" spans="1:28" ht="15.6" hidden="1" outlineLevel="2">
      <c r="A186" s="391">
        <f t="shared" si="64"/>
        <v>4</v>
      </c>
      <c r="B186" t="str">
        <f>+$B$35</f>
        <v>Elko</v>
      </c>
      <c r="E186" s="1161">
        <f t="shared" ref="E186:I186" si="66">+E165-E176</f>
        <v>0</v>
      </c>
      <c r="F186" s="1161">
        <f t="shared" si="66"/>
        <v>0</v>
      </c>
      <c r="G186" s="1161">
        <f t="shared" si="66"/>
        <v>0</v>
      </c>
      <c r="H186" s="1161">
        <f t="shared" si="66"/>
        <v>0</v>
      </c>
      <c r="I186" s="1161">
        <f t="shared" si="66"/>
        <v>0</v>
      </c>
      <c r="J186" s="1151">
        <f t="shared" si="62"/>
        <v>0</v>
      </c>
      <c r="O186" s="400"/>
      <c r="P186" s="401"/>
      <c r="Q186" s="402"/>
      <c r="R186" s="402"/>
      <c r="S186" s="402"/>
      <c r="T186" s="403"/>
      <c r="U186" s="403"/>
      <c r="V186" s="403"/>
      <c r="W186" s="403"/>
      <c r="X186" s="391"/>
      <c r="Y186" s="391"/>
      <c r="Z186" s="404"/>
      <c r="AA186" s="405"/>
      <c r="AB186" s="405"/>
    </row>
    <row r="187" spans="1:28" ht="15.6" hidden="1" outlineLevel="2">
      <c r="A187" s="391">
        <f t="shared" si="64"/>
        <v>5</v>
      </c>
      <c r="B187" t="str">
        <f>+$B$36</f>
        <v>Washoe</v>
      </c>
      <c r="E187" s="1161">
        <f t="shared" ref="E187:I187" si="67">+E166-E177</f>
        <v>0</v>
      </c>
      <c r="F187" s="1161">
        <f t="shared" si="67"/>
        <v>0</v>
      </c>
      <c r="G187" s="1161">
        <f t="shared" si="67"/>
        <v>0</v>
      </c>
      <c r="H187" s="1161">
        <f t="shared" si="67"/>
        <v>0</v>
      </c>
      <c r="I187" s="1161">
        <f t="shared" si="67"/>
        <v>0</v>
      </c>
      <c r="J187" s="1151">
        <f t="shared" si="62"/>
        <v>0</v>
      </c>
      <c r="O187" s="400"/>
      <c r="P187" s="401"/>
      <c r="Q187" s="402"/>
      <c r="R187" s="402"/>
      <c r="S187" s="402"/>
      <c r="T187" s="403"/>
      <c r="U187" s="403"/>
      <c r="V187" s="403"/>
      <c r="W187" s="403"/>
      <c r="X187" s="391"/>
      <c r="Y187" s="391"/>
      <c r="Z187" s="404"/>
      <c r="AA187" s="405"/>
      <c r="AB187" s="405"/>
    </row>
    <row r="188" spans="1:28" ht="15.6" hidden="1" outlineLevel="2">
      <c r="A188" s="391">
        <f t="shared" si="64"/>
        <v>6</v>
      </c>
      <c r="B188" t="str">
        <f>+$B$37</f>
        <v>White Pine</v>
      </c>
      <c r="E188" s="1162">
        <f t="shared" ref="E188:I188" si="68">+E167-E178</f>
        <v>0</v>
      </c>
      <c r="F188" s="1162">
        <f t="shared" si="68"/>
        <v>10</v>
      </c>
      <c r="G188" s="1162">
        <f t="shared" si="68"/>
        <v>0</v>
      </c>
      <c r="H188" s="1162">
        <f t="shared" si="68"/>
        <v>0</v>
      </c>
      <c r="I188" s="1162">
        <f t="shared" si="68"/>
        <v>0</v>
      </c>
      <c r="J188" s="1151">
        <f t="shared" si="62"/>
        <v>10</v>
      </c>
      <c r="O188" s="400"/>
      <c r="P188" s="401"/>
      <c r="Q188" s="402"/>
      <c r="R188" s="402"/>
      <c r="S188" s="402"/>
      <c r="T188" s="403"/>
      <c r="U188" s="403"/>
      <c r="V188" s="403"/>
      <c r="W188" s="403"/>
      <c r="X188" s="391"/>
      <c r="Y188" s="391"/>
      <c r="Z188" s="404"/>
      <c r="AA188" s="405"/>
      <c r="AB188" s="405"/>
    </row>
    <row r="189" spans="1:28" ht="15.6" hidden="1" outlineLevel="2">
      <c r="A189" s="391"/>
      <c r="B189" s="1158" t="s">
        <v>123</v>
      </c>
      <c r="C189" s="1158"/>
      <c r="D189" s="1158"/>
      <c r="E189" s="1155">
        <f>SUM(E183:E188)</f>
        <v>100</v>
      </c>
      <c r="F189" s="1155">
        <f t="shared" ref="F189" si="69">SUM(F183:F188)</f>
        <v>60</v>
      </c>
      <c r="G189" s="1155">
        <f t="shared" ref="G189" si="70">SUM(G183:G188)</f>
        <v>30</v>
      </c>
      <c r="H189" s="1155">
        <f t="shared" ref="H189" si="71">SUM(H183:H188)</f>
        <v>20</v>
      </c>
      <c r="I189" s="1155">
        <f t="shared" ref="I189" si="72">SUM(I183:I188)</f>
        <v>1</v>
      </c>
      <c r="J189" s="1155">
        <f t="shared" si="62"/>
        <v>211</v>
      </c>
      <c r="O189" s="400"/>
      <c r="P189" s="401"/>
      <c r="Q189" s="402"/>
      <c r="R189" s="402"/>
      <c r="S189" s="402"/>
      <c r="T189" s="403"/>
      <c r="U189" s="403"/>
      <c r="V189" s="403"/>
      <c r="W189" s="403"/>
      <c r="X189" s="391"/>
      <c r="Y189" s="391"/>
      <c r="Z189" s="404"/>
      <c r="AA189" s="405"/>
      <c r="AB189" s="405"/>
    </row>
    <row r="190" spans="1:28" ht="15.6" hidden="1" outlineLevel="2">
      <c r="A190" s="391"/>
      <c r="O190" s="400"/>
      <c r="P190" s="401"/>
      <c r="Q190" s="402"/>
      <c r="R190" s="402"/>
      <c r="S190" s="402"/>
      <c r="T190" s="403"/>
      <c r="U190" s="403"/>
      <c r="V190" s="403"/>
      <c r="W190" s="403"/>
      <c r="X190" s="391"/>
      <c r="Y190" s="391"/>
      <c r="Z190" s="404"/>
      <c r="AA190" s="405"/>
      <c r="AB190" s="405"/>
    </row>
    <row r="191" spans="1:28" ht="15.6" hidden="1" outlineLevel="2">
      <c r="A191" s="391"/>
      <c r="B191" s="1158" t="s">
        <v>1017</v>
      </c>
      <c r="C191" s="1158"/>
      <c r="D191" s="1158"/>
      <c r="E191" s="1155">
        <f>+E179+E189</f>
        <v>100</v>
      </c>
      <c r="F191" s="1155">
        <f t="shared" ref="F191:I191" si="73">+F179+F189</f>
        <v>125</v>
      </c>
      <c r="G191" s="1155">
        <f t="shared" si="73"/>
        <v>50</v>
      </c>
      <c r="H191" s="1155">
        <f t="shared" si="73"/>
        <v>50</v>
      </c>
      <c r="I191" s="1155">
        <f t="shared" si="73"/>
        <v>2</v>
      </c>
      <c r="J191" s="1155">
        <f>SUM(E191:I191)</f>
        <v>327</v>
      </c>
      <c r="O191" s="400"/>
      <c r="P191" s="401"/>
      <c r="Q191" s="402"/>
      <c r="R191" s="402"/>
      <c r="S191" s="402"/>
      <c r="T191" s="403"/>
      <c r="U191" s="403"/>
      <c r="V191" s="403"/>
      <c r="W191" s="403"/>
      <c r="X191" s="391"/>
      <c r="Y191" s="391"/>
      <c r="Z191" s="404"/>
      <c r="AA191" s="405"/>
      <c r="AB191" s="405"/>
    </row>
    <row r="192" spans="1:28" ht="15.6" hidden="1" outlineLevel="1" collapsed="1">
      <c r="A192" s="391"/>
      <c r="O192" s="400"/>
      <c r="P192" s="401"/>
      <c r="Q192" s="402"/>
      <c r="R192" s="402"/>
      <c r="S192" s="402"/>
      <c r="T192" s="403"/>
      <c r="U192" s="403"/>
      <c r="V192" s="403"/>
      <c r="W192" s="403"/>
      <c r="X192" s="391"/>
      <c r="Y192" s="391"/>
      <c r="Z192" s="404"/>
      <c r="AA192" s="405"/>
      <c r="AB192" s="405"/>
    </row>
    <row r="193" spans="1:28" ht="15.6" hidden="1" outlineLevel="1">
      <c r="A193" s="391"/>
      <c r="B193" s="1174" t="s">
        <v>326</v>
      </c>
      <c r="C193" s="1174"/>
      <c r="D193" s="1174"/>
      <c r="E193" s="1175"/>
      <c r="F193" s="1175"/>
      <c r="G193" s="1175"/>
      <c r="H193" s="1175"/>
      <c r="I193" s="1175"/>
      <c r="J193" s="1175"/>
      <c r="O193" s="400"/>
      <c r="P193" s="401"/>
      <c r="Q193" s="402"/>
      <c r="R193" s="402"/>
      <c r="S193" s="402"/>
      <c r="T193" s="403"/>
      <c r="U193" s="403"/>
      <c r="V193" s="403"/>
      <c r="W193" s="403"/>
      <c r="X193" s="391"/>
      <c r="Y193" s="391"/>
      <c r="Z193" s="404"/>
      <c r="AA193" s="405"/>
      <c r="AB193" s="405"/>
    </row>
    <row r="194" spans="1:28" ht="15.6" hidden="1" outlineLevel="1">
      <c r="A194" s="391"/>
      <c r="B194" s="1169" t="s">
        <v>1002</v>
      </c>
      <c r="C194" s="1169"/>
      <c r="D194" s="1169"/>
      <c r="E194" s="1094"/>
      <c r="F194" s="1094"/>
      <c r="G194" s="1169"/>
      <c r="H194" s="1094"/>
      <c r="I194" s="1094"/>
      <c r="J194" s="1170"/>
      <c r="O194" s="400"/>
      <c r="P194" s="401"/>
      <c r="Q194" s="402"/>
      <c r="R194" s="402"/>
      <c r="S194" s="402"/>
      <c r="T194" s="403"/>
      <c r="U194" s="403"/>
      <c r="V194" s="403"/>
      <c r="W194" s="403"/>
      <c r="X194" s="391"/>
      <c r="Y194" s="391"/>
      <c r="Z194" s="404"/>
      <c r="AA194" s="405"/>
      <c r="AB194" s="405"/>
    </row>
    <row r="195" spans="1:28" ht="15.6" hidden="1" outlineLevel="1">
      <c r="A195" s="391"/>
      <c r="B195" s="1082"/>
      <c r="C195" s="1082"/>
      <c r="D195" s="1082"/>
      <c r="E195" s="1082" t="s">
        <v>1013</v>
      </c>
      <c r="F195" s="434"/>
      <c r="G195" s="1082"/>
      <c r="H195" s="434"/>
      <c r="I195" s="434"/>
      <c r="J195" s="1165"/>
      <c r="O195" s="400"/>
      <c r="P195" s="401"/>
      <c r="Q195" s="402"/>
      <c r="R195" s="402"/>
      <c r="S195" s="402"/>
      <c r="T195" s="403"/>
      <c r="U195" s="403"/>
      <c r="V195" s="403"/>
      <c r="W195" s="403"/>
      <c r="X195" s="391"/>
      <c r="Y195" s="391"/>
      <c r="Z195" s="404"/>
      <c r="AA195" s="405"/>
      <c r="AB195" s="405"/>
    </row>
    <row r="196" spans="1:28" ht="15.6" hidden="1" outlineLevel="1">
      <c r="A196" s="391"/>
      <c r="B196" s="1085"/>
      <c r="C196" s="1085"/>
      <c r="D196" s="1085"/>
      <c r="E196" s="1085" t="s">
        <v>489</v>
      </c>
      <c r="F196" s="1085" t="s">
        <v>992</v>
      </c>
      <c r="G196" s="1085" t="s">
        <v>993</v>
      </c>
      <c r="H196" s="1085" t="s">
        <v>982</v>
      </c>
      <c r="I196" s="1085" t="s">
        <v>994</v>
      </c>
      <c r="J196" s="1085" t="s">
        <v>123</v>
      </c>
      <c r="O196" s="400"/>
      <c r="P196" s="401"/>
      <c r="Q196" s="402"/>
      <c r="R196" s="402"/>
      <c r="S196" s="402"/>
      <c r="T196" s="403"/>
      <c r="U196" s="403"/>
      <c r="V196" s="403"/>
      <c r="W196" s="403"/>
      <c r="X196" s="391"/>
      <c r="Y196" s="391"/>
      <c r="Z196" s="404"/>
      <c r="AA196" s="405"/>
      <c r="AB196" s="405"/>
    </row>
    <row r="197" spans="1:28" ht="15.6" hidden="1" outlineLevel="1">
      <c r="A197" s="391">
        <v>1</v>
      </c>
      <c r="B197" t="str">
        <f>+B$32</f>
        <v xml:space="preserve">Carson City </v>
      </c>
      <c r="C197" s="526"/>
      <c r="D197" s="526">
        <f t="shared" ref="D197:D202" si="74">D32</f>
        <v>7494</v>
      </c>
      <c r="E197" s="1182">
        <f>+E210+E220</f>
        <v>74940</v>
      </c>
      <c r="F197" s="1182">
        <f t="shared" ref="F197:I197" si="75">+F210+F220</f>
        <v>41452.014005835765</v>
      </c>
      <c r="G197" s="1182">
        <f t="shared" si="75"/>
        <v>41067.120000000003</v>
      </c>
      <c r="H197" s="1182">
        <f t="shared" si="75"/>
        <v>38144.46</v>
      </c>
      <c r="I197" s="1182">
        <f t="shared" si="75"/>
        <v>8393.2800000000007</v>
      </c>
      <c r="J197" s="1180">
        <f t="shared" ref="J197:J204" si="76">SUM(E197:I197)</f>
        <v>203996.87400583577</v>
      </c>
      <c r="O197" s="400"/>
      <c r="P197" s="401"/>
      <c r="Q197" s="402"/>
      <c r="R197" s="402"/>
      <c r="S197" s="402"/>
      <c r="T197" s="403"/>
      <c r="U197" s="403"/>
      <c r="V197" s="403"/>
      <c r="W197" s="403"/>
      <c r="X197" s="391"/>
      <c r="Y197" s="391"/>
      <c r="Z197" s="404"/>
      <c r="AA197" s="405"/>
      <c r="AB197" s="405"/>
    </row>
    <row r="198" spans="1:28" ht="15.6" hidden="1" outlineLevel="1">
      <c r="A198" s="391">
        <f>1+A197</f>
        <v>2</v>
      </c>
      <c r="B198" t="str">
        <f>+$B$33</f>
        <v>Churchill</v>
      </c>
      <c r="C198" s="5"/>
      <c r="D198" s="5">
        <f t="shared" si="74"/>
        <v>8093</v>
      </c>
      <c r="E198" s="1146">
        <f t="shared" ref="E198:I198" si="77">+E211+E221</f>
        <v>80930</v>
      </c>
      <c r="F198" s="1146">
        <f t="shared" si="77"/>
        <v>44765.298818952338</v>
      </c>
      <c r="G198" s="1146">
        <f t="shared" si="77"/>
        <v>44349.64</v>
      </c>
      <c r="H198" s="1146">
        <f t="shared" si="77"/>
        <v>41193.370000000003</v>
      </c>
      <c r="I198" s="1146">
        <f t="shared" si="77"/>
        <v>9064.16</v>
      </c>
      <c r="J198" s="1146">
        <f t="shared" si="76"/>
        <v>220302.46881895236</v>
      </c>
      <c r="O198" s="400"/>
      <c r="P198" s="401"/>
      <c r="Q198" s="402"/>
      <c r="R198" s="402"/>
      <c r="S198" s="402"/>
      <c r="T198" s="403"/>
      <c r="U198" s="403"/>
      <c r="V198" s="403"/>
      <c r="W198" s="403"/>
      <c r="X198" s="391"/>
      <c r="Y198" s="391"/>
      <c r="Z198" s="404"/>
      <c r="AA198" s="405"/>
      <c r="AB198" s="405"/>
    </row>
    <row r="199" spans="1:28" ht="15.6" hidden="1" outlineLevel="1">
      <c r="A199" s="391">
        <f t="shared" ref="A199:A202" si="78">1+A198</f>
        <v>3</v>
      </c>
      <c r="B199" t="str">
        <f>+$B$34</f>
        <v>Clark</v>
      </c>
      <c r="C199" s="5"/>
      <c r="D199" s="5">
        <f t="shared" si="74"/>
        <v>7197</v>
      </c>
      <c r="E199" s="1146">
        <f t="shared" ref="E199:I199" si="79">+E212+E222</f>
        <v>71970</v>
      </c>
      <c r="F199" s="1146">
        <f t="shared" si="79"/>
        <v>39809.199999999997</v>
      </c>
      <c r="G199" s="1146">
        <f t="shared" si="79"/>
        <v>39439.56</v>
      </c>
      <c r="H199" s="1146">
        <f t="shared" si="79"/>
        <v>36632.730000000003</v>
      </c>
      <c r="I199" s="1146">
        <f t="shared" si="79"/>
        <v>8060.64</v>
      </c>
      <c r="J199" s="1146">
        <f t="shared" si="76"/>
        <v>195912.13000000003</v>
      </c>
      <c r="O199" s="400"/>
      <c r="P199" s="401"/>
      <c r="Q199" s="402"/>
      <c r="R199" s="402"/>
      <c r="S199" s="402"/>
      <c r="T199" s="403"/>
      <c r="U199" s="403"/>
      <c r="V199" s="403"/>
      <c r="W199" s="403"/>
      <c r="X199" s="391"/>
      <c r="Y199" s="391"/>
      <c r="Z199" s="404"/>
      <c r="AA199" s="405"/>
      <c r="AB199" s="405"/>
    </row>
    <row r="200" spans="1:28" ht="15.6" hidden="1" outlineLevel="1">
      <c r="A200" s="391">
        <f t="shared" si="78"/>
        <v>4</v>
      </c>
      <c r="B200" t="str">
        <f>+$B$35</f>
        <v>Elko</v>
      </c>
      <c r="C200" s="5"/>
      <c r="D200" s="5">
        <f t="shared" si="74"/>
        <v>7715</v>
      </c>
      <c r="E200" s="1146">
        <f>+E213+E223</f>
        <v>77150</v>
      </c>
      <c r="F200" s="1146">
        <f t="shared" ref="F200:I200" si="80">+F213+F223</f>
        <v>42674.444629706821</v>
      </c>
      <c r="G200" s="1146">
        <f t="shared" si="80"/>
        <v>42278.2</v>
      </c>
      <c r="H200" s="1146">
        <f t="shared" si="80"/>
        <v>39269.35</v>
      </c>
      <c r="I200" s="1146">
        <f t="shared" si="80"/>
        <v>8640.7999999999993</v>
      </c>
      <c r="J200" s="1146">
        <f t="shared" si="76"/>
        <v>210012.7946297068</v>
      </c>
      <c r="O200" s="400"/>
      <c r="P200" s="401"/>
      <c r="Q200" s="402"/>
      <c r="R200" s="402"/>
      <c r="S200" s="402"/>
      <c r="T200" s="403"/>
      <c r="U200" s="403"/>
      <c r="V200" s="403"/>
      <c r="W200" s="403"/>
      <c r="X200" s="391"/>
      <c r="Y200" s="391"/>
      <c r="Z200" s="404"/>
      <c r="AA200" s="405"/>
      <c r="AB200" s="405"/>
    </row>
    <row r="201" spans="1:28" ht="15.6" hidden="1" outlineLevel="1">
      <c r="A201" s="391">
        <f t="shared" si="78"/>
        <v>5</v>
      </c>
      <c r="B201" t="str">
        <f>+$B$36</f>
        <v>Washoe</v>
      </c>
      <c r="C201" s="5"/>
      <c r="D201" s="5">
        <f t="shared" si="74"/>
        <v>6980</v>
      </c>
      <c r="E201" s="1157">
        <f t="shared" ref="E201:I201" si="81">+E214+E224</f>
        <v>69800</v>
      </c>
      <c r="F201" s="1157">
        <f t="shared" si="81"/>
        <v>38608.894817284978</v>
      </c>
      <c r="G201" s="1157">
        <f t="shared" si="81"/>
        <v>38250.400000000001</v>
      </c>
      <c r="H201" s="1157">
        <f t="shared" si="81"/>
        <v>35528.199999999997</v>
      </c>
      <c r="I201" s="1157">
        <f t="shared" si="81"/>
        <v>7817.6</v>
      </c>
      <c r="J201" s="1146">
        <f t="shared" si="76"/>
        <v>190005.09481728499</v>
      </c>
      <c r="O201" s="400"/>
      <c r="P201" s="401"/>
      <c r="Q201" s="402"/>
      <c r="R201" s="402"/>
      <c r="S201" s="402"/>
      <c r="T201" s="403"/>
      <c r="U201" s="403"/>
      <c r="V201" s="403"/>
      <c r="W201" s="403"/>
      <c r="X201" s="391"/>
      <c r="Y201" s="391"/>
      <c r="Z201" s="404"/>
      <c r="AA201" s="405"/>
      <c r="AB201" s="405"/>
    </row>
    <row r="202" spans="1:28" ht="15.6" hidden="1" outlineLevel="1">
      <c r="A202" s="391">
        <f t="shared" si="78"/>
        <v>6</v>
      </c>
      <c r="B202" t="str">
        <f>+$B$37</f>
        <v>White Pine</v>
      </c>
      <c r="C202" s="5"/>
      <c r="D202" s="5">
        <f t="shared" si="74"/>
        <v>10367</v>
      </c>
      <c r="E202" s="1157">
        <f t="shared" ref="E202:I202" si="82">+E215+E225</f>
        <v>103670</v>
      </c>
      <c r="F202" s="1157">
        <f t="shared" si="82"/>
        <v>57343.612116159507</v>
      </c>
      <c r="G202" s="1157">
        <f t="shared" si="82"/>
        <v>56811.16</v>
      </c>
      <c r="H202" s="1157">
        <f t="shared" si="82"/>
        <v>52768.03</v>
      </c>
      <c r="I202" s="1157">
        <f t="shared" si="82"/>
        <v>11611.04</v>
      </c>
      <c r="J202" s="1157">
        <f t="shared" si="76"/>
        <v>282203.8421161595</v>
      </c>
      <c r="O202" s="400"/>
      <c r="P202" s="401"/>
      <c r="Q202" s="402"/>
      <c r="R202" s="402"/>
      <c r="S202" s="402"/>
      <c r="T202" s="403"/>
      <c r="U202" s="403"/>
      <c r="V202" s="403"/>
      <c r="W202" s="403"/>
      <c r="X202" s="391"/>
      <c r="Y202" s="391"/>
      <c r="Z202" s="404"/>
      <c r="AA202" s="405"/>
      <c r="AB202" s="405"/>
    </row>
    <row r="203" spans="1:28" ht="15.6" hidden="1" outlineLevel="1">
      <c r="A203" s="391"/>
      <c r="B203" s="1158" t="s">
        <v>406</v>
      </c>
      <c r="C203" s="1158"/>
      <c r="D203" s="1158"/>
      <c r="E203" s="1181">
        <f>SUM(E197:E202)</f>
        <v>478460</v>
      </c>
      <c r="F203" s="1181">
        <f>SUM(F197:F202)</f>
        <v>264653.46438793937</v>
      </c>
      <c r="G203" s="1181">
        <f t="shared" ref="G203" si="83">SUM(G197:G202)</f>
        <v>262196.08</v>
      </c>
      <c r="H203" s="1181">
        <f t="shared" ref="H203" si="84">SUM(H197:H202)</f>
        <v>243536.13999999998</v>
      </c>
      <c r="I203" s="1181">
        <f t="shared" ref="I203" si="85">SUM(I197:I202)</f>
        <v>53587.520000000004</v>
      </c>
      <c r="J203" s="1183">
        <f t="shared" si="76"/>
        <v>1302433.2043879393</v>
      </c>
      <c r="O203" s="400"/>
      <c r="P203" s="401"/>
      <c r="Q203" s="402"/>
      <c r="R203" s="402"/>
      <c r="S203" s="402"/>
      <c r="T203" s="403"/>
      <c r="U203" s="403"/>
      <c r="V203" s="403"/>
      <c r="W203" s="403"/>
      <c r="X203" s="391"/>
      <c r="Y203" s="391"/>
      <c r="Z203" s="404"/>
      <c r="AA203" s="405"/>
      <c r="AB203" s="405"/>
    </row>
    <row r="204" spans="1:28" ht="15.6" hidden="1" outlineLevel="1">
      <c r="A204" s="391"/>
      <c r="B204" s="1" t="s">
        <v>405</v>
      </c>
      <c r="E204" s="1151">
        <f>+E133</f>
        <v>60</v>
      </c>
      <c r="F204" s="1151">
        <f t="shared" ref="F204:I204" si="86">+F133</f>
        <v>24</v>
      </c>
      <c r="G204" s="1151">
        <f t="shared" si="86"/>
        <v>30</v>
      </c>
      <c r="H204" s="1151">
        <f t="shared" si="86"/>
        <v>30</v>
      </c>
      <c r="I204" s="1151">
        <f t="shared" si="86"/>
        <v>6</v>
      </c>
      <c r="J204" s="1151">
        <f t="shared" si="76"/>
        <v>150</v>
      </c>
      <c r="O204" s="400"/>
      <c r="P204" s="401"/>
      <c r="Q204" s="402"/>
      <c r="R204" s="402"/>
      <c r="S204" s="402"/>
      <c r="T204" s="403"/>
      <c r="U204" s="403"/>
      <c r="V204" s="403"/>
      <c r="W204" s="403"/>
      <c r="X204" s="391"/>
      <c r="Y204" s="391"/>
      <c r="Z204" s="404"/>
      <c r="AA204" s="405"/>
      <c r="AB204" s="405"/>
    </row>
    <row r="205" spans="1:28" ht="15.6" hidden="1" outlineLevel="1">
      <c r="A205" s="391"/>
      <c r="B205" s="1158" t="s">
        <v>1020</v>
      </c>
      <c r="C205" s="1168"/>
      <c r="D205" s="1168"/>
      <c r="E205" s="1185">
        <f t="shared" ref="E205:I205" si="87">+E203/E204</f>
        <v>7974.333333333333</v>
      </c>
      <c r="F205" s="1185">
        <f t="shared" si="87"/>
        <v>11027.227682830808</v>
      </c>
      <c r="G205" s="1185">
        <f t="shared" si="87"/>
        <v>8739.869333333334</v>
      </c>
      <c r="H205" s="1185">
        <f t="shared" si="87"/>
        <v>8117.8713333333326</v>
      </c>
      <c r="I205" s="1185">
        <f t="shared" si="87"/>
        <v>8931.253333333334</v>
      </c>
      <c r="J205" s="1185">
        <f>+J203/J204</f>
        <v>8682.8880292529284</v>
      </c>
      <c r="O205" s="400"/>
      <c r="P205" s="401"/>
      <c r="Q205" s="402"/>
      <c r="R205" s="402"/>
      <c r="S205" s="402"/>
      <c r="T205" s="403"/>
      <c r="U205" s="403"/>
      <c r="V205" s="403"/>
      <c r="W205" s="403"/>
      <c r="X205" s="391"/>
      <c r="Y205" s="391"/>
      <c r="Z205" s="404"/>
      <c r="AA205" s="405"/>
      <c r="AB205" s="405"/>
    </row>
    <row r="206" spans="1:28" ht="15.6" hidden="1" outlineLevel="1">
      <c r="A206" s="391"/>
      <c r="B206" s="1"/>
      <c r="J206" s="1151"/>
      <c r="O206" s="400"/>
      <c r="P206" s="401"/>
      <c r="Q206" s="402"/>
      <c r="R206" s="402"/>
      <c r="S206" s="402"/>
      <c r="T206" s="403"/>
      <c r="U206" s="403"/>
      <c r="V206" s="403"/>
      <c r="W206" s="403"/>
      <c r="X206" s="391"/>
      <c r="Y206" s="391"/>
      <c r="Z206" s="404"/>
      <c r="AA206" s="405"/>
      <c r="AB206" s="405"/>
    </row>
    <row r="207" spans="1:28" ht="15.6" hidden="1" outlineLevel="1">
      <c r="A207" s="391"/>
      <c r="E207" s="1082" t="s">
        <v>1021</v>
      </c>
      <c r="F207" s="434"/>
      <c r="G207" s="1082"/>
      <c r="H207" s="1082"/>
      <c r="I207" s="1082"/>
      <c r="J207" s="434"/>
      <c r="O207" s="400"/>
      <c r="P207" s="401"/>
      <c r="Q207" s="402"/>
      <c r="R207" s="402"/>
      <c r="S207" s="402"/>
      <c r="T207" s="403"/>
      <c r="U207" s="403"/>
      <c r="V207" s="403"/>
      <c r="W207" s="403"/>
      <c r="X207" s="391"/>
      <c r="Y207" s="391"/>
      <c r="Z207" s="404"/>
      <c r="AA207" s="405"/>
      <c r="AB207" s="405"/>
    </row>
    <row r="208" spans="1:28" ht="15.6" hidden="1" outlineLevel="1">
      <c r="A208" s="391"/>
      <c r="E208" s="1085" t="s">
        <v>489</v>
      </c>
      <c r="F208" s="1085" t="s">
        <v>992</v>
      </c>
      <c r="G208" s="1085" t="s">
        <v>993</v>
      </c>
      <c r="H208" s="1085" t="s">
        <v>982</v>
      </c>
      <c r="I208" s="1085" t="s">
        <v>994</v>
      </c>
      <c r="J208" s="1147"/>
      <c r="O208" s="400"/>
      <c r="P208" s="401"/>
      <c r="Q208" s="402"/>
      <c r="R208" s="402"/>
      <c r="S208" s="402"/>
      <c r="T208" s="403"/>
      <c r="U208" s="403"/>
      <c r="V208" s="403"/>
      <c r="W208" s="403"/>
      <c r="X208" s="391"/>
      <c r="Y208" s="391"/>
      <c r="Z208" s="404"/>
      <c r="AA208" s="405"/>
      <c r="AB208" s="405"/>
    </row>
    <row r="209" spans="1:28" ht="15.6" hidden="1" outlineLevel="1">
      <c r="A209" s="391"/>
      <c r="B209" s="1085" t="s">
        <v>1015</v>
      </c>
      <c r="C209" s="1085"/>
      <c r="D209" s="1085"/>
      <c r="E209" s="1191">
        <v>0</v>
      </c>
      <c r="F209" s="1190">
        <f>+F137</f>
        <v>0.38284007225232736</v>
      </c>
      <c r="G209" s="1190">
        <f t="shared" ref="G209:I209" si="88">+G137</f>
        <v>0.24</v>
      </c>
      <c r="H209" s="1190">
        <f t="shared" si="88"/>
        <v>0.03</v>
      </c>
      <c r="I209" s="1190">
        <f t="shared" si="88"/>
        <v>0.12</v>
      </c>
      <c r="J209" s="1085" t="s">
        <v>123</v>
      </c>
      <c r="O209" s="400"/>
      <c r="P209" s="401"/>
      <c r="Q209" s="402"/>
      <c r="R209" s="402"/>
      <c r="S209" s="402"/>
      <c r="T209" s="403"/>
      <c r="U209" s="403"/>
      <c r="V209" s="403"/>
      <c r="W209" s="403"/>
      <c r="X209" s="391"/>
      <c r="Y209" s="391"/>
      <c r="Z209" s="404"/>
      <c r="AA209" s="405"/>
      <c r="AB209" s="405"/>
    </row>
    <row r="210" spans="1:28" ht="15.6" hidden="1" outlineLevel="1">
      <c r="A210" s="391">
        <v>1</v>
      </c>
      <c r="B210" t="str">
        <f>+B$32</f>
        <v xml:space="preserve">Carson City </v>
      </c>
      <c r="C210" s="526"/>
      <c r="D210" s="526">
        <f t="shared" ref="D210:D215" si="89">D32</f>
        <v>7494</v>
      </c>
      <c r="E210" s="1149"/>
      <c r="F210" s="1200">
        <f t="shared" ref="F210:I215" si="90">F$209*F138*$D210</f>
        <v>11476.014005835765</v>
      </c>
      <c r="G210" s="1200">
        <f t="shared" si="90"/>
        <v>3597.12</v>
      </c>
      <c r="H210" s="1200">
        <f t="shared" si="90"/>
        <v>674.45999999999992</v>
      </c>
      <c r="I210" s="1200">
        <f t="shared" si="90"/>
        <v>899.28</v>
      </c>
      <c r="J210" s="1180">
        <f t="shared" ref="J210:J216" si="91">SUM(E210:I210)</f>
        <v>16646.874005835762</v>
      </c>
      <c r="O210" s="400"/>
      <c r="P210" s="401"/>
      <c r="Q210" s="402"/>
      <c r="R210" s="402"/>
      <c r="S210" s="402"/>
      <c r="T210" s="403"/>
      <c r="U210" s="403"/>
      <c r="V210" s="403"/>
      <c r="W210" s="403"/>
      <c r="X210" s="391"/>
      <c r="Y210" s="391"/>
      <c r="Z210" s="404"/>
      <c r="AA210" s="405"/>
      <c r="AB210" s="405"/>
    </row>
    <row r="211" spans="1:28" ht="15.6" hidden="1" outlineLevel="1">
      <c r="A211" s="391">
        <f>1+A210</f>
        <v>2</v>
      </c>
      <c r="B211" t="str">
        <f>+$B$33</f>
        <v>Churchill</v>
      </c>
      <c r="C211" s="5"/>
      <c r="D211" s="5">
        <f t="shared" si="89"/>
        <v>8093</v>
      </c>
      <c r="E211" s="1149"/>
      <c r="F211" s="1177">
        <f t="shared" si="90"/>
        <v>12393.29881895234</v>
      </c>
      <c r="G211" s="1177">
        <f t="shared" si="90"/>
        <v>3884.64</v>
      </c>
      <c r="H211" s="1177">
        <f t="shared" si="90"/>
        <v>728.37</v>
      </c>
      <c r="I211" s="1177">
        <f t="shared" si="90"/>
        <v>971.16</v>
      </c>
      <c r="J211" s="1146">
        <f t="shared" si="91"/>
        <v>17977.46881895234</v>
      </c>
      <c r="O211" s="400"/>
      <c r="P211" s="401"/>
      <c r="Q211" s="402"/>
      <c r="R211" s="402"/>
      <c r="S211" s="402"/>
      <c r="T211" s="403"/>
      <c r="U211" s="403"/>
      <c r="V211" s="403"/>
      <c r="W211" s="403"/>
      <c r="X211" s="391"/>
      <c r="Y211" s="391"/>
      <c r="Z211" s="404"/>
      <c r="AA211" s="405"/>
      <c r="AB211" s="405"/>
    </row>
    <row r="212" spans="1:28" ht="15.6" hidden="1" outlineLevel="1">
      <c r="A212" s="391">
        <f t="shared" ref="A212:A215" si="92">1+A211</f>
        <v>3</v>
      </c>
      <c r="B212" t="str">
        <f>+$B$34</f>
        <v>Clark</v>
      </c>
      <c r="C212" s="5"/>
      <c r="D212" s="5">
        <f t="shared" si="89"/>
        <v>7197</v>
      </c>
      <c r="E212" s="1149"/>
      <c r="F212" s="1177">
        <f t="shared" si="90"/>
        <v>11021.2</v>
      </c>
      <c r="G212" s="1177">
        <f t="shared" si="90"/>
        <v>3454.56</v>
      </c>
      <c r="H212" s="1177">
        <f t="shared" si="90"/>
        <v>647.73</v>
      </c>
      <c r="I212" s="1177">
        <f t="shared" si="90"/>
        <v>863.64</v>
      </c>
      <c r="J212" s="1146">
        <f t="shared" si="91"/>
        <v>15987.13</v>
      </c>
      <c r="O212" s="400"/>
      <c r="P212" s="401"/>
      <c r="Q212" s="402"/>
      <c r="R212" s="402"/>
      <c r="S212" s="402"/>
      <c r="T212" s="403"/>
      <c r="U212" s="403"/>
      <c r="V212" s="403"/>
      <c r="W212" s="403"/>
      <c r="X212" s="391"/>
      <c r="Y212" s="391"/>
      <c r="Z212" s="404"/>
      <c r="AA212" s="405"/>
      <c r="AB212" s="405"/>
    </row>
    <row r="213" spans="1:28" ht="15.6" hidden="1" outlineLevel="1">
      <c r="A213" s="391">
        <f t="shared" si="92"/>
        <v>4</v>
      </c>
      <c r="B213" t="str">
        <f>+$B$35</f>
        <v>Elko</v>
      </c>
      <c r="C213" s="5"/>
      <c r="D213" s="5">
        <f t="shared" si="89"/>
        <v>7715</v>
      </c>
      <c r="E213" s="1149"/>
      <c r="F213" s="1177">
        <f t="shared" si="90"/>
        <v>11814.444629706823</v>
      </c>
      <c r="G213" s="1177">
        <f t="shared" si="90"/>
        <v>3703.2</v>
      </c>
      <c r="H213" s="1177">
        <f t="shared" si="90"/>
        <v>694.35</v>
      </c>
      <c r="I213" s="1177">
        <f t="shared" si="90"/>
        <v>925.8</v>
      </c>
      <c r="J213" s="1146">
        <f t="shared" si="91"/>
        <v>17137.794629706823</v>
      </c>
      <c r="O213" s="400"/>
      <c r="P213" s="401"/>
      <c r="Q213" s="402"/>
      <c r="R213" s="402"/>
      <c r="S213" s="402"/>
      <c r="T213" s="403"/>
      <c r="U213" s="403"/>
      <c r="V213" s="403"/>
      <c r="W213" s="403"/>
      <c r="X213" s="391"/>
      <c r="Y213" s="391"/>
      <c r="Z213" s="404"/>
      <c r="AA213" s="405"/>
      <c r="AB213" s="405"/>
    </row>
    <row r="214" spans="1:28" ht="15.6" hidden="1" outlineLevel="1">
      <c r="A214" s="391">
        <f t="shared" si="92"/>
        <v>5</v>
      </c>
      <c r="B214" t="str">
        <f>+$B$36</f>
        <v>Washoe</v>
      </c>
      <c r="C214" s="5"/>
      <c r="D214" s="5">
        <f t="shared" si="89"/>
        <v>6980</v>
      </c>
      <c r="E214" s="1149"/>
      <c r="F214" s="1177">
        <f t="shared" si="90"/>
        <v>10688.89481728498</v>
      </c>
      <c r="G214" s="1177">
        <f t="shared" si="90"/>
        <v>3350.4</v>
      </c>
      <c r="H214" s="1177">
        <f t="shared" si="90"/>
        <v>628.19999999999993</v>
      </c>
      <c r="I214" s="1177">
        <f t="shared" si="90"/>
        <v>837.6</v>
      </c>
      <c r="J214" s="1146">
        <f t="shared" si="91"/>
        <v>15505.09481728498</v>
      </c>
      <c r="O214" s="400"/>
      <c r="P214" s="401"/>
      <c r="Q214" s="402"/>
      <c r="R214" s="402"/>
      <c r="S214" s="402"/>
      <c r="T214" s="403"/>
      <c r="U214" s="403"/>
      <c r="V214" s="403"/>
      <c r="W214" s="403"/>
      <c r="X214" s="391"/>
      <c r="Y214" s="391"/>
      <c r="Z214" s="404"/>
      <c r="AA214" s="405"/>
      <c r="AB214" s="405"/>
    </row>
    <row r="215" spans="1:28" ht="15.6" hidden="1" outlineLevel="1">
      <c r="A215" s="391">
        <f t="shared" si="92"/>
        <v>6</v>
      </c>
      <c r="B215" t="str">
        <f>+$B$37</f>
        <v>White Pine</v>
      </c>
      <c r="C215" s="5"/>
      <c r="D215" s="5">
        <f t="shared" si="89"/>
        <v>10367</v>
      </c>
      <c r="E215" s="1149"/>
      <c r="F215" s="1178">
        <f t="shared" si="90"/>
        <v>15875.612116159511</v>
      </c>
      <c r="G215" s="1178">
        <f t="shared" si="90"/>
        <v>4976.16</v>
      </c>
      <c r="H215" s="1178">
        <f t="shared" si="90"/>
        <v>933.03</v>
      </c>
      <c r="I215" s="1178">
        <f t="shared" si="90"/>
        <v>1244.04</v>
      </c>
      <c r="J215" s="1157">
        <f t="shared" si="91"/>
        <v>23028.842116159511</v>
      </c>
      <c r="O215" s="400"/>
      <c r="P215" s="401"/>
      <c r="Q215" s="402"/>
      <c r="R215" s="402"/>
      <c r="S215" s="402"/>
      <c r="T215" s="403"/>
      <c r="U215" s="403"/>
      <c r="V215" s="403"/>
      <c r="W215" s="403"/>
      <c r="X215" s="391"/>
      <c r="Y215" s="391"/>
      <c r="Z215" s="404"/>
      <c r="AA215" s="405"/>
      <c r="AB215" s="405"/>
    </row>
    <row r="216" spans="1:28" ht="15.6" hidden="1" outlineLevel="1">
      <c r="A216" s="391"/>
      <c r="B216" s="1158" t="s">
        <v>123</v>
      </c>
      <c r="C216" s="1158"/>
      <c r="D216" s="1158"/>
      <c r="E216" s="1186"/>
      <c r="F216" s="1185">
        <f t="shared" ref="F216" si="93">SUM(F210:F215)</f>
        <v>73269.464387939413</v>
      </c>
      <c r="G216" s="1185">
        <f t="shared" ref="G216" si="94">SUM(G210:G215)</f>
        <v>22966.080000000002</v>
      </c>
      <c r="H216" s="1185">
        <f t="shared" ref="H216" si="95">SUM(H210:H215)</f>
        <v>4306.1399999999994</v>
      </c>
      <c r="I216" s="1185">
        <f t="shared" ref="I216" si="96">SUM(I210:I215)</f>
        <v>5741.52</v>
      </c>
      <c r="J216" s="1181">
        <f t="shared" si="91"/>
        <v>106283.20438793942</v>
      </c>
      <c r="O216" s="400"/>
      <c r="P216" s="401"/>
      <c r="Q216" s="402"/>
      <c r="R216" s="402"/>
      <c r="S216" s="402"/>
      <c r="T216" s="403"/>
      <c r="U216" s="403"/>
      <c r="V216" s="403"/>
      <c r="W216" s="403"/>
      <c r="X216" s="391"/>
      <c r="Y216" s="391"/>
      <c r="Z216" s="404"/>
      <c r="AA216" s="405"/>
      <c r="AB216" s="405"/>
    </row>
    <row r="217" spans="1:28" ht="15.6" hidden="1" outlineLevel="1">
      <c r="A217" s="391"/>
      <c r="O217" s="400"/>
      <c r="P217" s="401"/>
      <c r="Q217" s="402"/>
      <c r="R217" s="402"/>
      <c r="S217" s="402"/>
      <c r="T217" s="403"/>
      <c r="U217" s="403"/>
      <c r="V217" s="403"/>
      <c r="W217" s="403"/>
      <c r="X217" s="391"/>
      <c r="Y217" s="391"/>
      <c r="Z217" s="404"/>
      <c r="AA217" s="405"/>
      <c r="AB217" s="405"/>
    </row>
    <row r="218" spans="1:28" ht="15.6" hidden="1" outlineLevel="1">
      <c r="A218" s="391"/>
      <c r="E218" s="1082" t="s">
        <v>1022</v>
      </c>
      <c r="F218" s="1"/>
      <c r="G218" s="434"/>
      <c r="H218" s="434"/>
      <c r="I218" s="434"/>
      <c r="O218" s="400"/>
      <c r="P218" s="401"/>
      <c r="Q218" s="402"/>
      <c r="R218" s="402"/>
      <c r="S218" s="402"/>
      <c r="T218" s="403"/>
      <c r="U218" s="403"/>
      <c r="V218" s="403"/>
      <c r="W218" s="403"/>
      <c r="X218" s="391"/>
      <c r="Y218" s="391"/>
      <c r="Z218" s="404"/>
      <c r="AA218" s="405"/>
      <c r="AB218" s="405"/>
    </row>
    <row r="219" spans="1:28" ht="15.6" hidden="1" outlineLevel="1">
      <c r="A219" s="391"/>
      <c r="E219" s="1085" t="s">
        <v>489</v>
      </c>
      <c r="F219" s="1159" t="s">
        <v>992</v>
      </c>
      <c r="G219" s="1085" t="s">
        <v>993</v>
      </c>
      <c r="H219" s="1085" t="s">
        <v>982</v>
      </c>
      <c r="I219" s="1085" t="s">
        <v>994</v>
      </c>
      <c r="J219" s="1159" t="s">
        <v>123</v>
      </c>
      <c r="O219" s="400"/>
      <c r="P219" s="401"/>
      <c r="Q219" s="402"/>
      <c r="R219" s="402"/>
      <c r="S219" s="402"/>
      <c r="T219" s="403"/>
      <c r="U219" s="403"/>
      <c r="V219" s="403"/>
      <c r="W219" s="403"/>
      <c r="X219" s="391"/>
      <c r="Y219" s="391"/>
      <c r="Z219" s="404"/>
      <c r="AA219" s="405"/>
      <c r="AB219" s="405"/>
    </row>
    <row r="220" spans="1:28" ht="15.6" hidden="1" outlineLevel="1">
      <c r="A220" s="391">
        <v>1</v>
      </c>
      <c r="B220" t="str">
        <f>+B$32</f>
        <v xml:space="preserve">Carson City </v>
      </c>
      <c r="C220" s="526"/>
      <c r="D220" s="526">
        <f t="shared" ref="D220:D225" si="97">D32</f>
        <v>7494</v>
      </c>
      <c r="E220" s="1201">
        <f t="shared" ref="E220:E225" si="98">+$D32*E127</f>
        <v>74940</v>
      </c>
      <c r="F220" s="1201">
        <f>+$D220*F127</f>
        <v>29976</v>
      </c>
      <c r="G220" s="1201">
        <f t="shared" ref="G220:I225" si="99">+$D32*G127</f>
        <v>37470</v>
      </c>
      <c r="H220" s="1201">
        <f t="shared" si="99"/>
        <v>37470</v>
      </c>
      <c r="I220" s="1201">
        <f t="shared" si="99"/>
        <v>7494</v>
      </c>
      <c r="J220" s="1184">
        <f t="shared" ref="J220:J226" si="100">SUM(E220:I220)</f>
        <v>187350</v>
      </c>
      <c r="O220" s="400"/>
      <c r="P220" s="401"/>
      <c r="Q220" s="402"/>
      <c r="R220" s="402"/>
      <c r="S220" s="402"/>
      <c r="T220" s="403"/>
      <c r="U220" s="403"/>
      <c r="V220" s="403"/>
      <c r="W220" s="403"/>
      <c r="X220" s="391"/>
      <c r="Y220" s="391"/>
      <c r="Z220" s="404"/>
      <c r="AA220" s="405"/>
      <c r="AB220" s="405"/>
    </row>
    <row r="221" spans="1:28" ht="15.6" hidden="1" outlineLevel="1">
      <c r="A221" s="391">
        <f>1+A220</f>
        <v>2</v>
      </c>
      <c r="B221" t="str">
        <f>+$B$33</f>
        <v>Churchill</v>
      </c>
      <c r="C221" s="5"/>
      <c r="D221" s="5">
        <f t="shared" si="97"/>
        <v>8093</v>
      </c>
      <c r="E221" s="1161">
        <f t="shared" si="98"/>
        <v>80930</v>
      </c>
      <c r="F221" s="1161">
        <f>+$D33*F128</f>
        <v>32372</v>
      </c>
      <c r="G221" s="1161">
        <f t="shared" si="99"/>
        <v>40465</v>
      </c>
      <c r="H221" s="1161">
        <f t="shared" si="99"/>
        <v>40465</v>
      </c>
      <c r="I221" s="1161">
        <f t="shared" si="99"/>
        <v>8093</v>
      </c>
      <c r="J221" s="1151">
        <f t="shared" si="100"/>
        <v>202325</v>
      </c>
      <c r="O221" s="400"/>
      <c r="P221" s="401"/>
      <c r="Q221" s="402"/>
      <c r="R221" s="402"/>
      <c r="S221" s="402"/>
      <c r="T221" s="403"/>
      <c r="U221" s="403"/>
      <c r="V221" s="403"/>
      <c r="W221" s="403"/>
      <c r="X221" s="391"/>
      <c r="Y221" s="391"/>
      <c r="Z221" s="404"/>
      <c r="AA221" s="405"/>
      <c r="AB221" s="405"/>
    </row>
    <row r="222" spans="1:28" ht="15.6" hidden="1" outlineLevel="1">
      <c r="A222" s="391">
        <f t="shared" ref="A222:A225" si="101">1+A221</f>
        <v>3</v>
      </c>
      <c r="B222" t="str">
        <f>+$B$34</f>
        <v>Clark</v>
      </c>
      <c r="C222" s="5"/>
      <c r="D222" s="5">
        <f t="shared" si="97"/>
        <v>7197</v>
      </c>
      <c r="E222" s="1161">
        <f t="shared" si="98"/>
        <v>71970</v>
      </c>
      <c r="F222" s="1161">
        <f>+$D34*F129</f>
        <v>28788</v>
      </c>
      <c r="G222" s="1161">
        <f t="shared" si="99"/>
        <v>35985</v>
      </c>
      <c r="H222" s="1161">
        <f t="shared" si="99"/>
        <v>35985</v>
      </c>
      <c r="I222" s="1161">
        <f t="shared" si="99"/>
        <v>7197</v>
      </c>
      <c r="J222" s="1151">
        <f t="shared" si="100"/>
        <v>179925</v>
      </c>
      <c r="O222" s="400"/>
      <c r="P222" s="401"/>
      <c r="Q222" s="402"/>
      <c r="R222" s="402"/>
      <c r="S222" s="402"/>
      <c r="T222" s="403"/>
      <c r="U222" s="403"/>
      <c r="V222" s="403"/>
      <c r="W222" s="403"/>
      <c r="X222" s="391"/>
      <c r="Y222" s="391"/>
      <c r="Z222" s="404"/>
      <c r="AA222" s="405"/>
      <c r="AB222" s="405"/>
    </row>
    <row r="223" spans="1:28" ht="15.6" hidden="1" outlineLevel="1">
      <c r="A223" s="391">
        <f t="shared" si="101"/>
        <v>4</v>
      </c>
      <c r="B223" t="str">
        <f>+$B$35</f>
        <v>Elko</v>
      </c>
      <c r="C223" s="5"/>
      <c r="D223" s="5">
        <f t="shared" si="97"/>
        <v>7715</v>
      </c>
      <c r="E223" s="1161">
        <f t="shared" si="98"/>
        <v>77150</v>
      </c>
      <c r="F223" s="1161">
        <f>+$D35*F130</f>
        <v>30860</v>
      </c>
      <c r="G223" s="1161">
        <f t="shared" si="99"/>
        <v>38575</v>
      </c>
      <c r="H223" s="1161">
        <f t="shared" si="99"/>
        <v>38575</v>
      </c>
      <c r="I223" s="1161">
        <f t="shared" si="99"/>
        <v>7715</v>
      </c>
      <c r="J223" s="1151">
        <f t="shared" si="100"/>
        <v>192875</v>
      </c>
      <c r="O223" s="400"/>
      <c r="P223" s="401"/>
      <c r="Q223" s="402"/>
      <c r="R223" s="402"/>
      <c r="S223" s="402"/>
      <c r="T223" s="403"/>
      <c r="U223" s="403"/>
      <c r="V223" s="403"/>
      <c r="W223" s="403"/>
      <c r="X223" s="391"/>
      <c r="Y223" s="391"/>
      <c r="Z223" s="404"/>
      <c r="AA223" s="405"/>
      <c r="AB223" s="405"/>
    </row>
    <row r="224" spans="1:28" ht="15.6" hidden="1" outlineLevel="1">
      <c r="A224" s="391">
        <f t="shared" si="101"/>
        <v>5</v>
      </c>
      <c r="B224" t="str">
        <f>+$B$36</f>
        <v>Washoe</v>
      </c>
      <c r="C224" s="5"/>
      <c r="D224" s="5">
        <f t="shared" si="97"/>
        <v>6980</v>
      </c>
      <c r="E224" s="1161">
        <f t="shared" si="98"/>
        <v>69800</v>
      </c>
      <c r="F224" s="1161">
        <f>+$D36*F131</f>
        <v>27920</v>
      </c>
      <c r="G224" s="1161">
        <f t="shared" si="99"/>
        <v>34900</v>
      </c>
      <c r="H224" s="1161">
        <f t="shared" si="99"/>
        <v>34900</v>
      </c>
      <c r="I224" s="1161">
        <f t="shared" si="99"/>
        <v>6980</v>
      </c>
      <c r="J224" s="1151">
        <f t="shared" si="100"/>
        <v>174500</v>
      </c>
      <c r="O224" s="400"/>
      <c r="P224" s="401"/>
      <c r="Q224" s="402"/>
      <c r="R224" s="402"/>
      <c r="S224" s="402"/>
      <c r="T224" s="403"/>
      <c r="U224" s="403"/>
      <c r="V224" s="403"/>
      <c r="W224" s="403"/>
      <c r="X224" s="391"/>
      <c r="Y224" s="391"/>
      <c r="Z224" s="404"/>
      <c r="AA224" s="405"/>
      <c r="AB224" s="405"/>
    </row>
    <row r="225" spans="1:28" ht="15.6" hidden="1" outlineLevel="1">
      <c r="A225" s="391">
        <f t="shared" si="101"/>
        <v>6</v>
      </c>
      <c r="B225" t="str">
        <f>+$B$37</f>
        <v>White Pine</v>
      </c>
      <c r="C225" s="5"/>
      <c r="D225" s="5">
        <f t="shared" si="97"/>
        <v>10367</v>
      </c>
      <c r="E225" s="1162">
        <f t="shared" si="98"/>
        <v>103670</v>
      </c>
      <c r="F225" s="1162">
        <f>+$D37*F132</f>
        <v>41468</v>
      </c>
      <c r="G225" s="1162">
        <f t="shared" si="99"/>
        <v>51835</v>
      </c>
      <c r="H225" s="1162">
        <f t="shared" si="99"/>
        <v>51835</v>
      </c>
      <c r="I225" s="1162">
        <f t="shared" si="99"/>
        <v>10367</v>
      </c>
      <c r="J225" s="1151">
        <f t="shared" si="100"/>
        <v>259175</v>
      </c>
      <c r="O225" s="400"/>
      <c r="P225" s="401"/>
      <c r="Q225" s="402"/>
      <c r="R225" s="402"/>
      <c r="S225" s="402"/>
      <c r="T225" s="403"/>
      <c r="U225" s="403"/>
      <c r="V225" s="403"/>
      <c r="W225" s="403"/>
      <c r="X225" s="391"/>
      <c r="Y225" s="391"/>
      <c r="Z225" s="404"/>
      <c r="AA225" s="405"/>
      <c r="AB225" s="405"/>
    </row>
    <row r="226" spans="1:28" ht="15.6" hidden="1" outlineLevel="1">
      <c r="A226" s="391"/>
      <c r="B226" s="1158" t="s">
        <v>123</v>
      </c>
      <c r="C226" s="1158"/>
      <c r="D226" s="1158"/>
      <c r="E226" s="1185">
        <f>SUM(E220:E225)</f>
        <v>478460</v>
      </c>
      <c r="F226" s="1185">
        <f t="shared" ref="F226" si="102">SUM(F220:F225)</f>
        <v>191384</v>
      </c>
      <c r="G226" s="1185">
        <f t="shared" ref="G226" si="103">SUM(G220:G225)</f>
        <v>239230</v>
      </c>
      <c r="H226" s="1185">
        <f t="shared" ref="H226" si="104">SUM(H220:H225)</f>
        <v>239230</v>
      </c>
      <c r="I226" s="1185">
        <f t="shared" ref="I226" si="105">SUM(I220:I225)</f>
        <v>47846</v>
      </c>
      <c r="J226" s="1185">
        <f t="shared" si="100"/>
        <v>1196150</v>
      </c>
      <c r="O226" s="400"/>
      <c r="P226" s="401"/>
      <c r="Q226" s="402"/>
      <c r="R226" s="402"/>
      <c r="S226" s="402"/>
      <c r="T226" s="403"/>
      <c r="U226" s="403"/>
      <c r="V226" s="403"/>
      <c r="W226" s="403"/>
      <c r="X226" s="391"/>
      <c r="Y226" s="391"/>
      <c r="Z226" s="404"/>
      <c r="AA226" s="405"/>
      <c r="AB226" s="405"/>
    </row>
    <row r="227" spans="1:28" ht="15.6" hidden="1" outlineLevel="1">
      <c r="A227" s="391"/>
      <c r="O227" s="400"/>
      <c r="P227" s="401"/>
      <c r="Q227" s="402"/>
      <c r="R227" s="402"/>
      <c r="S227" s="402"/>
      <c r="T227" s="403"/>
      <c r="U227" s="403"/>
      <c r="V227" s="403"/>
      <c r="W227" s="403"/>
      <c r="X227" s="391"/>
      <c r="Y227" s="391"/>
      <c r="Z227" s="404"/>
      <c r="AA227" s="405"/>
      <c r="AB227" s="405"/>
    </row>
    <row r="228" spans="1:28" ht="15.6" hidden="1" outlineLevel="1">
      <c r="A228" s="391"/>
      <c r="B228" s="1158" t="s">
        <v>1017</v>
      </c>
      <c r="C228" s="1158"/>
      <c r="D228" s="1158"/>
      <c r="E228" s="1185">
        <f>+E216+E226</f>
        <v>478460</v>
      </c>
      <c r="F228" s="1185">
        <f t="shared" ref="F228:I228" si="106">+F216+F226</f>
        <v>264653.46438793943</v>
      </c>
      <c r="G228" s="1185">
        <f t="shared" si="106"/>
        <v>262196.08</v>
      </c>
      <c r="H228" s="1185">
        <f t="shared" si="106"/>
        <v>243536.14</v>
      </c>
      <c r="I228" s="1185">
        <f t="shared" si="106"/>
        <v>53587.520000000004</v>
      </c>
      <c r="J228" s="1187">
        <f>SUM(E228:I228)</f>
        <v>1302433.2043879395</v>
      </c>
      <c r="O228" s="400"/>
      <c r="P228" s="401"/>
      <c r="Q228" s="402"/>
      <c r="R228" s="402"/>
      <c r="S228" s="402"/>
      <c r="T228" s="403"/>
      <c r="U228" s="403"/>
      <c r="V228" s="403"/>
      <c r="W228" s="403"/>
      <c r="X228" s="391"/>
      <c r="Y228" s="391"/>
      <c r="Z228" s="404"/>
      <c r="AA228" s="405"/>
      <c r="AB228" s="405"/>
    </row>
    <row r="229" spans="1:28" ht="15.6" hidden="1" outlineLevel="1">
      <c r="A229" s="391"/>
      <c r="O229" s="400"/>
      <c r="P229" s="401"/>
      <c r="Q229" s="402"/>
      <c r="R229" s="402"/>
      <c r="S229" s="402"/>
      <c r="T229" s="403"/>
      <c r="U229" s="403"/>
      <c r="V229" s="403"/>
      <c r="W229" s="403"/>
      <c r="X229" s="391"/>
      <c r="Y229" s="391"/>
      <c r="Z229" s="404"/>
      <c r="AA229" s="405"/>
      <c r="AB229" s="405"/>
    </row>
    <row r="230" spans="1:28" ht="15.6" hidden="1" outlineLevel="1">
      <c r="A230" s="391"/>
      <c r="B230" s="1174" t="s">
        <v>326</v>
      </c>
      <c r="C230" s="1174"/>
      <c r="D230" s="1174"/>
      <c r="E230" s="1175"/>
      <c r="F230" s="1175"/>
      <c r="G230" s="1175"/>
      <c r="H230" s="1175"/>
      <c r="I230" s="1175"/>
      <c r="J230" s="1175"/>
      <c r="O230" s="400"/>
      <c r="P230" s="401"/>
      <c r="Q230" s="402"/>
      <c r="R230" s="402"/>
      <c r="S230" s="402"/>
      <c r="T230" s="403"/>
      <c r="U230" s="403"/>
      <c r="V230" s="403"/>
      <c r="W230" s="403"/>
      <c r="X230" s="391"/>
      <c r="Y230" s="391"/>
      <c r="Z230" s="404"/>
      <c r="AA230" s="405"/>
      <c r="AB230" s="405"/>
    </row>
    <row r="231" spans="1:28" ht="15.6" hidden="1" outlineLevel="1">
      <c r="A231" s="391"/>
      <c r="B231" s="1169" t="s">
        <v>1018</v>
      </c>
      <c r="C231" s="1169"/>
      <c r="D231" s="1169"/>
      <c r="E231" s="1169"/>
      <c r="F231" s="1094"/>
      <c r="G231" s="1169"/>
      <c r="H231" s="1094"/>
      <c r="I231" s="1094"/>
      <c r="J231" s="1170"/>
      <c r="O231" s="400"/>
      <c r="P231" s="401"/>
      <c r="Q231" s="402"/>
      <c r="R231" s="402"/>
      <c r="S231" s="402"/>
      <c r="T231" s="403"/>
      <c r="U231" s="403"/>
      <c r="V231" s="403"/>
      <c r="W231" s="403"/>
      <c r="X231" s="391"/>
      <c r="Y231" s="391"/>
      <c r="Z231" s="404"/>
      <c r="AA231" s="405"/>
      <c r="AB231" s="405"/>
    </row>
    <row r="232" spans="1:28" ht="15.6" hidden="1" outlineLevel="1">
      <c r="A232" s="391"/>
      <c r="B232" s="1082"/>
      <c r="C232" s="1082"/>
      <c r="D232" s="1082"/>
      <c r="E232" s="1082" t="s">
        <v>1013</v>
      </c>
      <c r="F232" s="434"/>
      <c r="G232" s="1082"/>
      <c r="H232" s="434"/>
      <c r="I232" s="434"/>
      <c r="J232" s="1165"/>
      <c r="O232" s="400"/>
      <c r="P232" s="401"/>
      <c r="Q232" s="402"/>
      <c r="R232" s="402"/>
      <c r="S232" s="402"/>
      <c r="T232" s="403"/>
      <c r="U232" s="403"/>
      <c r="V232" s="403"/>
      <c r="W232" s="403"/>
      <c r="X232" s="391"/>
      <c r="Y232" s="391"/>
      <c r="Z232" s="404"/>
      <c r="AA232" s="405"/>
      <c r="AB232" s="405"/>
    </row>
    <row r="233" spans="1:28" ht="15.6" hidden="1" outlineLevel="1">
      <c r="A233" s="391"/>
      <c r="B233" s="1085"/>
      <c r="C233" s="1085"/>
      <c r="D233" s="1085"/>
      <c r="E233" s="1085" t="s">
        <v>489</v>
      </c>
      <c r="F233" s="1085" t="s">
        <v>992</v>
      </c>
      <c r="G233" s="1085" t="s">
        <v>993</v>
      </c>
      <c r="H233" s="1085" t="s">
        <v>982</v>
      </c>
      <c r="I233" s="1085" t="s">
        <v>994</v>
      </c>
      <c r="J233" s="1085" t="s">
        <v>123</v>
      </c>
      <c r="O233" s="400"/>
      <c r="P233" s="401"/>
      <c r="Q233" s="402"/>
      <c r="R233" s="402"/>
      <c r="S233" s="402"/>
      <c r="T233" s="403"/>
      <c r="U233" s="403"/>
      <c r="V233" s="403"/>
      <c r="W233" s="403"/>
      <c r="X233" s="391"/>
      <c r="Y233" s="391"/>
      <c r="Z233" s="404"/>
      <c r="AA233" s="405"/>
      <c r="AB233" s="405"/>
    </row>
    <row r="234" spans="1:28" ht="15.6" hidden="1" outlineLevel="1">
      <c r="A234" s="391">
        <v>1</v>
      </c>
      <c r="B234" t="str">
        <f>+B$32</f>
        <v xml:space="preserve">Carson City </v>
      </c>
      <c r="C234" s="526"/>
      <c r="D234" s="526">
        <f>$D$16</f>
        <v>6980</v>
      </c>
      <c r="E234" s="1182">
        <f t="shared" ref="E234" si="107">+E245+E255</f>
        <v>0</v>
      </c>
      <c r="F234" s="1182">
        <f>+F245+F255</f>
        <v>53444.474086424896</v>
      </c>
      <c r="G234" s="1182">
        <f t="shared" ref="G234:I234" si="108">+G245+G255</f>
        <v>33504</v>
      </c>
      <c r="H234" s="1182">
        <f t="shared" si="108"/>
        <v>6281.9999999999991</v>
      </c>
      <c r="I234" s="1182">
        <f t="shared" si="108"/>
        <v>837.6</v>
      </c>
      <c r="J234" s="1180">
        <f t="shared" ref="J234:J240" si="109">SUM(E234:I234)</f>
        <v>94068.074086424895</v>
      </c>
      <c r="O234" s="400"/>
      <c r="P234" s="401"/>
      <c r="Q234" s="402"/>
      <c r="R234" s="402"/>
      <c r="S234" s="402"/>
      <c r="T234" s="403"/>
      <c r="U234" s="403"/>
      <c r="V234" s="403"/>
      <c r="W234" s="403"/>
      <c r="X234" s="391"/>
      <c r="Y234" s="391"/>
      <c r="Z234" s="404"/>
      <c r="AA234" s="405"/>
      <c r="AB234" s="405"/>
    </row>
    <row r="235" spans="1:28" ht="15.6" hidden="1" outlineLevel="1">
      <c r="A235" s="391">
        <f>1+A234</f>
        <v>2</v>
      </c>
      <c r="B235" t="str">
        <f>+$B$33</f>
        <v>Churchill</v>
      </c>
      <c r="C235" s="5"/>
      <c r="D235" s="5">
        <f t="shared" ref="D235:D239" si="110">$D$16</f>
        <v>6980</v>
      </c>
      <c r="E235" s="1146">
        <f t="shared" ref="E235:I235" si="111">+E246+E256</f>
        <v>0</v>
      </c>
      <c r="F235" s="1146">
        <f t="shared" si="111"/>
        <v>0</v>
      </c>
      <c r="G235" s="1146">
        <f t="shared" si="111"/>
        <v>0</v>
      </c>
      <c r="H235" s="1146">
        <f t="shared" si="111"/>
        <v>0</v>
      </c>
      <c r="I235" s="1146">
        <f t="shared" si="111"/>
        <v>0</v>
      </c>
      <c r="J235" s="1146">
        <f t="shared" si="109"/>
        <v>0</v>
      </c>
      <c r="O235" s="400"/>
      <c r="P235" s="401"/>
      <c r="Q235" s="402"/>
      <c r="R235" s="402"/>
      <c r="S235" s="402"/>
      <c r="T235" s="403"/>
      <c r="U235" s="403"/>
      <c r="V235" s="403"/>
      <c r="W235" s="403"/>
      <c r="X235" s="391"/>
      <c r="Y235" s="391"/>
      <c r="Z235" s="404"/>
      <c r="AA235" s="405"/>
      <c r="AB235" s="405"/>
    </row>
    <row r="236" spans="1:28" ht="15.6" hidden="1" outlineLevel="1">
      <c r="A236" s="391">
        <f t="shared" ref="A236:A239" si="112">1+A235</f>
        <v>3</v>
      </c>
      <c r="B236" t="str">
        <f>+$B$34</f>
        <v>Clark</v>
      </c>
      <c r="C236" s="5"/>
      <c r="D236" s="5">
        <f t="shared" si="110"/>
        <v>6980</v>
      </c>
      <c r="E236" s="1146">
        <f t="shared" ref="E236:I236" si="113">+E247+E257</f>
        <v>0</v>
      </c>
      <c r="F236" s="1146">
        <f t="shared" si="113"/>
        <v>80166.711129637348</v>
      </c>
      <c r="G236" s="1146">
        <f t="shared" si="113"/>
        <v>0</v>
      </c>
      <c r="H236" s="1146">
        <f t="shared" si="113"/>
        <v>0</v>
      </c>
      <c r="I236" s="1146">
        <f t="shared" si="113"/>
        <v>0</v>
      </c>
      <c r="J236" s="1146">
        <f t="shared" si="109"/>
        <v>80166.711129637348</v>
      </c>
      <c r="O236" s="400"/>
      <c r="P236" s="401"/>
      <c r="Q236" s="402"/>
      <c r="R236" s="402"/>
      <c r="S236" s="402"/>
      <c r="T236" s="403"/>
      <c r="U236" s="403"/>
      <c r="V236" s="403"/>
      <c r="W236" s="403"/>
      <c r="X236" s="391"/>
      <c r="Y236" s="391"/>
      <c r="Z236" s="404"/>
      <c r="AA236" s="405"/>
      <c r="AB236" s="405"/>
    </row>
    <row r="237" spans="1:28" ht="15.6" hidden="1" outlineLevel="1">
      <c r="A237" s="391">
        <f t="shared" si="112"/>
        <v>4</v>
      </c>
      <c r="B237" t="str">
        <f>+$B$35</f>
        <v>Elko</v>
      </c>
      <c r="C237" s="5"/>
      <c r="D237" s="5">
        <f t="shared" si="110"/>
        <v>6980</v>
      </c>
      <c r="E237" s="1146">
        <f t="shared" ref="E237:I237" si="114">+E248+E258</f>
        <v>0</v>
      </c>
      <c r="F237" s="1146">
        <f t="shared" si="114"/>
        <v>13361.118521606224</v>
      </c>
      <c r="G237" s="1146">
        <f t="shared" si="114"/>
        <v>0</v>
      </c>
      <c r="H237" s="1146">
        <f t="shared" si="114"/>
        <v>0</v>
      </c>
      <c r="I237" s="1146">
        <f t="shared" si="114"/>
        <v>0</v>
      </c>
      <c r="J237" s="1146">
        <f t="shared" si="109"/>
        <v>13361.118521606224</v>
      </c>
      <c r="O237" s="400"/>
      <c r="P237" s="401"/>
      <c r="Q237" s="402"/>
      <c r="R237" s="402"/>
      <c r="S237" s="402"/>
      <c r="T237" s="403"/>
      <c r="U237" s="403"/>
      <c r="V237" s="403"/>
      <c r="W237" s="403"/>
      <c r="X237" s="391"/>
      <c r="Y237" s="391"/>
      <c r="Z237" s="404"/>
      <c r="AA237" s="405"/>
      <c r="AB237" s="405"/>
    </row>
    <row r="238" spans="1:28" ht="15.6" hidden="1" outlineLevel="1">
      <c r="A238" s="391">
        <f t="shared" si="112"/>
        <v>5</v>
      </c>
      <c r="B238" t="str">
        <f>+$B$36</f>
        <v>Washoe</v>
      </c>
      <c r="C238" s="5"/>
      <c r="D238" s="5">
        <f t="shared" si="110"/>
        <v>6980</v>
      </c>
      <c r="E238" s="1157">
        <f t="shared" ref="E238:I238" si="115">+E249+E259</f>
        <v>0</v>
      </c>
      <c r="F238" s="1157">
        <f t="shared" si="115"/>
        <v>26722.237043212448</v>
      </c>
      <c r="G238" s="1157">
        <f t="shared" si="115"/>
        <v>0</v>
      </c>
      <c r="H238" s="1157">
        <f t="shared" si="115"/>
        <v>0</v>
      </c>
      <c r="I238" s="1157">
        <f t="shared" si="115"/>
        <v>0</v>
      </c>
      <c r="J238" s="1146">
        <f t="shared" si="109"/>
        <v>26722.237043212448</v>
      </c>
      <c r="O238" s="400"/>
      <c r="P238" s="401"/>
      <c r="Q238" s="402"/>
      <c r="R238" s="402"/>
      <c r="S238" s="402"/>
      <c r="T238" s="403"/>
      <c r="U238" s="403"/>
      <c r="V238" s="403"/>
      <c r="W238" s="403"/>
      <c r="X238" s="391"/>
      <c r="Y238" s="391"/>
      <c r="Z238" s="404"/>
      <c r="AA238" s="405"/>
      <c r="AB238" s="405"/>
    </row>
    <row r="239" spans="1:28" ht="15.6" hidden="1" outlineLevel="1">
      <c r="A239" s="391">
        <f t="shared" si="112"/>
        <v>6</v>
      </c>
      <c r="B239" t="str">
        <f>+$B$37</f>
        <v>White Pine</v>
      </c>
      <c r="C239" s="5"/>
      <c r="D239" s="5">
        <f t="shared" si="110"/>
        <v>6980</v>
      </c>
      <c r="E239" s="1157">
        <f t="shared" ref="E239:I239" si="116">+E250+E260</f>
        <v>0</v>
      </c>
      <c r="F239" s="1157">
        <f t="shared" si="116"/>
        <v>0</v>
      </c>
      <c r="G239" s="1157">
        <f t="shared" si="116"/>
        <v>0</v>
      </c>
      <c r="H239" s="1157">
        <f t="shared" si="116"/>
        <v>0</v>
      </c>
      <c r="I239" s="1157">
        <f t="shared" si="116"/>
        <v>0</v>
      </c>
      <c r="J239" s="1157">
        <f t="shared" si="109"/>
        <v>0</v>
      </c>
      <c r="O239" s="400"/>
      <c r="P239" s="401"/>
      <c r="Q239" s="402"/>
      <c r="R239" s="402"/>
      <c r="S239" s="402"/>
      <c r="T239" s="403"/>
      <c r="U239" s="403"/>
      <c r="V239" s="403"/>
      <c r="W239" s="403"/>
      <c r="X239" s="391"/>
      <c r="Y239" s="391"/>
      <c r="Z239" s="404"/>
      <c r="AA239" s="405"/>
      <c r="AB239" s="405"/>
    </row>
    <row r="240" spans="1:28" ht="15.6" hidden="1" outlineLevel="1">
      <c r="A240" s="391"/>
      <c r="B240" s="1158" t="s">
        <v>123</v>
      </c>
      <c r="C240" s="1158"/>
      <c r="D240" s="1158"/>
      <c r="E240" s="1181">
        <f>SUM(E234:E239)</f>
        <v>0</v>
      </c>
      <c r="F240" s="1181">
        <f>SUM(F234:F239)</f>
        <v>173694.54078088093</v>
      </c>
      <c r="G240" s="1181">
        <f t="shared" ref="G240" si="117">SUM(G234:G239)</f>
        <v>33504</v>
      </c>
      <c r="H240" s="1181">
        <f t="shared" ref="H240" si="118">SUM(H234:H239)</f>
        <v>6281.9999999999991</v>
      </c>
      <c r="I240" s="1181">
        <f t="shared" ref="I240" si="119">SUM(I234:I239)</f>
        <v>837.6</v>
      </c>
      <c r="J240" s="1183">
        <f t="shared" si="109"/>
        <v>214318.14078088093</v>
      </c>
      <c r="O240" s="400"/>
      <c r="P240" s="401"/>
      <c r="Q240" s="402"/>
      <c r="R240" s="402"/>
      <c r="S240" s="402"/>
      <c r="T240" s="403"/>
      <c r="U240" s="403"/>
      <c r="V240" s="403"/>
      <c r="W240" s="403"/>
      <c r="X240" s="391"/>
      <c r="Y240" s="391"/>
      <c r="Z240" s="404"/>
      <c r="AA240" s="405"/>
      <c r="AB240" s="405"/>
    </row>
    <row r="241" spans="1:28" ht="15.6" hidden="1" outlineLevel="1">
      <c r="A241" s="391"/>
      <c r="J241" s="1151"/>
      <c r="O241" s="400"/>
      <c r="P241" s="401"/>
      <c r="Q241" s="402"/>
      <c r="R241" s="402"/>
      <c r="S241" s="402"/>
      <c r="T241" s="403"/>
      <c r="U241" s="403"/>
      <c r="V241" s="403"/>
      <c r="W241" s="403"/>
      <c r="X241" s="391"/>
      <c r="Y241" s="391"/>
      <c r="Z241" s="404"/>
      <c r="AA241" s="405"/>
      <c r="AB241" s="405"/>
    </row>
    <row r="242" spans="1:28" ht="15.6" hidden="1" outlineLevel="1">
      <c r="A242" s="391"/>
      <c r="E242" s="1082" t="s">
        <v>1021</v>
      </c>
      <c r="F242" s="434"/>
      <c r="G242" s="1082"/>
      <c r="H242" s="1082"/>
      <c r="I242" s="1082"/>
      <c r="J242" s="434"/>
      <c r="O242" s="400"/>
      <c r="P242" s="401"/>
      <c r="Q242" s="402"/>
      <c r="R242" s="402"/>
      <c r="S242" s="402"/>
      <c r="T242" s="403"/>
      <c r="U242" s="403"/>
      <c r="V242" s="403"/>
      <c r="W242" s="403"/>
      <c r="X242" s="391"/>
      <c r="Y242" s="391"/>
      <c r="Z242" s="404"/>
      <c r="AA242" s="405"/>
      <c r="AB242" s="405"/>
    </row>
    <row r="243" spans="1:28" ht="15.6" hidden="1" outlineLevel="1">
      <c r="A243" s="391"/>
      <c r="E243" s="1085" t="s">
        <v>489</v>
      </c>
      <c r="F243" s="1085" t="s">
        <v>992</v>
      </c>
      <c r="G243" s="1085" t="s">
        <v>993</v>
      </c>
      <c r="H243" s="1085" t="s">
        <v>982</v>
      </c>
      <c r="I243" s="1085" t="s">
        <v>994</v>
      </c>
      <c r="J243" s="1147"/>
      <c r="O243" s="400"/>
      <c r="P243" s="401"/>
      <c r="Q243" s="402"/>
      <c r="R243" s="402"/>
      <c r="S243" s="402"/>
      <c r="T243" s="403"/>
      <c r="U243" s="403"/>
      <c r="V243" s="403"/>
      <c r="W243" s="403"/>
      <c r="X243" s="391"/>
      <c r="Y243" s="391"/>
      <c r="Z243" s="404"/>
      <c r="AA243" s="405"/>
      <c r="AB243" s="405"/>
    </row>
    <row r="244" spans="1:28" ht="15.6" hidden="1" outlineLevel="1">
      <c r="A244" s="391"/>
      <c r="E244" s="1147"/>
      <c r="F244" s="1144">
        <f>+F209</f>
        <v>0.38284007225232736</v>
      </c>
      <c r="G244" s="1144">
        <f t="shared" ref="G244:I244" si="120">+G209</f>
        <v>0.24</v>
      </c>
      <c r="H244" s="1144">
        <f t="shared" si="120"/>
        <v>0.03</v>
      </c>
      <c r="I244" s="1144">
        <f t="shared" si="120"/>
        <v>0.12</v>
      </c>
      <c r="J244" s="1085" t="s">
        <v>123</v>
      </c>
      <c r="O244" s="400"/>
      <c r="P244" s="401"/>
      <c r="Q244" s="402"/>
      <c r="R244" s="402"/>
      <c r="S244" s="402"/>
      <c r="T244" s="403"/>
      <c r="U244" s="403"/>
      <c r="V244" s="403"/>
      <c r="W244" s="403"/>
      <c r="X244" s="391"/>
      <c r="Y244" s="391"/>
      <c r="Z244" s="404"/>
      <c r="AA244" s="405"/>
      <c r="AB244" s="405"/>
    </row>
    <row r="245" spans="1:28" ht="15.6" hidden="1" outlineLevel="1">
      <c r="A245" s="391">
        <v>1</v>
      </c>
      <c r="B245" t="str">
        <f>+B$32</f>
        <v xml:space="preserve">Carson City </v>
      </c>
      <c r="C245" s="5"/>
      <c r="D245" s="5">
        <f t="shared" ref="D245:D250" si="121">$D$16</f>
        <v>6980</v>
      </c>
      <c r="E245" s="1149"/>
      <c r="F245" s="1200">
        <f t="shared" ref="F245:I250" si="122">F$209*F173*$D245</f>
        <v>53444.474086424896</v>
      </c>
      <c r="G245" s="1200">
        <f t="shared" si="122"/>
        <v>33504</v>
      </c>
      <c r="H245" s="1200">
        <f t="shared" si="122"/>
        <v>6281.9999999999991</v>
      </c>
      <c r="I245" s="1200">
        <f t="shared" si="122"/>
        <v>837.6</v>
      </c>
      <c r="J245" s="1180">
        <f t="shared" ref="J245:J251" si="123">SUM(E245:I245)</f>
        <v>94068.074086424895</v>
      </c>
      <c r="O245" s="400"/>
      <c r="P245" s="401"/>
      <c r="Q245" s="402"/>
      <c r="R245" s="402"/>
      <c r="S245" s="402"/>
      <c r="T245" s="403"/>
      <c r="U245" s="403"/>
      <c r="V245" s="403"/>
      <c r="W245" s="403"/>
      <c r="X245" s="391"/>
      <c r="Y245" s="391"/>
      <c r="Z245" s="404"/>
      <c r="AA245" s="405"/>
      <c r="AB245" s="405"/>
    </row>
    <row r="246" spans="1:28" ht="15.6" hidden="1" outlineLevel="1">
      <c r="A246" s="391">
        <f>1+A245</f>
        <v>2</v>
      </c>
      <c r="B246" t="str">
        <f>+$B$33</f>
        <v>Churchill</v>
      </c>
      <c r="C246" s="5"/>
      <c r="D246" s="5">
        <f t="shared" si="121"/>
        <v>6980</v>
      </c>
      <c r="E246" s="1149"/>
      <c r="F246" s="1177">
        <f t="shared" si="122"/>
        <v>0</v>
      </c>
      <c r="G246" s="1177">
        <f t="shared" si="122"/>
        <v>0</v>
      </c>
      <c r="H246" s="1177">
        <f t="shared" si="122"/>
        <v>0</v>
      </c>
      <c r="I246" s="1177">
        <f t="shared" si="122"/>
        <v>0</v>
      </c>
      <c r="J246" s="1146">
        <f t="shared" si="123"/>
        <v>0</v>
      </c>
      <c r="O246" s="400"/>
      <c r="P246" s="401"/>
      <c r="Q246" s="402"/>
      <c r="R246" s="402"/>
      <c r="S246" s="402"/>
      <c r="T246" s="403"/>
      <c r="U246" s="403"/>
      <c r="V246" s="403"/>
      <c r="W246" s="403"/>
      <c r="X246" s="391"/>
      <c r="Y246" s="391"/>
      <c r="Z246" s="404"/>
      <c r="AA246" s="405"/>
      <c r="AB246" s="405"/>
    </row>
    <row r="247" spans="1:28" ht="15.6" hidden="1" outlineLevel="1">
      <c r="A247" s="391">
        <f t="shared" ref="A247:A250" si="124">1+A246</f>
        <v>3</v>
      </c>
      <c r="B247" t="str">
        <f>+$B$34</f>
        <v>Clark</v>
      </c>
      <c r="C247" s="5"/>
      <c r="D247" s="5">
        <f t="shared" si="121"/>
        <v>6980</v>
      </c>
      <c r="E247" s="1149"/>
      <c r="F247" s="1177">
        <f t="shared" si="122"/>
        <v>80166.711129637348</v>
      </c>
      <c r="G247" s="1177">
        <f t="shared" si="122"/>
        <v>0</v>
      </c>
      <c r="H247" s="1177">
        <f t="shared" si="122"/>
        <v>0</v>
      </c>
      <c r="I247" s="1177">
        <f t="shared" si="122"/>
        <v>0</v>
      </c>
      <c r="J247" s="1146">
        <f t="shared" si="123"/>
        <v>80166.711129637348</v>
      </c>
      <c r="O247" s="400"/>
      <c r="P247" s="401"/>
      <c r="Q247" s="402"/>
      <c r="R247" s="402"/>
      <c r="S247" s="402"/>
      <c r="T247" s="403"/>
      <c r="U247" s="403"/>
      <c r="V247" s="403"/>
      <c r="W247" s="403"/>
      <c r="X247" s="391"/>
      <c r="Y247" s="391"/>
      <c r="Z247" s="404"/>
      <c r="AA247" s="405"/>
      <c r="AB247" s="405"/>
    </row>
    <row r="248" spans="1:28" ht="15.6" hidden="1" outlineLevel="1">
      <c r="A248" s="391">
        <f t="shared" si="124"/>
        <v>4</v>
      </c>
      <c r="B248" t="str">
        <f>+$B$35</f>
        <v>Elko</v>
      </c>
      <c r="C248" s="5"/>
      <c r="D248" s="5">
        <f t="shared" si="121"/>
        <v>6980</v>
      </c>
      <c r="E248" s="1149"/>
      <c r="F248" s="1177">
        <f t="shared" si="122"/>
        <v>13361.118521606224</v>
      </c>
      <c r="G248" s="1177">
        <f t="shared" si="122"/>
        <v>0</v>
      </c>
      <c r="H248" s="1177">
        <f t="shared" si="122"/>
        <v>0</v>
      </c>
      <c r="I248" s="1177">
        <f t="shared" si="122"/>
        <v>0</v>
      </c>
      <c r="J248" s="1146">
        <f t="shared" si="123"/>
        <v>13361.118521606224</v>
      </c>
      <c r="O248" s="400"/>
      <c r="P248" s="401"/>
      <c r="Q248" s="402"/>
      <c r="R248" s="402"/>
      <c r="S248" s="402"/>
      <c r="T248" s="403"/>
      <c r="U248" s="403"/>
      <c r="V248" s="403"/>
      <c r="W248" s="403"/>
      <c r="X248" s="391"/>
      <c r="Y248" s="391"/>
      <c r="Z248" s="404"/>
      <c r="AA248" s="405"/>
      <c r="AB248" s="405"/>
    </row>
    <row r="249" spans="1:28" ht="15.6" hidden="1" outlineLevel="1">
      <c r="A249" s="391">
        <f t="shared" si="124"/>
        <v>5</v>
      </c>
      <c r="B249" t="str">
        <f>+$B$36</f>
        <v>Washoe</v>
      </c>
      <c r="C249" s="5"/>
      <c r="D249" s="5">
        <f t="shared" si="121"/>
        <v>6980</v>
      </c>
      <c r="E249" s="1149"/>
      <c r="F249" s="1177">
        <f t="shared" si="122"/>
        <v>26722.237043212448</v>
      </c>
      <c r="G249" s="1177">
        <f t="shared" si="122"/>
        <v>0</v>
      </c>
      <c r="H249" s="1177">
        <f t="shared" si="122"/>
        <v>0</v>
      </c>
      <c r="I249" s="1177">
        <f t="shared" si="122"/>
        <v>0</v>
      </c>
      <c r="J249" s="1146">
        <f t="shared" si="123"/>
        <v>26722.237043212448</v>
      </c>
      <c r="O249" s="400"/>
      <c r="P249" s="401"/>
      <c r="Q249" s="402"/>
      <c r="R249" s="402"/>
      <c r="S249" s="402"/>
      <c r="T249" s="403"/>
      <c r="U249" s="403"/>
      <c r="V249" s="403"/>
      <c r="W249" s="403"/>
      <c r="X249" s="391"/>
      <c r="Y249" s="391"/>
      <c r="Z249" s="404"/>
      <c r="AA249" s="405"/>
      <c r="AB249" s="405"/>
    </row>
    <row r="250" spans="1:28" ht="15.6" hidden="1" outlineLevel="1">
      <c r="A250" s="391">
        <f t="shared" si="124"/>
        <v>6</v>
      </c>
      <c r="B250" t="str">
        <f>+$B$37</f>
        <v>White Pine</v>
      </c>
      <c r="C250" s="5"/>
      <c r="D250" s="5">
        <f t="shared" si="121"/>
        <v>6980</v>
      </c>
      <c r="E250" s="1149"/>
      <c r="F250" s="1178">
        <f t="shared" si="122"/>
        <v>0</v>
      </c>
      <c r="G250" s="1178">
        <f t="shared" si="122"/>
        <v>0</v>
      </c>
      <c r="H250" s="1178">
        <f t="shared" si="122"/>
        <v>0</v>
      </c>
      <c r="I250" s="1178">
        <f t="shared" si="122"/>
        <v>0</v>
      </c>
      <c r="J250" s="1157">
        <f t="shared" si="123"/>
        <v>0</v>
      </c>
      <c r="O250" s="400"/>
      <c r="P250" s="401"/>
      <c r="Q250" s="402"/>
      <c r="R250" s="402"/>
      <c r="S250" s="402"/>
      <c r="T250" s="403"/>
      <c r="U250" s="403"/>
      <c r="V250" s="403"/>
      <c r="W250" s="403"/>
      <c r="X250" s="391"/>
      <c r="Y250" s="391"/>
      <c r="Z250" s="404"/>
      <c r="AA250" s="405"/>
      <c r="AB250" s="405"/>
    </row>
    <row r="251" spans="1:28" ht="15.6" hidden="1" outlineLevel="1">
      <c r="A251" s="391"/>
      <c r="B251" s="1158" t="s">
        <v>123</v>
      </c>
      <c r="C251" s="1158"/>
      <c r="D251" s="1158"/>
      <c r="E251" s="1186"/>
      <c r="F251" s="1185">
        <f t="shared" ref="F251" si="125">SUM(F245:F250)</f>
        <v>173694.54078088093</v>
      </c>
      <c r="G251" s="1185">
        <f t="shared" ref="G251" si="126">SUM(G245:G250)</f>
        <v>33504</v>
      </c>
      <c r="H251" s="1185">
        <f t="shared" ref="H251" si="127">SUM(H245:H250)</f>
        <v>6281.9999999999991</v>
      </c>
      <c r="I251" s="1185">
        <f t="shared" ref="I251" si="128">SUM(I245:I250)</f>
        <v>837.6</v>
      </c>
      <c r="J251" s="1181">
        <f t="shared" si="123"/>
        <v>214318.14078088093</v>
      </c>
      <c r="O251" s="400"/>
      <c r="P251" s="401"/>
      <c r="Q251" s="402"/>
      <c r="R251" s="402"/>
      <c r="S251" s="402"/>
      <c r="T251" s="403"/>
      <c r="U251" s="403"/>
      <c r="V251" s="403"/>
      <c r="W251" s="403"/>
      <c r="X251" s="391"/>
      <c r="Y251" s="391"/>
      <c r="Z251" s="404"/>
      <c r="AA251" s="405"/>
      <c r="AB251" s="405"/>
    </row>
    <row r="252" spans="1:28" ht="15.6" hidden="1" outlineLevel="1">
      <c r="A252" s="391"/>
      <c r="O252" s="400"/>
      <c r="P252" s="401"/>
      <c r="Q252" s="402"/>
      <c r="R252" s="402"/>
      <c r="S252" s="402"/>
      <c r="T252" s="403"/>
      <c r="U252" s="403"/>
      <c r="V252" s="403"/>
      <c r="W252" s="403"/>
      <c r="X252" s="391"/>
      <c r="Y252" s="391"/>
      <c r="Z252" s="404"/>
      <c r="AA252" s="405"/>
      <c r="AB252" s="405"/>
    </row>
    <row r="253" spans="1:28" ht="15.6" hidden="1" outlineLevel="1">
      <c r="A253" s="391"/>
      <c r="E253" s="1082" t="s">
        <v>1022</v>
      </c>
      <c r="F253" s="1"/>
      <c r="G253" s="434"/>
      <c r="H253" s="434"/>
      <c r="I253" s="434"/>
      <c r="O253" s="400"/>
      <c r="P253" s="401"/>
      <c r="Q253" s="402"/>
      <c r="R253" s="402"/>
      <c r="S253" s="402"/>
      <c r="T253" s="403"/>
      <c r="U253" s="403"/>
      <c r="V253" s="403"/>
      <c r="W253" s="403"/>
      <c r="X253" s="391"/>
      <c r="Y253" s="391"/>
      <c r="Z253" s="404"/>
      <c r="AA253" s="405"/>
      <c r="AB253" s="405"/>
    </row>
    <row r="254" spans="1:28" ht="15.6" hidden="1" outlineLevel="1">
      <c r="A254" s="391"/>
      <c r="E254" s="1085" t="s">
        <v>489</v>
      </c>
      <c r="F254" s="1159" t="s">
        <v>992</v>
      </c>
      <c r="G254" s="1085" t="s">
        <v>993</v>
      </c>
      <c r="H254" s="1085" t="s">
        <v>982</v>
      </c>
      <c r="I254" s="1085" t="s">
        <v>994</v>
      </c>
      <c r="J254" s="1159" t="s">
        <v>123</v>
      </c>
      <c r="O254" s="400"/>
      <c r="P254" s="401"/>
      <c r="Q254" s="402"/>
      <c r="R254" s="402"/>
      <c r="S254" s="402"/>
      <c r="T254" s="403"/>
      <c r="U254" s="403"/>
      <c r="V254" s="403"/>
      <c r="W254" s="403"/>
      <c r="X254" s="391"/>
      <c r="Y254" s="391"/>
      <c r="Z254" s="404"/>
      <c r="AA254" s="405"/>
      <c r="AB254" s="405"/>
    </row>
    <row r="255" spans="1:28" ht="15.6" hidden="1" outlineLevel="1">
      <c r="A255" s="391">
        <v>1</v>
      </c>
      <c r="B255" t="str">
        <f>+B$32</f>
        <v xml:space="preserve">Carson City </v>
      </c>
      <c r="C255" s="5"/>
      <c r="D255" s="5">
        <f t="shared" ref="D255:D260" si="129">$D$16</f>
        <v>6980</v>
      </c>
      <c r="E255" s="1201">
        <f t="shared" ref="E255:I260" si="130">+$E140*E162</f>
        <v>0</v>
      </c>
      <c r="F255" s="1201">
        <f t="shared" si="130"/>
        <v>0</v>
      </c>
      <c r="G255" s="1201">
        <f t="shared" si="130"/>
        <v>0</v>
      </c>
      <c r="H255" s="1201">
        <f t="shared" si="130"/>
        <v>0</v>
      </c>
      <c r="I255" s="1201">
        <f t="shared" si="130"/>
        <v>0</v>
      </c>
      <c r="J255" s="1184">
        <f t="shared" ref="J255:J261" si="131">SUM(E255:I255)</f>
        <v>0</v>
      </c>
      <c r="O255" s="400"/>
      <c r="P255" s="401"/>
      <c r="Q255" s="402"/>
      <c r="R255" s="402"/>
      <c r="S255" s="402"/>
      <c r="T255" s="403"/>
      <c r="U255" s="403"/>
      <c r="V255" s="403"/>
      <c r="W255" s="403"/>
      <c r="X255" s="391"/>
      <c r="Y255" s="391"/>
      <c r="Z255" s="404"/>
      <c r="AA255" s="405"/>
      <c r="AB255" s="405"/>
    </row>
    <row r="256" spans="1:28" ht="15.6" hidden="1" outlineLevel="1">
      <c r="A256" s="391">
        <f>1+A255</f>
        <v>2</v>
      </c>
      <c r="B256" t="str">
        <f>+$B$33</f>
        <v>Churchill</v>
      </c>
      <c r="C256" s="5"/>
      <c r="D256" s="5">
        <f t="shared" si="129"/>
        <v>6980</v>
      </c>
      <c r="E256" s="1161">
        <f t="shared" si="130"/>
        <v>0</v>
      </c>
      <c r="F256" s="1161">
        <f t="shared" si="130"/>
        <v>0</v>
      </c>
      <c r="G256" s="1161">
        <f t="shared" si="130"/>
        <v>0</v>
      </c>
      <c r="H256" s="1161">
        <f t="shared" si="130"/>
        <v>0</v>
      </c>
      <c r="I256" s="1161">
        <f t="shared" si="130"/>
        <v>0</v>
      </c>
      <c r="J256" s="1151">
        <f t="shared" si="131"/>
        <v>0</v>
      </c>
      <c r="O256" s="400"/>
      <c r="P256" s="401"/>
      <c r="Q256" s="402"/>
      <c r="R256" s="402"/>
      <c r="S256" s="402"/>
      <c r="T256" s="403"/>
      <c r="U256" s="403"/>
      <c r="V256" s="403"/>
      <c r="W256" s="403"/>
      <c r="X256" s="391"/>
      <c r="Y256" s="391"/>
      <c r="Z256" s="404"/>
      <c r="AA256" s="405"/>
      <c r="AB256" s="405"/>
    </row>
    <row r="257" spans="1:28" ht="15.6" hidden="1" outlineLevel="1">
      <c r="A257" s="391">
        <f t="shared" ref="A257:A260" si="132">1+A256</f>
        <v>3</v>
      </c>
      <c r="B257" t="str">
        <f>+$B$34</f>
        <v>Clark</v>
      </c>
      <c r="C257" s="5"/>
      <c r="D257" s="5">
        <f t="shared" si="129"/>
        <v>6980</v>
      </c>
      <c r="E257" s="1161">
        <f t="shared" si="130"/>
        <v>0</v>
      </c>
      <c r="F257" s="1161">
        <f t="shared" si="130"/>
        <v>0</v>
      </c>
      <c r="G257" s="1161">
        <f t="shared" si="130"/>
        <v>0</v>
      </c>
      <c r="H257" s="1161">
        <f t="shared" si="130"/>
        <v>0</v>
      </c>
      <c r="I257" s="1161">
        <f t="shared" si="130"/>
        <v>0</v>
      </c>
      <c r="J257" s="1151">
        <f t="shared" si="131"/>
        <v>0</v>
      </c>
      <c r="O257" s="400"/>
      <c r="P257" s="401"/>
      <c r="Q257" s="402"/>
      <c r="R257" s="402"/>
      <c r="S257" s="402"/>
      <c r="T257" s="403"/>
      <c r="U257" s="403"/>
      <c r="V257" s="403"/>
      <c r="W257" s="403"/>
      <c r="X257" s="391"/>
      <c r="Y257" s="391"/>
      <c r="Z257" s="404"/>
      <c r="AA257" s="405"/>
      <c r="AB257" s="405"/>
    </row>
    <row r="258" spans="1:28" ht="15.6" hidden="1" outlineLevel="1">
      <c r="A258" s="391">
        <f t="shared" si="132"/>
        <v>4</v>
      </c>
      <c r="B258" t="str">
        <f>+$B$35</f>
        <v>Elko</v>
      </c>
      <c r="C258" s="5"/>
      <c r="D258" s="5">
        <f t="shared" si="129"/>
        <v>6980</v>
      </c>
      <c r="E258" s="1161">
        <f t="shared" si="130"/>
        <v>0</v>
      </c>
      <c r="F258" s="1161">
        <f t="shared" si="130"/>
        <v>0</v>
      </c>
      <c r="G258" s="1161">
        <f t="shared" si="130"/>
        <v>0</v>
      </c>
      <c r="H258" s="1161">
        <f t="shared" si="130"/>
        <v>0</v>
      </c>
      <c r="I258" s="1161">
        <f t="shared" si="130"/>
        <v>0</v>
      </c>
      <c r="J258" s="1151">
        <f t="shared" si="131"/>
        <v>0</v>
      </c>
      <c r="O258" s="400"/>
      <c r="P258" s="401"/>
      <c r="Q258" s="402"/>
      <c r="R258" s="402"/>
      <c r="S258" s="402"/>
      <c r="T258" s="403"/>
      <c r="U258" s="403"/>
      <c r="V258" s="403"/>
      <c r="W258" s="403"/>
      <c r="X258" s="391"/>
      <c r="Y258" s="391"/>
      <c r="Z258" s="404"/>
      <c r="AA258" s="405"/>
      <c r="AB258" s="405"/>
    </row>
    <row r="259" spans="1:28" ht="15.6" hidden="1" outlineLevel="1">
      <c r="A259" s="391">
        <f t="shared" si="132"/>
        <v>5</v>
      </c>
      <c r="B259" t="str">
        <f>+$B$36</f>
        <v>Washoe</v>
      </c>
      <c r="C259" s="5"/>
      <c r="D259" s="5">
        <f t="shared" si="129"/>
        <v>6980</v>
      </c>
      <c r="E259" s="1161">
        <f t="shared" si="130"/>
        <v>0</v>
      </c>
      <c r="F259" s="1161">
        <f t="shared" si="130"/>
        <v>0</v>
      </c>
      <c r="G259" s="1161">
        <f t="shared" si="130"/>
        <v>0</v>
      </c>
      <c r="H259" s="1161">
        <f t="shared" si="130"/>
        <v>0</v>
      </c>
      <c r="I259" s="1161">
        <f t="shared" si="130"/>
        <v>0</v>
      </c>
      <c r="J259" s="1151">
        <f t="shared" si="131"/>
        <v>0</v>
      </c>
      <c r="O259" s="400"/>
      <c r="P259" s="401"/>
      <c r="Q259" s="402"/>
      <c r="R259" s="402"/>
      <c r="S259" s="402"/>
      <c r="T259" s="403"/>
      <c r="U259" s="403"/>
      <c r="V259" s="403"/>
      <c r="W259" s="403"/>
      <c r="X259" s="391"/>
      <c r="Y259" s="391"/>
      <c r="Z259" s="404"/>
      <c r="AA259" s="405"/>
      <c r="AB259" s="405"/>
    </row>
    <row r="260" spans="1:28" ht="15.6" hidden="1" outlineLevel="1">
      <c r="A260" s="391">
        <f t="shared" si="132"/>
        <v>6</v>
      </c>
      <c r="B260" t="str">
        <f>+$B$37</f>
        <v>White Pine</v>
      </c>
      <c r="C260" s="5"/>
      <c r="D260" s="5">
        <f t="shared" si="129"/>
        <v>6980</v>
      </c>
      <c r="E260" s="1162">
        <f t="shared" si="130"/>
        <v>0</v>
      </c>
      <c r="F260" s="1162">
        <f t="shared" si="130"/>
        <v>0</v>
      </c>
      <c r="G260" s="1162">
        <f t="shared" si="130"/>
        <v>0</v>
      </c>
      <c r="H260" s="1162">
        <f t="shared" si="130"/>
        <v>0</v>
      </c>
      <c r="I260" s="1162">
        <f t="shared" si="130"/>
        <v>0</v>
      </c>
      <c r="J260" s="1151">
        <f t="shared" si="131"/>
        <v>0</v>
      </c>
      <c r="O260" s="400"/>
      <c r="P260" s="401"/>
      <c r="Q260" s="402"/>
      <c r="R260" s="402"/>
      <c r="S260" s="402"/>
      <c r="T260" s="403"/>
      <c r="U260" s="403"/>
      <c r="V260" s="403"/>
      <c r="W260" s="403"/>
      <c r="X260" s="391"/>
      <c r="Y260" s="391"/>
      <c r="Z260" s="404"/>
      <c r="AA260" s="405"/>
      <c r="AB260" s="405"/>
    </row>
    <row r="261" spans="1:28" ht="15.6" hidden="1" outlineLevel="1">
      <c r="A261" s="391"/>
      <c r="B261" s="1158" t="s">
        <v>123</v>
      </c>
      <c r="C261" s="1158"/>
      <c r="D261" s="1158"/>
      <c r="E261" s="1185">
        <f>SUM(E255:E260)</f>
        <v>0</v>
      </c>
      <c r="F261" s="1185">
        <f t="shared" ref="F261" si="133">SUM(F255:F260)</f>
        <v>0</v>
      </c>
      <c r="G261" s="1185">
        <f t="shared" ref="G261" si="134">SUM(G255:G260)</f>
        <v>0</v>
      </c>
      <c r="H261" s="1185">
        <f t="shared" ref="H261" si="135">SUM(H255:H260)</f>
        <v>0</v>
      </c>
      <c r="I261" s="1185">
        <f t="shared" ref="I261" si="136">SUM(I255:I260)</f>
        <v>0</v>
      </c>
      <c r="J261" s="1185">
        <f t="shared" si="131"/>
        <v>0</v>
      </c>
      <c r="O261" s="400"/>
      <c r="P261" s="401"/>
      <c r="Q261" s="402"/>
      <c r="R261" s="402"/>
      <c r="S261" s="402"/>
      <c r="T261" s="403"/>
      <c r="U261" s="403"/>
      <c r="V261" s="403"/>
      <c r="W261" s="403"/>
      <c r="X261" s="391"/>
      <c r="Y261" s="391"/>
      <c r="Z261" s="404"/>
      <c r="AA261" s="405"/>
      <c r="AB261" s="405"/>
    </row>
    <row r="262" spans="1:28" ht="15.6" hidden="1" outlineLevel="1">
      <c r="A262" s="391"/>
      <c r="O262" s="400"/>
      <c r="P262" s="401"/>
      <c r="Q262" s="402"/>
      <c r="R262" s="402"/>
      <c r="S262" s="402"/>
      <c r="T262" s="403"/>
      <c r="U262" s="403"/>
      <c r="V262" s="403"/>
      <c r="W262" s="403"/>
      <c r="X262" s="391"/>
      <c r="Y262" s="391"/>
      <c r="Z262" s="404"/>
      <c r="AA262" s="405"/>
      <c r="AB262" s="405"/>
    </row>
    <row r="263" spans="1:28" ht="15.6" hidden="1" outlineLevel="1">
      <c r="A263" s="391"/>
      <c r="B263" s="1158" t="s">
        <v>1017</v>
      </c>
      <c r="C263" s="1158"/>
      <c r="D263" s="1158"/>
      <c r="E263" s="1185">
        <f>+E251+E261</f>
        <v>0</v>
      </c>
      <c r="F263" s="1185">
        <f t="shared" ref="F263:I263" si="137">+F251+F261</f>
        <v>173694.54078088093</v>
      </c>
      <c r="G263" s="1185">
        <f t="shared" si="137"/>
        <v>33504</v>
      </c>
      <c r="H263" s="1185">
        <f t="shared" si="137"/>
        <v>6281.9999999999991</v>
      </c>
      <c r="I263" s="1185">
        <f t="shared" si="137"/>
        <v>837.6</v>
      </c>
      <c r="J263" s="1187">
        <f>SUM(E263:I263)</f>
        <v>214318.14078088093</v>
      </c>
      <c r="O263" s="400"/>
      <c r="P263" s="401"/>
      <c r="Q263" s="402"/>
      <c r="R263" s="402"/>
      <c r="S263" s="402"/>
      <c r="T263" s="403"/>
      <c r="U263" s="403"/>
      <c r="V263" s="403"/>
      <c r="W263" s="403"/>
      <c r="X263" s="391"/>
      <c r="Y263" s="391"/>
      <c r="Z263" s="404"/>
      <c r="AA263" s="405"/>
      <c r="AB263" s="405"/>
    </row>
    <row r="264" spans="1:28" ht="15.6" hidden="1" outlineLevel="1">
      <c r="A264" s="391"/>
      <c r="O264" s="400"/>
      <c r="P264" s="401"/>
      <c r="Q264" s="402"/>
      <c r="R264" s="402"/>
      <c r="S264" s="402"/>
      <c r="T264" s="403"/>
      <c r="U264" s="403"/>
      <c r="V264" s="403"/>
      <c r="W264" s="403"/>
      <c r="X264" s="391"/>
      <c r="Y264" s="391"/>
      <c r="Z264" s="404"/>
      <c r="AA264" s="405"/>
      <c r="AB264" s="405"/>
    </row>
    <row r="265" spans="1:28" ht="15.6" hidden="1" outlineLevel="1">
      <c r="A265" s="391"/>
      <c r="O265" s="400"/>
      <c r="P265" s="401"/>
      <c r="Q265" s="402"/>
      <c r="R265" s="402"/>
      <c r="S265" s="402"/>
      <c r="T265" s="403"/>
      <c r="U265" s="403"/>
      <c r="V265" s="403"/>
      <c r="W265" s="403"/>
      <c r="X265" s="391"/>
      <c r="Y265" s="391"/>
      <c r="Z265" s="404"/>
      <c r="AA265" s="405"/>
      <c r="AB265" s="405"/>
    </row>
    <row r="266" spans="1:28" ht="15.6" hidden="1" outlineLevel="1">
      <c r="A266" s="391"/>
      <c r="O266" s="391"/>
      <c r="P266" s="406"/>
      <c r="Q266" s="406"/>
      <c r="R266" s="406"/>
      <c r="S266" s="406"/>
      <c r="T266" s="391"/>
      <c r="U266" s="391"/>
      <c r="V266" s="391"/>
      <c r="W266" s="391"/>
      <c r="X266" s="391"/>
      <c r="Y266" s="391"/>
      <c r="Z266" s="391"/>
      <c r="AA266" s="391"/>
      <c r="AB266" s="391"/>
    </row>
    <row r="267" spans="1:28" ht="15.6" hidden="1" outlineLevel="1">
      <c r="A267" s="391"/>
      <c r="B267" s="1174" t="s">
        <v>326</v>
      </c>
      <c r="C267" s="1174"/>
      <c r="D267" s="1174"/>
      <c r="E267" s="1175"/>
      <c r="F267" s="1175"/>
      <c r="G267" s="1175"/>
      <c r="H267" s="1175"/>
      <c r="I267" s="1175"/>
      <c r="J267" s="1175"/>
      <c r="O267" s="391"/>
      <c r="P267" s="406"/>
      <c r="Q267" s="406"/>
      <c r="R267" s="406"/>
      <c r="S267" s="406"/>
      <c r="T267" s="391"/>
      <c r="U267" s="391"/>
      <c r="V267" s="391"/>
      <c r="W267" s="391"/>
      <c r="X267" s="391"/>
      <c r="Y267" s="391"/>
      <c r="Z267" s="391"/>
      <c r="AA267" s="391"/>
      <c r="AB267" s="391"/>
    </row>
    <row r="268" spans="1:28" ht="15.6" hidden="1" outlineLevel="1">
      <c r="A268" s="391"/>
      <c r="B268" s="1169" t="s">
        <v>1002</v>
      </c>
      <c r="C268" s="1169"/>
      <c r="D268" s="1169"/>
      <c r="E268" s="1094"/>
      <c r="F268" s="1094"/>
      <c r="G268" s="1169"/>
      <c r="H268" s="1094"/>
      <c r="I268" s="1094"/>
      <c r="J268" s="1170"/>
      <c r="O268" s="391"/>
      <c r="P268" s="406"/>
      <c r="Q268" s="406"/>
      <c r="R268" s="406"/>
      <c r="S268" s="406"/>
      <c r="T268" s="391"/>
      <c r="U268" s="391"/>
      <c r="V268" s="391"/>
      <c r="W268" s="391"/>
      <c r="X268" s="391"/>
      <c r="Y268" s="391"/>
      <c r="Z268" s="391"/>
      <c r="AA268" s="391"/>
      <c r="AB268" s="391"/>
    </row>
    <row r="269" spans="1:28" ht="15.6" hidden="1" outlineLevel="1">
      <c r="A269" s="391"/>
      <c r="B269" s="1082"/>
      <c r="C269" s="1082"/>
      <c r="D269" s="1082"/>
      <c r="E269" s="1082" t="s">
        <v>1013</v>
      </c>
      <c r="F269" s="434"/>
      <c r="G269" s="1082"/>
      <c r="H269" s="434"/>
      <c r="I269" s="434"/>
      <c r="J269" s="1165"/>
      <c r="O269" s="391"/>
      <c r="P269" s="406"/>
      <c r="Q269" s="406"/>
      <c r="R269" s="406"/>
      <c r="S269" s="406"/>
      <c r="T269" s="391"/>
      <c r="U269" s="391"/>
      <c r="V269" s="391"/>
      <c r="W269" s="391"/>
      <c r="X269" s="391"/>
      <c r="Y269" s="391"/>
      <c r="Z269" s="391"/>
      <c r="AA269" s="391"/>
      <c r="AB269" s="391"/>
    </row>
    <row r="270" spans="1:28" ht="15.6" hidden="1" outlineLevel="1">
      <c r="A270" s="391"/>
      <c r="B270" s="1085"/>
      <c r="C270" s="1085"/>
      <c r="D270" s="1085"/>
      <c r="E270" s="1085" t="s">
        <v>489</v>
      </c>
      <c r="F270" s="1085" t="s">
        <v>992</v>
      </c>
      <c r="G270" s="1085" t="s">
        <v>993</v>
      </c>
      <c r="H270" s="1085" t="s">
        <v>982</v>
      </c>
      <c r="I270" s="1085" t="s">
        <v>994</v>
      </c>
      <c r="J270" s="1085" t="s">
        <v>123</v>
      </c>
      <c r="O270" s="391"/>
      <c r="P270" s="406"/>
      <c r="Q270" s="406"/>
      <c r="R270" s="406"/>
      <c r="S270" s="406"/>
      <c r="T270" s="391"/>
      <c r="U270" s="391"/>
      <c r="V270" s="391"/>
      <c r="W270" s="391"/>
      <c r="X270" s="391"/>
      <c r="Y270" s="391"/>
      <c r="Z270" s="391"/>
      <c r="AA270" s="391"/>
      <c r="AB270" s="391"/>
    </row>
    <row r="271" spans="1:28" ht="15.6" hidden="1" outlineLevel="1">
      <c r="A271" s="391">
        <v>1</v>
      </c>
      <c r="B271" t="str">
        <f>+B$32</f>
        <v xml:space="preserve">Carson City </v>
      </c>
      <c r="C271" s="526"/>
      <c r="D271" s="526">
        <f>E180</f>
        <v>0</v>
      </c>
      <c r="E271" s="1182">
        <f>+E284+E294</f>
        <v>0</v>
      </c>
      <c r="F271" s="1182">
        <f t="shared" ref="F271:I271" si="138">+F284+F294</f>
        <v>0</v>
      </c>
      <c r="G271" s="1182">
        <f t="shared" si="138"/>
        <v>0</v>
      </c>
      <c r="H271" s="1182">
        <f t="shared" si="138"/>
        <v>0</v>
      </c>
      <c r="I271" s="1182">
        <f t="shared" si="138"/>
        <v>0</v>
      </c>
      <c r="J271" s="1180">
        <f t="shared" ref="J271:J278" si="139">SUM(E271:I271)</f>
        <v>0</v>
      </c>
      <c r="O271" s="391"/>
      <c r="P271" s="406"/>
      <c r="Q271" s="406"/>
      <c r="R271" s="406"/>
      <c r="S271" s="406"/>
      <c r="T271" s="391"/>
      <c r="U271" s="391"/>
      <c r="V271" s="391"/>
      <c r="W271" s="391"/>
      <c r="X271" s="391"/>
      <c r="Y271" s="391"/>
      <c r="Z271" s="391"/>
      <c r="AA271" s="391"/>
      <c r="AB271" s="391"/>
    </row>
    <row r="272" spans="1:28" ht="15.6" hidden="1" outlineLevel="1">
      <c r="A272" s="391">
        <f>1+A271</f>
        <v>2</v>
      </c>
      <c r="B272" t="str">
        <f>+$B$33</f>
        <v>Churchill</v>
      </c>
      <c r="C272" s="5"/>
      <c r="D272" s="5">
        <f t="shared" ref="D272:D276" si="140">E181</f>
        <v>0</v>
      </c>
      <c r="E272" s="1146">
        <f t="shared" ref="E272:I272" si="141">+E285+E295</f>
        <v>0</v>
      </c>
      <c r="F272" s="1146">
        <f t="shared" si="141"/>
        <v>0</v>
      </c>
      <c r="G272" s="1146">
        <f t="shared" si="141"/>
        <v>0</v>
      </c>
      <c r="H272" s="1146">
        <f t="shared" si="141"/>
        <v>0</v>
      </c>
      <c r="I272" s="1146">
        <f t="shared" si="141"/>
        <v>0</v>
      </c>
      <c r="J272" s="1146">
        <f t="shared" si="139"/>
        <v>0</v>
      </c>
      <c r="O272" s="391"/>
      <c r="P272" s="406"/>
      <c r="Q272" s="406"/>
      <c r="R272" s="406"/>
      <c r="S272" s="406"/>
      <c r="T272" s="391"/>
      <c r="U272" s="391"/>
      <c r="V272" s="391"/>
      <c r="W272" s="391"/>
      <c r="X272" s="391"/>
      <c r="Y272" s="391"/>
      <c r="Z272" s="391"/>
      <c r="AA272" s="391"/>
      <c r="AB272" s="391"/>
    </row>
    <row r="273" spans="1:28" ht="15.6" hidden="1" outlineLevel="1">
      <c r="A273" s="391">
        <f t="shared" ref="A273:A276" si="142">1+A272</f>
        <v>3</v>
      </c>
      <c r="B273" t="str">
        <f>+$B$34</f>
        <v>Clark</v>
      </c>
      <c r="C273" s="5"/>
      <c r="D273" s="5" t="str">
        <f t="shared" si="140"/>
        <v>General</v>
      </c>
      <c r="E273" s="1146" t="e">
        <f t="shared" ref="E273:I273" si="143">+E286+E296</f>
        <v>#VALUE!</v>
      </c>
      <c r="F273" s="1146" t="e">
        <f t="shared" si="143"/>
        <v>#VALUE!</v>
      </c>
      <c r="G273" s="1146" t="e">
        <f t="shared" si="143"/>
        <v>#VALUE!</v>
      </c>
      <c r="H273" s="1146" t="e">
        <f t="shared" si="143"/>
        <v>#VALUE!</v>
      </c>
      <c r="I273" s="1146" t="e">
        <f t="shared" si="143"/>
        <v>#VALUE!</v>
      </c>
      <c r="J273" s="1146" t="e">
        <f t="shared" si="139"/>
        <v>#VALUE!</v>
      </c>
      <c r="O273" s="391"/>
      <c r="P273" s="406"/>
      <c r="Q273" s="406"/>
      <c r="R273" s="406"/>
      <c r="S273" s="406"/>
      <c r="T273" s="391"/>
      <c r="U273" s="391"/>
      <c r="V273" s="391"/>
      <c r="W273" s="391"/>
      <c r="X273" s="391"/>
      <c r="Y273" s="391"/>
      <c r="Z273" s="391"/>
      <c r="AA273" s="391"/>
      <c r="AB273" s="391"/>
    </row>
    <row r="274" spans="1:28" ht="15.6" hidden="1" outlineLevel="1">
      <c r="A274" s="391">
        <f t="shared" si="142"/>
        <v>4</v>
      </c>
      <c r="B274" t="str">
        <f>+$B$35</f>
        <v>Elko</v>
      </c>
      <c r="C274" s="5"/>
      <c r="D274" s="5">
        <f t="shared" si="140"/>
        <v>100</v>
      </c>
      <c r="E274" s="1146">
        <f>+E287+E297</f>
        <v>797433.33333333326</v>
      </c>
      <c r="F274" s="1146">
        <f t="shared" ref="F274:I274" si="144">+F287+F297</f>
        <v>3907771.4722998859</v>
      </c>
      <c r="G274" s="1146">
        <f t="shared" si="144"/>
        <v>1425172.8533333335</v>
      </c>
      <c r="H274" s="1146">
        <f t="shared" si="144"/>
        <v>824705.55333333334</v>
      </c>
      <c r="I274" s="1146">
        <f t="shared" si="144"/>
        <v>962023.57333333336</v>
      </c>
      <c r="J274" s="1146">
        <f t="shared" si="139"/>
        <v>7917106.7856332194</v>
      </c>
      <c r="O274" s="391"/>
      <c r="P274" s="406"/>
      <c r="Q274" s="406"/>
      <c r="R274" s="406"/>
      <c r="S274" s="406"/>
      <c r="T274" s="391"/>
      <c r="U274" s="391"/>
      <c r="V274" s="391"/>
      <c r="W274" s="391"/>
      <c r="X274" s="391"/>
      <c r="Y274" s="391"/>
      <c r="Z274" s="391"/>
      <c r="AA274" s="391"/>
      <c r="AB274" s="391"/>
    </row>
    <row r="275" spans="1:28" ht="15.6" hidden="1" outlineLevel="1">
      <c r="A275" s="391">
        <f t="shared" si="142"/>
        <v>5</v>
      </c>
      <c r="B275" t="str">
        <f>+$B$36</f>
        <v>Washoe</v>
      </c>
      <c r="C275" s="5"/>
      <c r="D275" s="5">
        <f t="shared" si="140"/>
        <v>0</v>
      </c>
      <c r="E275" s="1157">
        <f t="shared" ref="E275:I275" si="145">+E288+E298</f>
        <v>0</v>
      </c>
      <c r="F275" s="1157">
        <f t="shared" si="145"/>
        <v>0</v>
      </c>
      <c r="G275" s="1157">
        <f t="shared" si="145"/>
        <v>0</v>
      </c>
      <c r="H275" s="1157">
        <f t="shared" si="145"/>
        <v>0</v>
      </c>
      <c r="I275" s="1157">
        <f t="shared" si="145"/>
        <v>0</v>
      </c>
      <c r="J275" s="1146">
        <f t="shared" si="139"/>
        <v>0</v>
      </c>
      <c r="O275" s="391"/>
      <c r="P275" s="406"/>
      <c r="Q275" s="406"/>
      <c r="R275" s="406"/>
      <c r="S275" s="406"/>
      <c r="T275" s="391"/>
      <c r="U275" s="391"/>
      <c r="V275" s="391"/>
      <c r="W275" s="391"/>
      <c r="X275" s="391"/>
      <c r="Y275" s="391"/>
      <c r="Z275" s="391"/>
      <c r="AA275" s="391"/>
      <c r="AB275" s="391"/>
    </row>
    <row r="276" spans="1:28" ht="15.6" hidden="1" outlineLevel="1">
      <c r="A276" s="391">
        <f t="shared" si="142"/>
        <v>6</v>
      </c>
      <c r="B276" t="str">
        <f>+$B$37</f>
        <v>White Pine</v>
      </c>
      <c r="C276" s="5"/>
      <c r="D276" s="5">
        <f t="shared" si="140"/>
        <v>0</v>
      </c>
      <c r="E276" s="1157" t="e">
        <f t="shared" ref="E276:I276" si="146">+E289+E299</f>
        <v>#VALUE!</v>
      </c>
      <c r="F276" s="1157">
        <f t="shared" si="146"/>
        <v>0</v>
      </c>
      <c r="G276" s="1157">
        <f t="shared" si="146"/>
        <v>0</v>
      </c>
      <c r="H276" s="1157">
        <f t="shared" si="146"/>
        <v>0</v>
      </c>
      <c r="I276" s="1157">
        <f t="shared" si="146"/>
        <v>0</v>
      </c>
      <c r="J276" s="1157" t="e">
        <f t="shared" si="139"/>
        <v>#VALUE!</v>
      </c>
      <c r="O276" s="391"/>
      <c r="P276" s="406"/>
      <c r="Q276" s="406"/>
      <c r="R276" s="406"/>
      <c r="S276" s="406"/>
      <c r="T276" s="391"/>
      <c r="U276" s="391"/>
      <c r="V276" s="391"/>
      <c r="W276" s="391"/>
      <c r="X276" s="391"/>
      <c r="Y276" s="391"/>
      <c r="Z276" s="391"/>
      <c r="AA276" s="391"/>
      <c r="AB276" s="391"/>
    </row>
    <row r="277" spans="1:28" ht="15.6" hidden="1" outlineLevel="1">
      <c r="A277" s="391"/>
      <c r="B277" s="1158" t="s">
        <v>406</v>
      </c>
      <c r="C277" s="1158"/>
      <c r="D277" s="1158"/>
      <c r="E277" s="1181" t="e">
        <f>SUM(E271:E276)</f>
        <v>#VALUE!</v>
      </c>
      <c r="F277" s="1181" t="e">
        <f>SUM(F271:F276)</f>
        <v>#VALUE!</v>
      </c>
      <c r="G277" s="1181" t="e">
        <f t="shared" ref="G277" si="147">SUM(G271:G276)</f>
        <v>#VALUE!</v>
      </c>
      <c r="H277" s="1181" t="e">
        <f t="shared" ref="H277" si="148">SUM(H271:H276)</f>
        <v>#VALUE!</v>
      </c>
      <c r="I277" s="1181" t="e">
        <f t="shared" ref="I277" si="149">SUM(I271:I276)</f>
        <v>#VALUE!</v>
      </c>
      <c r="J277" s="1183" t="e">
        <f t="shared" si="139"/>
        <v>#VALUE!</v>
      </c>
      <c r="O277" s="391"/>
      <c r="P277" s="406"/>
      <c r="Q277" s="406"/>
      <c r="R277" s="406"/>
      <c r="S277" s="406"/>
      <c r="T277" s="391"/>
      <c r="U277" s="391"/>
      <c r="V277" s="391"/>
      <c r="W277" s="391"/>
      <c r="X277" s="391"/>
      <c r="Y277" s="391"/>
      <c r="Z277" s="391"/>
      <c r="AA277" s="391"/>
      <c r="AB277" s="391"/>
    </row>
    <row r="278" spans="1:28" ht="15.6" hidden="1" outlineLevel="1">
      <c r="A278" s="391"/>
      <c r="B278" s="1" t="s">
        <v>405</v>
      </c>
      <c r="E278" s="1151" t="str">
        <f>+E208</f>
        <v>General</v>
      </c>
      <c r="F278" s="1151" t="str">
        <f t="shared" ref="F278:I278" si="150">+F208</f>
        <v>SpEd</v>
      </c>
      <c r="G278" s="1151" t="str">
        <f t="shared" si="150"/>
        <v>EL</v>
      </c>
      <c r="H278" s="1151" t="str">
        <f t="shared" si="150"/>
        <v>AR</v>
      </c>
      <c r="I278" s="1151" t="str">
        <f t="shared" si="150"/>
        <v>G&amp;T</v>
      </c>
      <c r="J278" s="1151">
        <f t="shared" si="139"/>
        <v>0</v>
      </c>
      <c r="O278" s="391"/>
      <c r="P278" s="406"/>
      <c r="Q278" s="406"/>
      <c r="R278" s="406"/>
      <c r="S278" s="406"/>
      <c r="T278" s="391"/>
      <c r="U278" s="391"/>
      <c r="V278" s="391"/>
      <c r="W278" s="391"/>
      <c r="X278" s="391"/>
      <c r="Y278" s="391"/>
      <c r="Z278" s="391"/>
      <c r="AA278" s="391"/>
      <c r="AB278" s="391"/>
    </row>
    <row r="279" spans="1:28" ht="15.6" hidden="1" outlineLevel="1">
      <c r="A279" s="391"/>
      <c r="B279" s="1158" t="s">
        <v>1020</v>
      </c>
      <c r="C279" s="1168"/>
      <c r="D279" s="1168"/>
      <c r="E279" s="1185" t="e">
        <f t="shared" ref="E279" si="151">+E277/E278</f>
        <v>#VALUE!</v>
      </c>
      <c r="F279" s="1185" t="e">
        <f t="shared" ref="F279" si="152">+F277/F278</f>
        <v>#VALUE!</v>
      </c>
      <c r="G279" s="1185" t="e">
        <f t="shared" ref="G279" si="153">+G277/G278</f>
        <v>#VALUE!</v>
      </c>
      <c r="H279" s="1185" t="e">
        <f t="shared" ref="H279" si="154">+H277/H278</f>
        <v>#VALUE!</v>
      </c>
      <c r="I279" s="1185" t="e">
        <f t="shared" ref="I279" si="155">+I277/I278</f>
        <v>#VALUE!</v>
      </c>
      <c r="J279" s="1185" t="e">
        <f>+J277/J278</f>
        <v>#VALUE!</v>
      </c>
      <c r="O279" s="391"/>
      <c r="P279" s="406"/>
      <c r="Q279" s="406"/>
      <c r="R279" s="406"/>
      <c r="S279" s="406"/>
      <c r="T279" s="391"/>
      <c r="U279" s="391"/>
      <c r="V279" s="391"/>
      <c r="W279" s="391"/>
      <c r="X279" s="391"/>
      <c r="Y279" s="391"/>
      <c r="Z279" s="391"/>
      <c r="AA279" s="391"/>
      <c r="AB279" s="391"/>
    </row>
    <row r="280" spans="1:28" ht="15.6" hidden="1" outlineLevel="1">
      <c r="A280" s="391"/>
      <c r="B280" s="1"/>
      <c r="J280" s="1151"/>
      <c r="O280" s="391"/>
      <c r="P280" s="406"/>
      <c r="Q280" s="406"/>
      <c r="R280" s="406"/>
      <c r="S280" s="406"/>
      <c r="T280" s="391"/>
      <c r="U280" s="391"/>
      <c r="V280" s="391"/>
      <c r="W280" s="391"/>
      <c r="X280" s="391"/>
      <c r="Y280" s="391"/>
      <c r="Z280" s="391"/>
      <c r="AA280" s="391"/>
      <c r="AB280" s="391"/>
    </row>
    <row r="281" spans="1:28" ht="15.6" hidden="1" outlineLevel="1">
      <c r="A281" s="391"/>
      <c r="E281" s="1082" t="s">
        <v>1021</v>
      </c>
      <c r="F281" s="434"/>
      <c r="G281" s="1082"/>
      <c r="H281" s="1082"/>
      <c r="I281" s="1082"/>
      <c r="J281" s="434"/>
      <c r="O281" s="391"/>
      <c r="P281" s="406"/>
      <c r="Q281" s="406"/>
      <c r="R281" s="406"/>
      <c r="S281" s="406"/>
      <c r="T281" s="391"/>
      <c r="U281" s="391"/>
      <c r="V281" s="391"/>
      <c r="W281" s="391"/>
      <c r="X281" s="391"/>
      <c r="Y281" s="391"/>
      <c r="Z281" s="391"/>
      <c r="AA281" s="391"/>
      <c r="AB281" s="391"/>
    </row>
    <row r="282" spans="1:28" ht="15.6" hidden="1" outlineLevel="1">
      <c r="A282" s="391"/>
      <c r="E282" s="1085" t="s">
        <v>489</v>
      </c>
      <c r="F282" s="1085" t="s">
        <v>992</v>
      </c>
      <c r="G282" s="1085" t="s">
        <v>993</v>
      </c>
      <c r="H282" s="1085" t="s">
        <v>982</v>
      </c>
      <c r="I282" s="1085" t="s">
        <v>994</v>
      </c>
      <c r="J282" s="1147"/>
      <c r="O282" s="391"/>
      <c r="P282" s="406"/>
      <c r="Q282" s="406"/>
      <c r="R282" s="406"/>
      <c r="S282" s="406"/>
      <c r="T282" s="391"/>
      <c r="U282" s="391"/>
      <c r="V282" s="391"/>
      <c r="W282" s="391"/>
      <c r="X282" s="391"/>
      <c r="Y282" s="391"/>
      <c r="Z282" s="391"/>
      <c r="AA282" s="391"/>
      <c r="AB282" s="391"/>
    </row>
    <row r="283" spans="1:28" ht="15.6" hidden="1" outlineLevel="1">
      <c r="A283" s="391"/>
      <c r="B283" s="1085" t="s">
        <v>1015</v>
      </c>
      <c r="C283" s="1085"/>
      <c r="D283" s="1085"/>
      <c r="E283" s="1191">
        <v>0</v>
      </c>
      <c r="F283" s="1190">
        <f>+F212</f>
        <v>11021.2</v>
      </c>
      <c r="G283" s="1190">
        <f t="shared" ref="G283:I283" si="156">+G212</f>
        <v>3454.56</v>
      </c>
      <c r="H283" s="1190">
        <f t="shared" si="156"/>
        <v>647.73</v>
      </c>
      <c r="I283" s="1190">
        <f t="shared" si="156"/>
        <v>863.64</v>
      </c>
      <c r="J283" s="1085" t="s">
        <v>123</v>
      </c>
      <c r="O283" s="391"/>
      <c r="P283" s="406"/>
      <c r="Q283" s="406"/>
      <c r="R283" s="406"/>
      <c r="S283" s="406"/>
      <c r="T283" s="391"/>
      <c r="U283" s="391"/>
      <c r="V283" s="391"/>
      <c r="W283" s="391"/>
      <c r="X283" s="391"/>
      <c r="Y283" s="391"/>
      <c r="Z283" s="391"/>
      <c r="AA283" s="391"/>
      <c r="AB283" s="391"/>
    </row>
    <row r="284" spans="1:28" ht="15.6" hidden="1" outlineLevel="1">
      <c r="A284" s="391">
        <v>1</v>
      </c>
      <c r="B284" t="str">
        <f>+B$32</f>
        <v xml:space="preserve">Carson City </v>
      </c>
      <c r="C284" s="526"/>
      <c r="D284" s="526">
        <f>E180</f>
        <v>0</v>
      </c>
      <c r="E284" s="1149"/>
      <c r="F284" s="1176">
        <f t="shared" ref="F284:I289" si="157">F$209*F213*$D284</f>
        <v>0</v>
      </c>
      <c r="G284" s="1176">
        <f t="shared" si="157"/>
        <v>0</v>
      </c>
      <c r="H284" s="1176">
        <f t="shared" si="157"/>
        <v>0</v>
      </c>
      <c r="I284" s="1176">
        <f t="shared" si="157"/>
        <v>0</v>
      </c>
      <c r="J284" s="1180">
        <f t="shared" ref="J284:J290" si="158">SUM(E284:I284)</f>
        <v>0</v>
      </c>
      <c r="O284" s="391"/>
      <c r="P284" s="406"/>
      <c r="Q284" s="406"/>
      <c r="R284" s="406"/>
      <c r="S284" s="406"/>
      <c r="T284" s="391"/>
      <c r="U284" s="391"/>
      <c r="V284" s="391"/>
      <c r="W284" s="391"/>
      <c r="X284" s="391"/>
      <c r="Y284" s="391"/>
      <c r="Z284" s="391"/>
      <c r="AA284" s="391"/>
      <c r="AB284" s="391"/>
    </row>
    <row r="285" spans="1:28" ht="15.6" hidden="1" outlineLevel="1">
      <c r="A285" s="391">
        <f>1+A284</f>
        <v>2</v>
      </c>
      <c r="B285" t="str">
        <f>+$B$33</f>
        <v>Churchill</v>
      </c>
      <c r="C285" s="5"/>
      <c r="D285" s="5">
        <f t="shared" ref="D285:D289" si="159">E181</f>
        <v>0</v>
      </c>
      <c r="E285" s="1149"/>
      <c r="F285" s="1177">
        <f t="shared" si="157"/>
        <v>0</v>
      </c>
      <c r="G285" s="1177">
        <f t="shared" si="157"/>
        <v>0</v>
      </c>
      <c r="H285" s="1177">
        <f t="shared" si="157"/>
        <v>0</v>
      </c>
      <c r="I285" s="1177">
        <f t="shared" si="157"/>
        <v>0</v>
      </c>
      <c r="J285" s="1146">
        <f t="shared" si="158"/>
        <v>0</v>
      </c>
      <c r="O285" s="391"/>
      <c r="P285" s="406"/>
      <c r="Q285" s="406"/>
      <c r="R285" s="406"/>
      <c r="S285" s="406"/>
      <c r="T285" s="391"/>
      <c r="U285" s="391"/>
      <c r="V285" s="391"/>
      <c r="W285" s="391"/>
      <c r="X285" s="391"/>
      <c r="Y285" s="391"/>
      <c r="Z285" s="391"/>
      <c r="AA285" s="391"/>
      <c r="AB285" s="391"/>
    </row>
    <row r="286" spans="1:28" ht="15.6" hidden="1" outlineLevel="1">
      <c r="A286" s="391">
        <f t="shared" ref="A286:A289" si="160">1+A285</f>
        <v>3</v>
      </c>
      <c r="B286" t="str">
        <f>+$B$34</f>
        <v>Clark</v>
      </c>
      <c r="C286" s="5"/>
      <c r="D286" s="5" t="str">
        <f t="shared" si="159"/>
        <v>General</v>
      </c>
      <c r="E286" s="1149"/>
      <c r="F286" s="1177" t="e">
        <f t="shared" si="157"/>
        <v>#VALUE!</v>
      </c>
      <c r="G286" s="1177" t="e">
        <f t="shared" si="157"/>
        <v>#VALUE!</v>
      </c>
      <c r="H286" s="1177" t="e">
        <f t="shared" si="157"/>
        <v>#VALUE!</v>
      </c>
      <c r="I286" s="1177" t="e">
        <f t="shared" si="157"/>
        <v>#VALUE!</v>
      </c>
      <c r="J286" s="1146" t="e">
        <f t="shared" si="158"/>
        <v>#VALUE!</v>
      </c>
      <c r="O286" s="391"/>
      <c r="P286" s="406"/>
      <c r="Q286" s="406"/>
      <c r="R286" s="406"/>
      <c r="S286" s="406"/>
      <c r="T286" s="391"/>
      <c r="U286" s="391"/>
      <c r="V286" s="391"/>
      <c r="W286" s="391"/>
      <c r="X286" s="391"/>
      <c r="Y286" s="391"/>
      <c r="Z286" s="391"/>
      <c r="AA286" s="391"/>
      <c r="AB286" s="391"/>
    </row>
    <row r="287" spans="1:28" ht="15.6" hidden="1" outlineLevel="1">
      <c r="A287" s="391">
        <f t="shared" si="160"/>
        <v>4</v>
      </c>
      <c r="B287" t="str">
        <f>+$B$35</f>
        <v>Elko</v>
      </c>
      <c r="C287" s="5"/>
      <c r="D287" s="5">
        <f t="shared" si="159"/>
        <v>100</v>
      </c>
      <c r="E287" s="1149"/>
      <c r="F287" s="1177">
        <f t="shared" si="157"/>
        <v>2805048.7040168052</v>
      </c>
      <c r="G287" s="1177">
        <f t="shared" si="157"/>
        <v>551185.92000000004</v>
      </c>
      <c r="H287" s="1177">
        <f t="shared" si="157"/>
        <v>12918.419999999998</v>
      </c>
      <c r="I287" s="1177">
        <f t="shared" si="157"/>
        <v>68898.240000000005</v>
      </c>
      <c r="J287" s="1146">
        <f t="shared" si="158"/>
        <v>3438051.2840168052</v>
      </c>
      <c r="O287" s="391"/>
      <c r="P287" s="406"/>
      <c r="Q287" s="406"/>
      <c r="R287" s="406"/>
      <c r="S287" s="406"/>
      <c r="T287" s="391"/>
      <c r="U287" s="391"/>
      <c r="V287" s="391"/>
      <c r="W287" s="391"/>
      <c r="X287" s="391"/>
      <c r="Y287" s="391"/>
      <c r="Z287" s="391"/>
      <c r="AA287" s="391"/>
      <c r="AB287" s="391"/>
    </row>
    <row r="288" spans="1:28" ht="15.6" hidden="1" outlineLevel="1">
      <c r="A288" s="391">
        <f t="shared" si="160"/>
        <v>5</v>
      </c>
      <c r="B288" t="str">
        <f>+$B$36</f>
        <v>Washoe</v>
      </c>
      <c r="C288" s="5"/>
      <c r="D288" s="5">
        <f t="shared" si="159"/>
        <v>0</v>
      </c>
      <c r="E288" s="1149"/>
      <c r="F288" s="1177">
        <f t="shared" si="157"/>
        <v>0</v>
      </c>
      <c r="G288" s="1177">
        <f t="shared" si="157"/>
        <v>0</v>
      </c>
      <c r="H288" s="1177">
        <f t="shared" si="157"/>
        <v>0</v>
      </c>
      <c r="I288" s="1177">
        <f t="shared" si="157"/>
        <v>0</v>
      </c>
      <c r="J288" s="1146">
        <f t="shared" si="158"/>
        <v>0</v>
      </c>
      <c r="O288" s="391"/>
      <c r="P288" s="406"/>
      <c r="Q288" s="406"/>
      <c r="R288" s="406"/>
      <c r="S288" s="406"/>
      <c r="T288" s="391"/>
      <c r="U288" s="391"/>
      <c r="V288" s="391"/>
      <c r="W288" s="391"/>
      <c r="X288" s="391"/>
      <c r="Y288" s="391"/>
      <c r="Z288" s="391"/>
      <c r="AA288" s="391"/>
      <c r="AB288" s="391"/>
    </row>
    <row r="289" spans="1:28" ht="15.6" hidden="1" outlineLevel="1">
      <c r="A289" s="391">
        <f t="shared" si="160"/>
        <v>6</v>
      </c>
      <c r="B289" t="str">
        <f>+$B$37</f>
        <v>White Pine</v>
      </c>
      <c r="C289" s="5"/>
      <c r="D289" s="5">
        <f t="shared" si="159"/>
        <v>0</v>
      </c>
      <c r="E289" s="1149"/>
      <c r="F289" s="1178">
        <f t="shared" si="157"/>
        <v>0</v>
      </c>
      <c r="G289" s="1178">
        <f t="shared" si="157"/>
        <v>0</v>
      </c>
      <c r="H289" s="1178">
        <f t="shared" si="157"/>
        <v>0</v>
      </c>
      <c r="I289" s="1178">
        <f t="shared" si="157"/>
        <v>0</v>
      </c>
      <c r="J289" s="1157">
        <f t="shared" si="158"/>
        <v>0</v>
      </c>
      <c r="O289" s="391"/>
      <c r="P289" s="406"/>
      <c r="Q289" s="406"/>
      <c r="R289" s="406"/>
      <c r="S289" s="406"/>
      <c r="T289" s="391"/>
      <c r="U289" s="391"/>
      <c r="V289" s="391"/>
      <c r="W289" s="391"/>
      <c r="X289" s="391"/>
      <c r="Y289" s="391"/>
      <c r="Z289" s="391"/>
      <c r="AA289" s="391"/>
      <c r="AB289" s="391"/>
    </row>
    <row r="290" spans="1:28" ht="15.6" hidden="1" outlineLevel="1">
      <c r="A290" s="391"/>
      <c r="B290" s="1158" t="s">
        <v>123</v>
      </c>
      <c r="C290" s="1158"/>
      <c r="D290" s="1158"/>
      <c r="E290" s="1186"/>
      <c r="F290" s="1185" t="e">
        <f t="shared" ref="F290" si="161">SUM(F284:F289)</f>
        <v>#VALUE!</v>
      </c>
      <c r="G290" s="1185" t="e">
        <f t="shared" ref="G290" si="162">SUM(G284:G289)</f>
        <v>#VALUE!</v>
      </c>
      <c r="H290" s="1185" t="e">
        <f t="shared" ref="H290" si="163">SUM(H284:H289)</f>
        <v>#VALUE!</v>
      </c>
      <c r="I290" s="1185" t="e">
        <f t="shared" ref="I290" si="164">SUM(I284:I289)</f>
        <v>#VALUE!</v>
      </c>
      <c r="J290" s="1181" t="e">
        <f t="shared" si="158"/>
        <v>#VALUE!</v>
      </c>
      <c r="O290" s="391"/>
      <c r="P290" s="406"/>
      <c r="Q290" s="406"/>
      <c r="R290" s="406"/>
      <c r="S290" s="406"/>
      <c r="T290" s="391"/>
      <c r="U290" s="391"/>
      <c r="V290" s="391"/>
      <c r="W290" s="391"/>
      <c r="X290" s="391"/>
      <c r="Y290" s="391"/>
      <c r="Z290" s="391"/>
      <c r="AA290" s="391"/>
      <c r="AB290" s="391"/>
    </row>
    <row r="291" spans="1:28" ht="15.6" hidden="1" outlineLevel="1">
      <c r="A291" s="391"/>
      <c r="O291" s="391"/>
      <c r="P291" s="406"/>
      <c r="Q291" s="406"/>
      <c r="R291" s="406"/>
      <c r="S291" s="406"/>
      <c r="T291" s="391"/>
      <c r="U291" s="391"/>
      <c r="V291" s="391"/>
      <c r="W291" s="391"/>
      <c r="X291" s="391"/>
      <c r="Y291" s="391"/>
      <c r="Z291" s="391"/>
      <c r="AA291" s="391"/>
      <c r="AB291" s="391"/>
    </row>
    <row r="292" spans="1:28" ht="15.6" hidden="1" outlineLevel="1">
      <c r="A292" s="391"/>
      <c r="E292" s="1082" t="s">
        <v>1022</v>
      </c>
      <c r="F292" s="1"/>
      <c r="G292" s="434"/>
      <c r="H292" s="434"/>
      <c r="I292" s="434"/>
      <c r="O292" s="391"/>
      <c r="P292" s="406"/>
      <c r="Q292" s="406"/>
      <c r="R292" s="406"/>
      <c r="S292" s="406"/>
      <c r="T292" s="391"/>
      <c r="U292" s="391"/>
      <c r="V292" s="391"/>
      <c r="W292" s="391"/>
      <c r="X292" s="391"/>
      <c r="Y292" s="391"/>
      <c r="Z292" s="391"/>
      <c r="AA292" s="391"/>
      <c r="AB292" s="391"/>
    </row>
    <row r="293" spans="1:28" ht="15.6" hidden="1" outlineLevel="1">
      <c r="A293" s="391"/>
      <c r="E293" s="1085" t="s">
        <v>489</v>
      </c>
      <c r="F293" s="1159" t="s">
        <v>992</v>
      </c>
      <c r="G293" s="1085" t="s">
        <v>993</v>
      </c>
      <c r="H293" s="1085" t="s">
        <v>982</v>
      </c>
      <c r="I293" s="1085" t="s">
        <v>994</v>
      </c>
      <c r="J293" s="1159" t="s">
        <v>123</v>
      </c>
      <c r="O293" s="391"/>
      <c r="P293" s="406"/>
      <c r="Q293" s="406"/>
      <c r="R293" s="406"/>
      <c r="S293" s="406"/>
      <c r="T293" s="391"/>
      <c r="U293" s="391"/>
      <c r="V293" s="391"/>
      <c r="W293" s="391"/>
      <c r="X293" s="391"/>
      <c r="Y293" s="391"/>
      <c r="Z293" s="391"/>
      <c r="AA293" s="391"/>
      <c r="AB293" s="391"/>
    </row>
    <row r="294" spans="1:28" ht="15.6" hidden="1" outlineLevel="1">
      <c r="A294" s="391">
        <v>1</v>
      </c>
      <c r="B294" t="str">
        <f>+B$32</f>
        <v xml:space="preserve">Carson City </v>
      </c>
      <c r="C294" s="526"/>
      <c r="D294" s="526">
        <f>E180</f>
        <v>0</v>
      </c>
      <c r="E294" s="1160">
        <f t="shared" ref="E294:I299" si="165">+$E180*E202</f>
        <v>0</v>
      </c>
      <c r="F294" s="1160">
        <f t="shared" si="165"/>
        <v>0</v>
      </c>
      <c r="G294" s="1160">
        <f t="shared" si="165"/>
        <v>0</v>
      </c>
      <c r="H294" s="1160">
        <f t="shared" si="165"/>
        <v>0</v>
      </c>
      <c r="I294" s="1160">
        <f t="shared" si="165"/>
        <v>0</v>
      </c>
      <c r="J294" s="1184">
        <f t="shared" ref="J294:J300" si="166">SUM(E294:I294)</f>
        <v>0</v>
      </c>
      <c r="O294" s="391"/>
      <c r="P294" s="406"/>
      <c r="Q294" s="406"/>
      <c r="R294" s="406"/>
      <c r="S294" s="406"/>
      <c r="T294" s="391"/>
      <c r="U294" s="391"/>
      <c r="V294" s="391"/>
      <c r="W294" s="391"/>
      <c r="X294" s="391"/>
      <c r="Y294" s="391"/>
      <c r="Z294" s="391"/>
      <c r="AA294" s="391"/>
      <c r="AB294" s="391"/>
    </row>
    <row r="295" spans="1:28" ht="15.6" hidden="1" outlineLevel="1">
      <c r="A295" s="391">
        <f>1+A294</f>
        <v>2</v>
      </c>
      <c r="B295" t="str">
        <f>+$B$33</f>
        <v>Churchill</v>
      </c>
      <c r="C295" s="5"/>
      <c r="D295" s="5">
        <f t="shared" ref="D295:D299" si="167">E181</f>
        <v>0</v>
      </c>
      <c r="E295" s="1161">
        <f t="shared" si="165"/>
        <v>0</v>
      </c>
      <c r="F295" s="1161">
        <f t="shared" si="165"/>
        <v>0</v>
      </c>
      <c r="G295" s="1161">
        <f t="shared" si="165"/>
        <v>0</v>
      </c>
      <c r="H295" s="1161">
        <f t="shared" si="165"/>
        <v>0</v>
      </c>
      <c r="I295" s="1161">
        <f t="shared" si="165"/>
        <v>0</v>
      </c>
      <c r="J295" s="1151">
        <f t="shared" si="166"/>
        <v>0</v>
      </c>
      <c r="O295" s="391"/>
      <c r="P295" s="406"/>
      <c r="Q295" s="406"/>
      <c r="R295" s="406"/>
      <c r="S295" s="406"/>
      <c r="T295" s="391"/>
      <c r="U295" s="391"/>
      <c r="V295" s="391"/>
      <c r="W295" s="391"/>
      <c r="X295" s="391"/>
      <c r="Y295" s="391"/>
      <c r="Z295" s="391"/>
      <c r="AA295" s="391"/>
      <c r="AB295" s="391"/>
    </row>
    <row r="296" spans="1:28" ht="15.6" hidden="1" outlineLevel="1">
      <c r="A296" s="391">
        <f t="shared" ref="A296:A299" si="168">1+A295</f>
        <v>3</v>
      </c>
      <c r="B296" t="str">
        <f>+$B$34</f>
        <v>Clark</v>
      </c>
      <c r="C296" s="5"/>
      <c r="D296" s="5" t="str">
        <f t="shared" si="167"/>
        <v>General</v>
      </c>
      <c r="E296" s="1161" t="e">
        <f t="shared" si="165"/>
        <v>#VALUE!</v>
      </c>
      <c r="F296" s="1161" t="e">
        <f t="shared" si="165"/>
        <v>#VALUE!</v>
      </c>
      <c r="G296" s="1161" t="e">
        <f t="shared" si="165"/>
        <v>#VALUE!</v>
      </c>
      <c r="H296" s="1161" t="e">
        <f t="shared" si="165"/>
        <v>#VALUE!</v>
      </c>
      <c r="I296" s="1161" t="e">
        <f t="shared" si="165"/>
        <v>#VALUE!</v>
      </c>
      <c r="J296" s="1151" t="e">
        <f t="shared" si="166"/>
        <v>#VALUE!</v>
      </c>
      <c r="O296" s="391"/>
      <c r="P296" s="406"/>
      <c r="Q296" s="406"/>
      <c r="R296" s="406"/>
      <c r="S296" s="406"/>
      <c r="T296" s="391"/>
      <c r="U296" s="391"/>
      <c r="V296" s="391"/>
      <c r="W296" s="391"/>
      <c r="X296" s="391"/>
      <c r="Y296" s="391"/>
      <c r="Z296" s="391"/>
      <c r="AA296" s="391"/>
      <c r="AB296" s="391"/>
    </row>
    <row r="297" spans="1:28" ht="15.6" hidden="1" outlineLevel="1">
      <c r="A297" s="391">
        <f t="shared" si="168"/>
        <v>4</v>
      </c>
      <c r="B297" t="str">
        <f>+$B$35</f>
        <v>Elko</v>
      </c>
      <c r="C297" s="5"/>
      <c r="D297" s="5">
        <f t="shared" si="167"/>
        <v>100</v>
      </c>
      <c r="E297" s="1161">
        <f t="shared" si="165"/>
        <v>797433.33333333326</v>
      </c>
      <c r="F297" s="1161">
        <f t="shared" si="165"/>
        <v>1102722.7682830808</v>
      </c>
      <c r="G297" s="1161">
        <f t="shared" si="165"/>
        <v>873986.93333333335</v>
      </c>
      <c r="H297" s="1161">
        <f t="shared" si="165"/>
        <v>811787.1333333333</v>
      </c>
      <c r="I297" s="1161">
        <f t="shared" si="165"/>
        <v>893125.33333333337</v>
      </c>
      <c r="J297" s="1151">
        <f t="shared" si="166"/>
        <v>4479055.5016164137</v>
      </c>
      <c r="O297" s="391"/>
      <c r="P297" s="406"/>
      <c r="Q297" s="406"/>
      <c r="R297" s="406"/>
      <c r="S297" s="406"/>
      <c r="T297" s="391"/>
      <c r="U297" s="391"/>
      <c r="V297" s="391"/>
      <c r="W297" s="391"/>
      <c r="X297" s="391"/>
      <c r="Y297" s="391"/>
      <c r="Z297" s="391"/>
      <c r="AA297" s="391"/>
      <c r="AB297" s="391"/>
    </row>
    <row r="298" spans="1:28" ht="15.6" hidden="1" outlineLevel="1">
      <c r="A298" s="391">
        <f t="shared" si="168"/>
        <v>5</v>
      </c>
      <c r="B298" t="str">
        <f>+$B$36</f>
        <v>Washoe</v>
      </c>
      <c r="C298" s="5"/>
      <c r="D298" s="5">
        <f t="shared" si="167"/>
        <v>0</v>
      </c>
      <c r="E298" s="1161">
        <f t="shared" si="165"/>
        <v>0</v>
      </c>
      <c r="F298" s="1161">
        <f t="shared" si="165"/>
        <v>0</v>
      </c>
      <c r="G298" s="1161">
        <f t="shared" si="165"/>
        <v>0</v>
      </c>
      <c r="H298" s="1161">
        <f t="shared" si="165"/>
        <v>0</v>
      </c>
      <c r="I298" s="1161">
        <f t="shared" si="165"/>
        <v>0</v>
      </c>
      <c r="J298" s="1151">
        <f t="shared" si="166"/>
        <v>0</v>
      </c>
      <c r="O298" s="391"/>
      <c r="P298" s="406"/>
      <c r="Q298" s="406"/>
      <c r="R298" s="406"/>
      <c r="S298" s="406"/>
      <c r="T298" s="391"/>
      <c r="U298" s="391"/>
      <c r="V298" s="391"/>
      <c r="W298" s="391"/>
      <c r="X298" s="391"/>
      <c r="Y298" s="391"/>
      <c r="Z298" s="391"/>
      <c r="AA298" s="391"/>
      <c r="AB298" s="391"/>
    </row>
    <row r="299" spans="1:28" ht="15.6" hidden="1" outlineLevel="1">
      <c r="A299" s="391">
        <f t="shared" si="168"/>
        <v>6</v>
      </c>
      <c r="B299" t="str">
        <f>+$B$37</f>
        <v>White Pine</v>
      </c>
      <c r="C299" s="5"/>
      <c r="D299" s="5">
        <f t="shared" si="167"/>
        <v>0</v>
      </c>
      <c r="E299" s="1162" t="e">
        <f t="shared" si="165"/>
        <v>#VALUE!</v>
      </c>
      <c r="F299" s="1162">
        <f t="shared" si="165"/>
        <v>0</v>
      </c>
      <c r="G299" s="1162">
        <f t="shared" si="165"/>
        <v>0</v>
      </c>
      <c r="H299" s="1162">
        <f t="shared" si="165"/>
        <v>0</v>
      </c>
      <c r="I299" s="1162">
        <f t="shared" si="165"/>
        <v>0</v>
      </c>
      <c r="J299" s="1151" t="e">
        <f t="shared" si="166"/>
        <v>#VALUE!</v>
      </c>
      <c r="O299" s="391"/>
      <c r="P299" s="406"/>
      <c r="Q299" s="406"/>
      <c r="R299" s="406"/>
      <c r="S299" s="406"/>
      <c r="T299" s="391"/>
      <c r="U299" s="391"/>
      <c r="V299" s="391"/>
      <c r="W299" s="391"/>
      <c r="X299" s="391"/>
      <c r="Y299" s="391"/>
      <c r="Z299" s="391"/>
      <c r="AA299" s="391"/>
      <c r="AB299" s="391"/>
    </row>
    <row r="300" spans="1:28" ht="15.6" hidden="1" outlineLevel="1">
      <c r="A300" s="391"/>
      <c r="B300" s="1158" t="s">
        <v>123</v>
      </c>
      <c r="C300" s="1158"/>
      <c r="D300" s="1158"/>
      <c r="E300" s="1185" t="e">
        <f>SUM(E294:E299)</f>
        <v>#VALUE!</v>
      </c>
      <c r="F300" s="1185" t="e">
        <f t="shared" ref="F300" si="169">SUM(F294:F299)</f>
        <v>#VALUE!</v>
      </c>
      <c r="G300" s="1185" t="e">
        <f t="shared" ref="G300" si="170">SUM(G294:G299)</f>
        <v>#VALUE!</v>
      </c>
      <c r="H300" s="1185" t="e">
        <f t="shared" ref="H300" si="171">SUM(H294:H299)</f>
        <v>#VALUE!</v>
      </c>
      <c r="I300" s="1185" t="e">
        <f t="shared" ref="I300" si="172">SUM(I294:I299)</f>
        <v>#VALUE!</v>
      </c>
      <c r="J300" s="1185" t="e">
        <f t="shared" si="166"/>
        <v>#VALUE!</v>
      </c>
      <c r="O300" s="391"/>
      <c r="P300" s="406"/>
      <c r="Q300" s="406"/>
      <c r="R300" s="406"/>
      <c r="S300" s="406"/>
      <c r="T300" s="391"/>
      <c r="U300" s="391"/>
      <c r="V300" s="391"/>
      <c r="W300" s="391"/>
      <c r="X300" s="391"/>
      <c r="Y300" s="391"/>
      <c r="Z300" s="391"/>
      <c r="AA300" s="391"/>
      <c r="AB300" s="391"/>
    </row>
    <row r="301" spans="1:28" ht="15.6" hidden="1" outlineLevel="1">
      <c r="A301" s="391"/>
      <c r="O301" s="391"/>
      <c r="P301" s="406"/>
      <c r="Q301" s="406"/>
      <c r="R301" s="406"/>
      <c r="S301" s="406"/>
      <c r="T301" s="391"/>
      <c r="U301" s="391"/>
      <c r="V301" s="391"/>
      <c r="W301" s="391"/>
      <c r="X301" s="391"/>
      <c r="Y301" s="391"/>
      <c r="Z301" s="391"/>
      <c r="AA301" s="391"/>
      <c r="AB301" s="391"/>
    </row>
    <row r="302" spans="1:28" ht="15.6" hidden="1" outlineLevel="1">
      <c r="A302" s="391"/>
      <c r="B302" s="1158" t="s">
        <v>1017</v>
      </c>
      <c r="C302" s="1158"/>
      <c r="D302" s="1158"/>
      <c r="E302" s="1185" t="e">
        <f>+E290+E300</f>
        <v>#VALUE!</v>
      </c>
      <c r="F302" s="1185" t="e">
        <f t="shared" ref="F302:I302" si="173">+F290+F300</f>
        <v>#VALUE!</v>
      </c>
      <c r="G302" s="1185" t="e">
        <f t="shared" si="173"/>
        <v>#VALUE!</v>
      </c>
      <c r="H302" s="1185" t="e">
        <f t="shared" si="173"/>
        <v>#VALUE!</v>
      </c>
      <c r="I302" s="1185" t="e">
        <f t="shared" si="173"/>
        <v>#VALUE!</v>
      </c>
      <c r="J302" s="1187" t="e">
        <f>SUM(E302:I302)</f>
        <v>#VALUE!</v>
      </c>
      <c r="O302" s="391"/>
      <c r="P302" s="406"/>
      <c r="Q302" s="406"/>
      <c r="R302" s="406"/>
      <c r="S302" s="406"/>
      <c r="T302" s="391"/>
      <c r="U302" s="391"/>
      <c r="V302" s="391"/>
      <c r="W302" s="391"/>
      <c r="X302" s="391"/>
      <c r="Y302" s="391"/>
      <c r="Z302" s="391"/>
      <c r="AA302" s="391"/>
      <c r="AB302" s="391"/>
    </row>
    <row r="303" spans="1:28" ht="15.6" hidden="1" outlineLevel="1">
      <c r="A303" s="391"/>
      <c r="O303" s="391"/>
      <c r="P303" s="406"/>
      <c r="Q303" s="406"/>
      <c r="R303" s="406"/>
      <c r="S303" s="406"/>
      <c r="T303" s="391"/>
      <c r="U303" s="391"/>
      <c r="V303" s="391"/>
      <c r="W303" s="391"/>
      <c r="X303" s="391"/>
      <c r="Y303" s="391"/>
      <c r="Z303" s="391"/>
      <c r="AA303" s="391"/>
      <c r="AB303" s="391"/>
    </row>
    <row r="304" spans="1:28" ht="15.6" hidden="1" outlineLevel="1">
      <c r="A304" s="391"/>
      <c r="O304" s="391"/>
      <c r="P304" s="406"/>
      <c r="Q304" s="406"/>
      <c r="R304" s="406"/>
      <c r="S304" s="406"/>
      <c r="T304" s="391"/>
      <c r="U304" s="391"/>
      <c r="V304" s="391"/>
      <c r="W304" s="391"/>
      <c r="X304" s="391"/>
      <c r="Y304" s="391"/>
      <c r="Z304" s="391"/>
      <c r="AA304" s="391"/>
      <c r="AB304" s="391"/>
    </row>
    <row r="305" spans="1:28" ht="15.6" hidden="1" outlineLevel="1">
      <c r="A305" s="391"/>
      <c r="O305" s="391"/>
      <c r="P305" s="406"/>
      <c r="Q305" s="406"/>
      <c r="R305" s="406"/>
      <c r="S305" s="406"/>
      <c r="T305" s="391"/>
      <c r="U305" s="391"/>
      <c r="V305" s="391"/>
      <c r="W305" s="391"/>
      <c r="X305" s="391"/>
      <c r="Y305" s="391"/>
      <c r="Z305" s="391"/>
      <c r="AA305" s="391"/>
      <c r="AB305" s="391"/>
    </row>
    <row r="306" spans="1:28" ht="15.6" collapsed="1">
      <c r="A306" s="391"/>
      <c r="O306" s="391"/>
      <c r="P306" s="406"/>
      <c r="Q306" s="406"/>
      <c r="R306" s="406"/>
      <c r="S306" s="406"/>
      <c r="T306" s="391"/>
      <c r="U306" s="391"/>
      <c r="V306" s="391"/>
      <c r="W306" s="391"/>
      <c r="X306" s="391"/>
      <c r="Y306" s="391"/>
      <c r="Z306" s="391"/>
      <c r="AA306" s="391"/>
      <c r="AB306" s="391"/>
    </row>
    <row r="307" spans="1:28" ht="15.6">
      <c r="A307" s="391"/>
      <c r="K307" s="1085" t="s">
        <v>1331</v>
      </c>
      <c r="L307" s="1085" t="s">
        <v>1332</v>
      </c>
      <c r="M307" s="1085" t="s">
        <v>1333</v>
      </c>
      <c r="N307" s="1525">
        <v>4</v>
      </c>
      <c r="O307" s="1526">
        <v>66</v>
      </c>
      <c r="P307" s="1527" t="s">
        <v>123</v>
      </c>
      <c r="Q307" s="406"/>
      <c r="R307" s="406"/>
      <c r="S307" s="406"/>
      <c r="T307" s="391"/>
      <c r="U307" s="391"/>
      <c r="V307" s="391"/>
      <c r="W307" s="391"/>
      <c r="X307" s="391"/>
      <c r="Y307" s="391"/>
      <c r="Z307" s="391"/>
      <c r="AA307" s="391"/>
      <c r="AB307" s="391"/>
    </row>
    <row r="308" spans="1:28" ht="15.6">
      <c r="A308" s="391"/>
      <c r="J308" s="1523" t="s">
        <v>1328</v>
      </c>
      <c r="K308">
        <v>100</v>
      </c>
      <c r="L308">
        <v>1</v>
      </c>
      <c r="M308">
        <f>+K308-L308</f>
        <v>99</v>
      </c>
      <c r="N308" s="526">
        <f>+K308*N$307</f>
        <v>400</v>
      </c>
      <c r="O308" s="526">
        <f>+O$307*L308</f>
        <v>66</v>
      </c>
      <c r="P308" s="1524">
        <f>SUM(N308:O308)</f>
        <v>466</v>
      </c>
      <c r="Q308" s="1528" t="s">
        <v>1334</v>
      </c>
      <c r="R308" s="406"/>
      <c r="S308" s="406"/>
      <c r="T308" s="391"/>
      <c r="U308" s="391"/>
      <c r="V308" s="391"/>
      <c r="W308" s="391"/>
      <c r="X308" s="391"/>
      <c r="Y308" s="391"/>
      <c r="Z308" s="391"/>
      <c r="AA308" s="391"/>
      <c r="AB308" s="391"/>
    </row>
    <row r="309" spans="1:28" ht="15.6">
      <c r="A309" s="391"/>
      <c r="J309" s="1523" t="s">
        <v>1329</v>
      </c>
      <c r="K309">
        <v>100</v>
      </c>
      <c r="L309">
        <v>0</v>
      </c>
      <c r="M309">
        <f>+K309-L309</f>
        <v>100</v>
      </c>
      <c r="N309" s="526">
        <f>+K309*N$307</f>
        <v>400</v>
      </c>
      <c r="O309" s="526">
        <f>+O$307*L309</f>
        <v>0</v>
      </c>
      <c r="P309" s="1524">
        <f>SUM(N309:O309)</f>
        <v>400</v>
      </c>
      <c r="Q309" s="1528" t="s">
        <v>1335</v>
      </c>
      <c r="R309" s="406"/>
      <c r="S309" s="406"/>
      <c r="T309" s="391"/>
      <c r="U309" s="391"/>
      <c r="V309" s="391"/>
      <c r="W309" s="391"/>
      <c r="X309" s="391"/>
      <c r="Y309" s="391"/>
      <c r="Z309" s="391"/>
      <c r="AA309" s="391"/>
      <c r="AB309" s="391"/>
    </row>
    <row r="310" spans="1:28" ht="15.6">
      <c r="A310" s="391"/>
      <c r="J310" s="1523" t="s">
        <v>1330</v>
      </c>
      <c r="K310">
        <v>100</v>
      </c>
      <c r="L310">
        <v>50</v>
      </c>
      <c r="M310">
        <f>+K310-L310</f>
        <v>50</v>
      </c>
      <c r="N310" s="526">
        <f>+K310*N$307</f>
        <v>400</v>
      </c>
      <c r="O310" s="526">
        <f>+O$307*L310</f>
        <v>3300</v>
      </c>
      <c r="P310" s="1524">
        <f>SUM(N310:O310)</f>
        <v>3700</v>
      </c>
      <c r="Q310" s="1528" t="s">
        <v>1336</v>
      </c>
      <c r="R310" s="406"/>
      <c r="S310" s="406"/>
      <c r="T310" s="391"/>
      <c r="U310" s="391"/>
      <c r="V310" s="391"/>
      <c r="W310" s="391"/>
      <c r="X310" s="391"/>
      <c r="Y310" s="391"/>
      <c r="Z310" s="391"/>
      <c r="AA310" s="391"/>
      <c r="AB310" s="391"/>
    </row>
    <row r="311" spans="1:28" ht="15.6">
      <c r="A311" s="391"/>
      <c r="J311" s="1523" t="s">
        <v>1337</v>
      </c>
      <c r="K311">
        <v>500</v>
      </c>
      <c r="L311">
        <v>1</v>
      </c>
      <c r="M311">
        <f>+K311-L311</f>
        <v>499</v>
      </c>
      <c r="N311" s="526">
        <f>+K311*N$307</f>
        <v>2000</v>
      </c>
      <c r="O311" s="526">
        <f>+O$307*L311</f>
        <v>66</v>
      </c>
      <c r="P311" s="1524">
        <f>SUM(N311:O311)</f>
        <v>2066</v>
      </c>
      <c r="Q311" s="1528"/>
      <c r="R311" s="406"/>
      <c r="S311" s="406"/>
      <c r="T311" s="391"/>
      <c r="U311" s="391"/>
      <c r="V311" s="391"/>
      <c r="W311" s="391"/>
      <c r="X311" s="391"/>
      <c r="Y311" s="391"/>
      <c r="Z311" s="391"/>
      <c r="AA311" s="391"/>
      <c r="AB311" s="391"/>
    </row>
    <row r="312" spans="1:28" ht="15.6">
      <c r="A312" s="391"/>
      <c r="O312" s="391"/>
      <c r="P312" s="406"/>
      <c r="Q312" s="406"/>
      <c r="R312" s="406"/>
      <c r="S312" s="406"/>
      <c r="T312" s="391"/>
      <c r="U312" s="391"/>
      <c r="V312" s="391"/>
      <c r="W312" s="391"/>
      <c r="X312" s="391"/>
      <c r="Y312" s="391"/>
      <c r="Z312" s="391"/>
      <c r="AA312" s="391"/>
      <c r="AB312" s="391"/>
    </row>
    <row r="313" spans="1:28" ht="15.6">
      <c r="A313" s="391"/>
      <c r="O313" s="391"/>
      <c r="P313" s="406"/>
      <c r="Q313" s="406"/>
      <c r="R313" s="406"/>
      <c r="S313" s="406"/>
      <c r="T313" s="391"/>
      <c r="U313" s="391"/>
      <c r="V313" s="391"/>
      <c r="W313" s="391"/>
      <c r="X313" s="391"/>
      <c r="Y313" s="391"/>
      <c r="Z313" s="391"/>
      <c r="AA313" s="391"/>
      <c r="AB313" s="391"/>
    </row>
    <row r="314" spans="1:28" ht="15.6">
      <c r="A314" s="391"/>
      <c r="O314" s="391"/>
      <c r="P314" s="406"/>
      <c r="Q314" s="406"/>
      <c r="R314" s="406"/>
      <c r="S314" s="406"/>
      <c r="T314" s="391"/>
      <c r="U314" s="391"/>
      <c r="V314" s="391"/>
      <c r="W314" s="391"/>
      <c r="X314" s="391"/>
      <c r="Y314" s="391"/>
      <c r="Z314" s="391"/>
      <c r="AA314" s="391"/>
      <c r="AB314" s="391"/>
    </row>
    <row r="315" spans="1:28" ht="15.6">
      <c r="A315" s="391"/>
      <c r="O315" s="391"/>
      <c r="P315" s="406"/>
      <c r="Q315" s="406"/>
      <c r="R315" s="406"/>
      <c r="S315" s="406"/>
      <c r="T315" s="391"/>
      <c r="U315" s="391"/>
      <c r="V315" s="391"/>
      <c r="W315" s="391"/>
      <c r="X315" s="391"/>
      <c r="Y315" s="391"/>
      <c r="Z315" s="391"/>
      <c r="AA315" s="391"/>
      <c r="AB315" s="391"/>
    </row>
    <row r="316" spans="1:28" ht="15.6">
      <c r="A316" s="391"/>
      <c r="O316" s="391"/>
      <c r="P316" s="406"/>
      <c r="Q316" s="406"/>
      <c r="R316" s="406"/>
      <c r="S316" s="406"/>
      <c r="T316" s="391"/>
      <c r="U316" s="391"/>
      <c r="V316" s="391"/>
      <c r="W316" s="391"/>
      <c r="X316" s="391"/>
      <c r="Y316" s="391"/>
      <c r="Z316" s="391"/>
      <c r="AA316" s="391"/>
      <c r="AB316" s="391"/>
    </row>
    <row r="317" spans="1:28" ht="15.6">
      <c r="A317" s="391"/>
      <c r="O317" s="391"/>
      <c r="P317" s="406"/>
      <c r="Q317" s="406"/>
      <c r="R317" s="406"/>
      <c r="S317" s="406"/>
      <c r="T317" s="391"/>
      <c r="U317" s="391"/>
      <c r="V317" s="391"/>
      <c r="W317" s="391"/>
      <c r="X317" s="391"/>
      <c r="Y317" s="391"/>
      <c r="Z317" s="391"/>
      <c r="AA317" s="391"/>
      <c r="AB317" s="391"/>
    </row>
    <row r="318" spans="1:28" ht="15.6">
      <c r="A318" s="391"/>
      <c r="O318" s="391"/>
      <c r="P318" s="406"/>
      <c r="Q318" s="406"/>
      <c r="R318" s="406"/>
      <c r="S318" s="406"/>
      <c r="T318" s="391"/>
      <c r="U318" s="391"/>
      <c r="V318" s="391"/>
      <c r="W318" s="391"/>
      <c r="X318" s="391"/>
      <c r="Y318" s="391"/>
      <c r="Z318" s="391"/>
      <c r="AA318" s="391"/>
      <c r="AB318" s="391"/>
    </row>
    <row r="319" spans="1:28" ht="15.6">
      <c r="A319" s="391"/>
      <c r="O319" s="391"/>
      <c r="P319" s="406"/>
      <c r="Q319" s="406"/>
      <c r="R319" s="406"/>
      <c r="S319" s="406"/>
      <c r="T319" s="391"/>
      <c r="U319" s="391"/>
      <c r="V319" s="391"/>
      <c r="W319" s="391"/>
      <c r="X319" s="391"/>
      <c r="Y319" s="391"/>
      <c r="Z319" s="391"/>
      <c r="AA319" s="391"/>
      <c r="AB319" s="391"/>
    </row>
    <row r="320" spans="1:28" ht="15.6">
      <c r="A320" s="391"/>
      <c r="O320" s="391"/>
      <c r="P320" s="406"/>
      <c r="Q320" s="406"/>
      <c r="R320" s="406"/>
      <c r="S320" s="406"/>
      <c r="T320" s="391"/>
      <c r="U320" s="391"/>
      <c r="V320" s="391"/>
      <c r="W320" s="391"/>
      <c r="X320" s="391"/>
      <c r="Y320" s="391"/>
      <c r="Z320" s="391"/>
      <c r="AA320" s="391"/>
      <c r="AB320" s="391"/>
    </row>
    <row r="321" spans="1:28" ht="15.6">
      <c r="A321" s="391"/>
      <c r="O321" s="391"/>
      <c r="P321" s="406"/>
      <c r="Q321" s="406"/>
      <c r="R321" s="406"/>
      <c r="S321" s="406"/>
      <c r="T321" s="391"/>
      <c r="U321" s="391"/>
      <c r="V321" s="391"/>
      <c r="W321" s="391"/>
      <c r="X321" s="391"/>
      <c r="Y321" s="391"/>
      <c r="Z321" s="391"/>
      <c r="AA321" s="391"/>
      <c r="AB321" s="391"/>
    </row>
    <row r="322" spans="1:28" ht="15.6">
      <c r="A322" s="391"/>
      <c r="O322" s="391"/>
      <c r="P322" s="406"/>
      <c r="Q322" s="406"/>
      <c r="R322" s="406"/>
      <c r="S322" s="406"/>
      <c r="T322" s="391"/>
      <c r="U322" s="391"/>
      <c r="V322" s="391"/>
      <c r="W322" s="391"/>
      <c r="X322" s="391"/>
      <c r="Y322" s="391"/>
      <c r="Z322" s="391"/>
      <c r="AA322" s="391"/>
      <c r="AB322" s="391"/>
    </row>
    <row r="323" spans="1:28" ht="15.6">
      <c r="A323" s="391"/>
      <c r="O323" s="391"/>
      <c r="P323" s="406"/>
      <c r="Q323" s="406"/>
      <c r="R323" s="406"/>
      <c r="S323" s="406"/>
      <c r="T323" s="391"/>
      <c r="U323" s="391"/>
      <c r="V323" s="391"/>
      <c r="W323" s="391"/>
      <c r="X323" s="391"/>
      <c r="Y323" s="391"/>
      <c r="Z323" s="391"/>
      <c r="AA323" s="391"/>
      <c r="AB323" s="391"/>
    </row>
    <row r="324" spans="1:28" ht="15.6">
      <c r="A324" s="391"/>
      <c r="O324" s="391"/>
      <c r="P324" s="406"/>
      <c r="Q324" s="406"/>
      <c r="R324" s="406"/>
      <c r="S324" s="406"/>
      <c r="T324" s="391"/>
      <c r="U324" s="391"/>
      <c r="V324" s="391"/>
      <c r="W324" s="391"/>
      <c r="X324" s="391"/>
      <c r="Y324" s="391"/>
      <c r="Z324" s="391"/>
      <c r="AA324" s="391"/>
      <c r="AB324" s="391"/>
    </row>
    <row r="325" spans="1:28" ht="15.6">
      <c r="A325" s="391"/>
      <c r="O325" s="391"/>
      <c r="P325" s="406"/>
      <c r="Q325" s="406"/>
      <c r="R325" s="406"/>
      <c r="S325" s="406"/>
      <c r="T325" s="391"/>
      <c r="U325" s="391"/>
      <c r="V325" s="391"/>
      <c r="W325" s="391"/>
      <c r="X325" s="391"/>
      <c r="Y325" s="391"/>
      <c r="Z325" s="391"/>
      <c r="AA325" s="391"/>
      <c r="AB325" s="391"/>
    </row>
    <row r="326" spans="1:28" ht="15.6">
      <c r="A326" s="391"/>
      <c r="O326" s="391"/>
      <c r="P326" s="406"/>
      <c r="Q326" s="406"/>
      <c r="R326" s="406"/>
      <c r="S326" s="406"/>
      <c r="T326" s="391"/>
      <c r="U326" s="391"/>
      <c r="V326" s="391"/>
      <c r="W326" s="391"/>
      <c r="X326" s="391"/>
      <c r="Y326" s="391"/>
      <c r="Z326" s="391"/>
      <c r="AA326" s="391"/>
      <c r="AB326" s="391"/>
    </row>
    <row r="327" spans="1:28" ht="15.6">
      <c r="A327" s="391"/>
      <c r="O327" s="391"/>
      <c r="P327" s="406"/>
      <c r="Q327" s="406"/>
      <c r="R327" s="406"/>
      <c r="S327" s="406"/>
      <c r="T327" s="391"/>
      <c r="U327" s="391"/>
      <c r="V327" s="391"/>
      <c r="W327" s="391"/>
      <c r="X327" s="391"/>
      <c r="Y327" s="391"/>
      <c r="Z327" s="391"/>
      <c r="AA327" s="391"/>
      <c r="AB327" s="391"/>
    </row>
    <row r="328" spans="1:28" ht="15.6">
      <c r="A328" s="391"/>
      <c r="O328" s="391"/>
      <c r="P328" s="406"/>
      <c r="Q328" s="406"/>
      <c r="R328" s="406"/>
      <c r="S328" s="406"/>
      <c r="T328" s="391"/>
      <c r="U328" s="391"/>
      <c r="V328" s="391"/>
      <c r="W328" s="391"/>
      <c r="X328" s="391"/>
      <c r="Y328" s="391"/>
      <c r="Z328" s="391"/>
      <c r="AA328" s="391"/>
      <c r="AB328" s="391"/>
    </row>
    <row r="329" spans="1:28" ht="15.6">
      <c r="A329" s="391"/>
      <c r="O329" s="391"/>
      <c r="P329" s="406"/>
      <c r="Q329" s="406"/>
      <c r="R329" s="406"/>
      <c r="S329" s="406"/>
      <c r="T329" s="391"/>
      <c r="U329" s="391"/>
      <c r="V329" s="391"/>
      <c r="W329" s="391"/>
      <c r="X329" s="391"/>
      <c r="Y329" s="391"/>
      <c r="Z329" s="391"/>
      <c r="AA329" s="391"/>
      <c r="AB329" s="391"/>
    </row>
    <row r="330" spans="1:28" ht="15.6">
      <c r="A330" s="391"/>
      <c r="O330" s="391"/>
      <c r="P330" s="406"/>
      <c r="Q330" s="406"/>
      <c r="R330" s="406"/>
      <c r="S330" s="406"/>
      <c r="T330" s="391"/>
      <c r="U330" s="391"/>
      <c r="V330" s="391"/>
      <c r="W330" s="391"/>
      <c r="X330" s="391"/>
      <c r="Y330" s="391"/>
      <c r="Z330" s="391"/>
      <c r="AA330" s="391"/>
      <c r="AB330" s="391"/>
    </row>
    <row r="331" spans="1:28" ht="15.6">
      <c r="A331" s="391"/>
      <c r="O331" s="391"/>
      <c r="P331" s="406"/>
      <c r="Q331" s="406"/>
      <c r="R331" s="406"/>
      <c r="S331" s="406"/>
      <c r="T331" s="391"/>
      <c r="U331" s="391"/>
      <c r="V331" s="391"/>
      <c r="W331" s="391"/>
      <c r="X331" s="391"/>
      <c r="Y331" s="391"/>
      <c r="Z331" s="391"/>
      <c r="AA331" s="391"/>
      <c r="AB331" s="391"/>
    </row>
    <row r="332" spans="1:28" ht="15.6">
      <c r="A332" s="391"/>
      <c r="O332" s="391"/>
      <c r="P332" s="406"/>
      <c r="Q332" s="406"/>
      <c r="R332" s="406"/>
      <c r="S332" s="406"/>
      <c r="T332" s="391"/>
      <c r="U332" s="391"/>
      <c r="V332" s="391"/>
      <c r="W332" s="391"/>
      <c r="X332" s="391"/>
      <c r="Y332" s="391"/>
      <c r="Z332" s="391"/>
      <c r="AA332" s="391"/>
      <c r="AB332" s="391"/>
    </row>
    <row r="333" spans="1:28" ht="15.6">
      <c r="A333" s="391"/>
      <c r="O333" s="391"/>
      <c r="P333" s="406"/>
      <c r="Q333" s="406"/>
      <c r="R333" s="406"/>
      <c r="S333" s="406"/>
      <c r="T333" s="391"/>
      <c r="U333" s="391"/>
      <c r="V333" s="391"/>
      <c r="W333" s="391"/>
      <c r="X333" s="391"/>
      <c r="Y333" s="391"/>
      <c r="Z333" s="391"/>
      <c r="AA333" s="391"/>
      <c r="AB333" s="391"/>
    </row>
    <row r="334" spans="1:28" ht="15.6">
      <c r="A334" s="391"/>
      <c r="O334" s="391"/>
      <c r="P334" s="406"/>
      <c r="Q334" s="406"/>
      <c r="R334" s="406"/>
      <c r="S334" s="406"/>
      <c r="T334" s="391"/>
      <c r="U334" s="391"/>
      <c r="V334" s="391"/>
      <c r="W334" s="391"/>
      <c r="X334" s="391"/>
      <c r="Y334" s="391"/>
      <c r="Z334" s="391"/>
      <c r="AA334" s="391"/>
      <c r="AB334" s="391"/>
    </row>
    <row r="335" spans="1:28" ht="15.6">
      <c r="A335" s="391"/>
      <c r="O335" s="391"/>
      <c r="P335" s="406"/>
      <c r="Q335" s="406"/>
      <c r="R335" s="406"/>
      <c r="S335" s="406"/>
      <c r="T335" s="391"/>
      <c r="U335" s="391"/>
      <c r="V335" s="391"/>
      <c r="W335" s="391"/>
      <c r="X335" s="391"/>
      <c r="Y335" s="391"/>
      <c r="Z335" s="391"/>
      <c r="AA335" s="391"/>
      <c r="AB335" s="391"/>
    </row>
    <row r="336" spans="1:28" ht="15.6">
      <c r="A336" s="391"/>
      <c r="O336" s="391"/>
      <c r="P336" s="406"/>
      <c r="Q336" s="406"/>
      <c r="R336" s="406"/>
      <c r="S336" s="406"/>
      <c r="T336" s="391"/>
      <c r="U336" s="391"/>
      <c r="V336" s="391"/>
      <c r="W336" s="391"/>
      <c r="X336" s="391"/>
      <c r="Y336" s="391"/>
      <c r="Z336" s="391"/>
      <c r="AA336" s="391"/>
      <c r="AB336" s="391"/>
    </row>
    <row r="337" spans="1:28" ht="15.6">
      <c r="A337" s="391"/>
      <c r="O337" s="391"/>
      <c r="P337" s="406"/>
      <c r="Q337" s="406"/>
      <c r="R337" s="406"/>
      <c r="S337" s="406"/>
      <c r="T337" s="391"/>
      <c r="U337" s="391"/>
      <c r="V337" s="391"/>
      <c r="W337" s="391"/>
      <c r="X337" s="391"/>
      <c r="Y337" s="391"/>
      <c r="Z337" s="391"/>
      <c r="AA337" s="391"/>
      <c r="AB337" s="391"/>
    </row>
    <row r="338" spans="1:28" ht="15.6">
      <c r="A338" s="391"/>
      <c r="O338" s="391"/>
      <c r="P338" s="406"/>
      <c r="Q338" s="406"/>
      <c r="R338" s="406"/>
      <c r="S338" s="406"/>
      <c r="T338" s="391"/>
      <c r="U338" s="391"/>
      <c r="V338" s="391"/>
      <c r="W338" s="391"/>
      <c r="X338" s="391"/>
      <c r="Y338" s="391"/>
      <c r="Z338" s="391"/>
      <c r="AA338" s="391"/>
      <c r="AB338" s="391"/>
    </row>
    <row r="339" spans="1:28" ht="15.6">
      <c r="A339" s="391"/>
      <c r="O339" s="391"/>
      <c r="P339" s="406"/>
      <c r="Q339" s="406"/>
      <c r="R339" s="406"/>
      <c r="S339" s="406"/>
      <c r="T339" s="391"/>
      <c r="U339" s="391"/>
      <c r="V339" s="391"/>
      <c r="W339" s="391"/>
      <c r="X339" s="391"/>
      <c r="Y339" s="391"/>
      <c r="Z339" s="391"/>
      <c r="AA339" s="391"/>
      <c r="AB339" s="391"/>
    </row>
    <row r="340" spans="1:28" ht="15.6">
      <c r="A340" s="391"/>
      <c r="O340" s="391"/>
      <c r="P340" s="406"/>
      <c r="Q340" s="406"/>
      <c r="R340" s="406"/>
      <c r="S340" s="406"/>
      <c r="T340" s="391"/>
      <c r="U340" s="391"/>
      <c r="V340" s="391"/>
      <c r="W340" s="391"/>
      <c r="X340" s="391"/>
      <c r="Y340" s="391"/>
      <c r="Z340" s="391"/>
      <c r="AA340" s="391"/>
      <c r="AB340" s="391"/>
    </row>
    <row r="341" spans="1:28" ht="15.6">
      <c r="A341" s="391"/>
      <c r="O341" s="391"/>
      <c r="P341" s="406"/>
      <c r="Q341" s="406"/>
      <c r="R341" s="406"/>
      <c r="S341" s="406"/>
      <c r="T341" s="391"/>
      <c r="U341" s="391"/>
      <c r="V341" s="391"/>
      <c r="W341" s="391"/>
      <c r="X341" s="391"/>
      <c r="Y341" s="391"/>
      <c r="Z341" s="391"/>
      <c r="AA341" s="391"/>
      <c r="AB341" s="391"/>
    </row>
    <row r="342" spans="1:28" ht="15.6">
      <c r="A342" s="391"/>
      <c r="O342" s="391"/>
      <c r="P342" s="406"/>
      <c r="Q342" s="406"/>
      <c r="R342" s="406"/>
      <c r="S342" s="406"/>
      <c r="T342" s="391"/>
      <c r="U342" s="391"/>
      <c r="V342" s="391"/>
      <c r="W342" s="391"/>
      <c r="X342" s="391"/>
      <c r="Y342" s="391"/>
      <c r="Z342" s="391"/>
      <c r="AA342" s="391"/>
      <c r="AB342" s="391"/>
    </row>
    <row r="343" spans="1:28" ht="15.6">
      <c r="A343" s="391"/>
      <c r="O343" s="391"/>
      <c r="P343" s="406"/>
      <c r="Q343" s="406"/>
      <c r="R343" s="406"/>
      <c r="S343" s="406"/>
      <c r="T343" s="391"/>
      <c r="U343" s="391"/>
      <c r="V343" s="391"/>
      <c r="W343" s="391"/>
      <c r="X343" s="391"/>
      <c r="Y343" s="391"/>
      <c r="Z343" s="391"/>
      <c r="AA343" s="391"/>
      <c r="AB343" s="391"/>
    </row>
    <row r="344" spans="1:28" ht="15.6">
      <c r="A344" s="391"/>
      <c r="O344" s="391"/>
      <c r="P344" s="406"/>
      <c r="Q344" s="406"/>
      <c r="R344" s="406"/>
      <c r="S344" s="406"/>
      <c r="T344" s="391"/>
      <c r="U344" s="391"/>
      <c r="V344" s="391"/>
      <c r="W344" s="391"/>
      <c r="X344" s="391"/>
      <c r="Y344" s="391"/>
      <c r="Z344" s="391"/>
      <c r="AA344" s="391"/>
      <c r="AB344" s="391"/>
    </row>
    <row r="345" spans="1:28" ht="15.6">
      <c r="A345" s="391"/>
      <c r="O345" s="391"/>
      <c r="P345" s="406"/>
      <c r="Q345" s="406"/>
      <c r="R345" s="406"/>
      <c r="S345" s="406"/>
      <c r="T345" s="391"/>
      <c r="U345" s="391"/>
      <c r="V345" s="391"/>
      <c r="W345" s="391"/>
      <c r="X345" s="391"/>
      <c r="Y345" s="391"/>
      <c r="Z345" s="391"/>
      <c r="AA345" s="391"/>
      <c r="AB345" s="391"/>
    </row>
    <row r="346" spans="1:28" ht="15.6">
      <c r="A346" s="391"/>
      <c r="O346" s="391"/>
      <c r="P346" s="406"/>
      <c r="Q346" s="406"/>
      <c r="R346" s="406"/>
      <c r="S346" s="406"/>
      <c r="T346" s="391"/>
      <c r="U346" s="391"/>
      <c r="V346" s="391"/>
      <c r="W346" s="391"/>
      <c r="X346" s="391"/>
      <c r="Y346" s="391"/>
      <c r="Z346" s="391"/>
      <c r="AA346" s="391"/>
      <c r="AB346" s="391"/>
    </row>
    <row r="347" spans="1:28" ht="15.6">
      <c r="A347" s="391"/>
      <c r="O347" s="391"/>
      <c r="P347" s="406"/>
      <c r="Q347" s="406"/>
      <c r="R347" s="406"/>
      <c r="S347" s="406"/>
      <c r="T347" s="391"/>
      <c r="U347" s="391"/>
      <c r="V347" s="391"/>
      <c r="W347" s="391"/>
      <c r="X347" s="391"/>
      <c r="Y347" s="391"/>
      <c r="Z347" s="391"/>
      <c r="AA347" s="391"/>
      <c r="AB347" s="391"/>
    </row>
    <row r="348" spans="1:28" ht="15.6">
      <c r="A348" s="391"/>
      <c r="O348" s="391"/>
      <c r="P348" s="406"/>
      <c r="Q348" s="406"/>
      <c r="R348" s="406"/>
      <c r="S348" s="406"/>
      <c r="T348" s="391"/>
      <c r="U348" s="391"/>
      <c r="V348" s="391"/>
      <c r="W348" s="391"/>
      <c r="X348" s="391"/>
      <c r="Y348" s="391"/>
      <c r="Z348" s="391"/>
      <c r="AA348" s="391"/>
      <c r="AB348" s="391"/>
    </row>
    <row r="349" spans="1:28" ht="15.6">
      <c r="A349" s="391"/>
      <c r="O349" s="391"/>
      <c r="P349" s="406"/>
      <c r="Q349" s="406"/>
      <c r="R349" s="406"/>
      <c r="S349" s="406"/>
      <c r="T349" s="391"/>
      <c r="U349" s="391"/>
      <c r="V349" s="391"/>
      <c r="W349" s="391"/>
      <c r="X349" s="391"/>
      <c r="Y349" s="391"/>
      <c r="Z349" s="391"/>
      <c r="AA349" s="391"/>
      <c r="AB349" s="391"/>
    </row>
    <row r="350" spans="1:28" ht="15.6">
      <c r="A350" s="391"/>
      <c r="O350" s="391"/>
      <c r="P350" s="406"/>
      <c r="Q350" s="406"/>
      <c r="R350" s="406"/>
      <c r="S350" s="406"/>
      <c r="T350" s="391"/>
      <c r="U350" s="391"/>
      <c r="V350" s="391"/>
      <c r="W350" s="391"/>
      <c r="X350" s="391"/>
      <c r="Y350" s="391"/>
      <c r="Z350" s="391"/>
      <c r="AA350" s="391"/>
      <c r="AB350" s="391"/>
    </row>
    <row r="351" spans="1:28" ht="15.6">
      <c r="A351" s="391"/>
      <c r="O351" s="391"/>
      <c r="P351" s="406"/>
      <c r="Q351" s="406"/>
      <c r="R351" s="406"/>
      <c r="S351" s="406"/>
      <c r="T351" s="391"/>
      <c r="U351" s="391"/>
      <c r="V351" s="391"/>
      <c r="W351" s="391"/>
      <c r="X351" s="391"/>
      <c r="Y351" s="391"/>
      <c r="Z351" s="391"/>
      <c r="AA351" s="391"/>
      <c r="AB351" s="391"/>
    </row>
    <row r="352" spans="1:28" ht="15.6">
      <c r="A352" s="391"/>
      <c r="O352" s="391"/>
      <c r="P352" s="406"/>
      <c r="Q352" s="406"/>
      <c r="R352" s="406"/>
      <c r="S352" s="406"/>
      <c r="T352" s="391"/>
      <c r="U352" s="391"/>
      <c r="V352" s="391"/>
      <c r="W352" s="391"/>
      <c r="X352" s="391"/>
      <c r="Y352" s="391"/>
      <c r="Z352" s="391"/>
      <c r="AA352" s="391"/>
      <c r="AB352" s="391"/>
    </row>
    <row r="353" spans="1:28" ht="15.6">
      <c r="A353" s="391"/>
      <c r="O353" s="391"/>
      <c r="P353" s="406"/>
      <c r="Q353" s="406"/>
      <c r="R353" s="406"/>
      <c r="S353" s="406"/>
      <c r="T353" s="391"/>
      <c r="U353" s="391"/>
      <c r="V353" s="391"/>
      <c r="W353" s="391"/>
      <c r="X353" s="391"/>
      <c r="Y353" s="391"/>
      <c r="Z353" s="391"/>
      <c r="AA353" s="391"/>
      <c r="AB353" s="391"/>
    </row>
    <row r="354" spans="1:28" ht="15.6">
      <c r="A354" s="391"/>
      <c r="O354" s="391"/>
      <c r="P354" s="406"/>
      <c r="Q354" s="406"/>
      <c r="R354" s="406"/>
      <c r="S354" s="406"/>
      <c r="T354" s="391"/>
      <c r="U354" s="391"/>
      <c r="V354" s="391"/>
      <c r="W354" s="391"/>
      <c r="X354" s="391"/>
      <c r="Y354" s="391"/>
      <c r="Z354" s="391"/>
      <c r="AA354" s="391"/>
      <c r="AB354" s="391"/>
    </row>
    <row r="355" spans="1:28" ht="15.6">
      <c r="A355" s="391"/>
      <c r="O355" s="391"/>
      <c r="P355" s="406"/>
      <c r="Q355" s="406"/>
      <c r="R355" s="406"/>
      <c r="S355" s="406"/>
      <c r="T355" s="391"/>
      <c r="U355" s="391"/>
      <c r="V355" s="391"/>
      <c r="W355" s="391"/>
      <c r="X355" s="391"/>
      <c r="Y355" s="391"/>
      <c r="Z355" s="391"/>
      <c r="AA355" s="391"/>
      <c r="AB355" s="391"/>
    </row>
    <row r="356" spans="1:28" ht="15.6">
      <c r="A356" s="391"/>
      <c r="O356" s="391"/>
      <c r="P356" s="406"/>
      <c r="Q356" s="406"/>
      <c r="R356" s="406"/>
      <c r="S356" s="406"/>
      <c r="T356" s="391"/>
      <c r="U356" s="391"/>
      <c r="V356" s="391"/>
      <c r="W356" s="391"/>
      <c r="X356" s="391"/>
      <c r="Y356" s="391"/>
      <c r="Z356" s="391"/>
      <c r="AA356" s="391"/>
      <c r="AB356" s="391"/>
    </row>
    <row r="357" spans="1:28" ht="15.6">
      <c r="A357" s="391"/>
      <c r="O357" s="391"/>
      <c r="P357" s="406"/>
      <c r="Q357" s="406"/>
      <c r="R357" s="406"/>
      <c r="S357" s="406"/>
      <c r="T357" s="391"/>
      <c r="U357" s="391"/>
      <c r="V357" s="391"/>
      <c r="W357" s="391"/>
      <c r="X357" s="391"/>
      <c r="Y357" s="391"/>
      <c r="Z357" s="391"/>
      <c r="AA357" s="391"/>
      <c r="AB357" s="391"/>
    </row>
    <row r="358" spans="1:28" ht="15.6">
      <c r="A358" s="391"/>
      <c r="O358" s="391"/>
      <c r="P358" s="406"/>
      <c r="Q358" s="406"/>
      <c r="R358" s="406"/>
      <c r="S358" s="406"/>
      <c r="T358" s="391"/>
      <c r="U358" s="391"/>
      <c r="V358" s="391"/>
      <c r="W358" s="391"/>
      <c r="X358" s="391"/>
      <c r="Y358" s="391"/>
      <c r="Z358" s="391"/>
      <c r="AA358" s="391"/>
      <c r="AB358" s="391"/>
    </row>
    <row r="359" spans="1:28" ht="15.6">
      <c r="A359" s="391"/>
      <c r="O359" s="391"/>
      <c r="P359" s="406"/>
      <c r="Q359" s="406"/>
      <c r="R359" s="406"/>
      <c r="S359" s="406"/>
      <c r="T359" s="391"/>
      <c r="U359" s="391"/>
      <c r="V359" s="391"/>
      <c r="W359" s="391"/>
      <c r="X359" s="391"/>
      <c r="Y359" s="391"/>
      <c r="Z359" s="391"/>
      <c r="AA359" s="391"/>
      <c r="AB359" s="391"/>
    </row>
    <row r="360" spans="1:28" ht="15.6">
      <c r="A360" s="391"/>
      <c r="O360" s="391"/>
      <c r="P360" s="406"/>
      <c r="Q360" s="406"/>
      <c r="R360" s="406"/>
      <c r="S360" s="406"/>
      <c r="T360" s="391"/>
      <c r="U360" s="391"/>
      <c r="V360" s="391"/>
      <c r="W360" s="391"/>
      <c r="X360" s="391"/>
      <c r="Y360" s="391"/>
      <c r="Z360" s="391"/>
      <c r="AA360" s="391"/>
      <c r="AB360" s="391"/>
    </row>
    <row r="361" spans="1:28" ht="15.6">
      <c r="A361" s="391"/>
      <c r="O361" s="391"/>
      <c r="P361" s="406"/>
      <c r="Q361" s="406"/>
      <c r="R361" s="406"/>
      <c r="S361" s="406"/>
      <c r="T361" s="391"/>
      <c r="U361" s="391"/>
      <c r="V361" s="391"/>
      <c r="W361" s="391"/>
      <c r="X361" s="391"/>
      <c r="Y361" s="391"/>
      <c r="Z361" s="391"/>
      <c r="AA361" s="391"/>
      <c r="AB361" s="391"/>
    </row>
    <row r="362" spans="1:28" ht="15.6">
      <c r="A362" s="391"/>
      <c r="O362" s="391"/>
      <c r="P362" s="406"/>
      <c r="Q362" s="406"/>
      <c r="R362" s="406"/>
      <c r="S362" s="406"/>
      <c r="T362" s="391"/>
      <c r="U362" s="391"/>
      <c r="V362" s="391"/>
      <c r="W362" s="391"/>
      <c r="X362" s="391"/>
      <c r="Y362" s="391"/>
      <c r="Z362" s="391"/>
      <c r="AA362" s="391"/>
      <c r="AB362" s="391"/>
    </row>
    <row r="363" spans="1:28" ht="15.6">
      <c r="A363" s="391"/>
      <c r="B363" s="1198" t="s">
        <v>1023</v>
      </c>
      <c r="C363" s="1199"/>
      <c r="D363" s="1199"/>
      <c r="E363" s="1199"/>
      <c r="F363" s="1199"/>
      <c r="G363" s="1199"/>
      <c r="H363" s="1199"/>
      <c r="I363" s="1199"/>
      <c r="J363" s="1199"/>
      <c r="O363" s="391"/>
      <c r="P363" s="406"/>
      <c r="Q363" s="406"/>
      <c r="R363" s="406"/>
      <c r="S363" s="406"/>
      <c r="T363" s="391"/>
      <c r="U363" s="391"/>
      <c r="V363" s="391"/>
      <c r="W363" s="391"/>
      <c r="X363" s="391"/>
      <c r="Y363" s="391"/>
      <c r="Z363" s="391"/>
      <c r="AA363" s="391"/>
      <c r="AB363" s="391"/>
    </row>
    <row r="364" spans="1:28" ht="15.6">
      <c r="A364" s="391"/>
      <c r="B364" s="408" t="s">
        <v>1024</v>
      </c>
      <c r="C364" s="408"/>
      <c r="D364" s="391"/>
      <c r="E364" s="391"/>
      <c r="F364" s="391"/>
      <c r="G364" s="391"/>
      <c r="H364" s="391"/>
      <c r="I364" s="391"/>
      <c r="O364" s="391"/>
      <c r="P364" s="406"/>
      <c r="Q364" s="406"/>
      <c r="R364" s="406"/>
      <c r="S364" s="406"/>
      <c r="T364" s="391"/>
      <c r="U364" s="391"/>
      <c r="V364" s="391"/>
      <c r="W364" s="391"/>
      <c r="X364" s="391"/>
      <c r="Y364" s="391"/>
      <c r="Z364" s="391"/>
      <c r="AA364" s="391"/>
      <c r="AB364" s="391"/>
    </row>
    <row r="365" spans="1:28" ht="15.6">
      <c r="A365" s="391"/>
      <c r="B365" s="398">
        <v>6980</v>
      </c>
      <c r="C365" s="398"/>
      <c r="D365" s="408" t="s">
        <v>1025</v>
      </c>
      <c r="E365" s="408"/>
      <c r="F365" s="391"/>
      <c r="G365" s="391"/>
      <c r="H365" s="391"/>
      <c r="I365" s="391"/>
      <c r="O365" s="391"/>
      <c r="P365" s="406"/>
      <c r="Q365" s="406"/>
      <c r="R365" s="406"/>
      <c r="S365" s="406"/>
      <c r="T365" s="391"/>
      <c r="U365" s="391"/>
      <c r="V365" s="391"/>
      <c r="W365" s="391"/>
      <c r="X365" s="391"/>
      <c r="Y365" s="391"/>
      <c r="Z365" s="391"/>
      <c r="AA365" s="391"/>
      <c r="AB365" s="391"/>
    </row>
    <row r="366" spans="1:28" ht="15.6">
      <c r="A366" s="391"/>
      <c r="B366" s="391"/>
      <c r="C366" s="391"/>
      <c r="D366" s="391"/>
      <c r="E366" s="391"/>
      <c r="F366" s="408" t="s">
        <v>917</v>
      </c>
      <c r="G366" s="391"/>
      <c r="H366" s="391"/>
      <c r="I366" s="408" t="s">
        <v>917</v>
      </c>
      <c r="O366" s="391"/>
      <c r="P366" s="406"/>
      <c r="Q366" s="406"/>
      <c r="R366" s="406"/>
      <c r="S366" s="406"/>
      <c r="T366" s="391"/>
      <c r="U366" s="391"/>
      <c r="V366" s="391"/>
      <c r="W366" s="391"/>
      <c r="X366" s="391"/>
      <c r="Y366" s="391"/>
      <c r="Z366" s="391"/>
      <c r="AA366" s="391"/>
      <c r="AB366" s="391"/>
    </row>
    <row r="367" spans="1:28" ht="15.6">
      <c r="A367" s="391"/>
      <c r="B367" s="1135" t="s">
        <v>1026</v>
      </c>
      <c r="C367" s="1135"/>
      <c r="D367" s="1136"/>
      <c r="F367" s="1135" t="s">
        <v>1027</v>
      </c>
      <c r="G367" s="1130"/>
      <c r="H367" s="391"/>
      <c r="I367" s="1087" t="s">
        <v>1028</v>
      </c>
      <c r="J367" s="1072"/>
      <c r="O367" s="391"/>
      <c r="P367" s="406"/>
      <c r="Q367" s="406"/>
      <c r="R367" s="406"/>
      <c r="S367" s="406"/>
      <c r="T367" s="391"/>
      <c r="U367" s="391"/>
      <c r="V367" s="391"/>
      <c r="W367" s="391"/>
      <c r="X367" s="391"/>
      <c r="Y367" s="391"/>
      <c r="Z367" s="391"/>
      <c r="AA367" s="391"/>
      <c r="AB367" s="391"/>
    </row>
    <row r="368" spans="1:28" ht="15.6">
      <c r="A368" s="391"/>
      <c r="B368" s="1082" t="s">
        <v>1029</v>
      </c>
      <c r="C368" s="1082"/>
      <c r="D368" s="1085" t="s">
        <v>285</v>
      </c>
      <c r="E368" s="1085"/>
      <c r="F368" s="1083" t="s">
        <v>919</v>
      </c>
      <c r="G368" s="1085" t="s">
        <v>285</v>
      </c>
      <c r="H368" s="1084"/>
      <c r="I368" s="1083" t="s">
        <v>919</v>
      </c>
      <c r="J368" s="1085" t="s">
        <v>285</v>
      </c>
      <c r="O368" s="391"/>
      <c r="P368" s="406"/>
      <c r="Q368" s="406"/>
      <c r="R368" s="406"/>
      <c r="S368" s="406"/>
      <c r="T368" s="391"/>
      <c r="U368" s="391"/>
      <c r="V368" s="391"/>
      <c r="W368" s="391"/>
      <c r="X368" s="391"/>
      <c r="Y368" s="391"/>
      <c r="Z368" s="391"/>
      <c r="AA368" s="391"/>
      <c r="AB368" s="391"/>
    </row>
    <row r="369" spans="1:28" ht="15.6">
      <c r="A369" s="391"/>
      <c r="B369" s="1130" t="s">
        <v>921</v>
      </c>
      <c r="C369" s="1130"/>
      <c r="D369" s="1114">
        <v>7763.23</v>
      </c>
      <c r="E369" s="398"/>
      <c r="F369" s="1130" t="s">
        <v>921</v>
      </c>
      <c r="G369" s="1114">
        <v>6980</v>
      </c>
      <c r="H369" s="391"/>
      <c r="I369" s="1088" t="s">
        <v>921</v>
      </c>
      <c r="J369" s="1131">
        <v>7494.32</v>
      </c>
      <c r="O369" s="391"/>
      <c r="P369" s="406"/>
      <c r="Q369" s="406"/>
      <c r="R369" s="406"/>
      <c r="S369" s="406"/>
      <c r="T369" s="391"/>
      <c r="U369" s="391"/>
      <c r="V369" s="391"/>
      <c r="W369" s="391"/>
      <c r="X369" s="391"/>
      <c r="Y369" s="391"/>
      <c r="Z369" s="391"/>
      <c r="AA369" s="391"/>
      <c r="AB369" s="391"/>
    </row>
    <row r="370" spans="1:28" ht="15.6">
      <c r="A370" s="391"/>
      <c r="B370" s="1130" t="s">
        <v>922</v>
      </c>
      <c r="C370" s="1130"/>
      <c r="D370" s="1120">
        <v>8093.24</v>
      </c>
      <c r="E370" s="394"/>
      <c r="F370" s="1130" t="s">
        <v>922</v>
      </c>
      <c r="G370" s="1120">
        <v>7169</v>
      </c>
      <c r="H370" s="391"/>
      <c r="I370" s="1088" t="s">
        <v>922</v>
      </c>
      <c r="J370" s="1132">
        <v>8093.33</v>
      </c>
      <c r="O370" s="391"/>
      <c r="P370" s="406"/>
      <c r="Q370" s="406"/>
      <c r="R370" s="406"/>
      <c r="S370" s="406"/>
      <c r="T370" s="391"/>
      <c r="U370" s="391"/>
      <c r="V370" s="391"/>
      <c r="W370" s="391"/>
      <c r="X370" s="391"/>
      <c r="Y370" s="391"/>
      <c r="Z370" s="391"/>
      <c r="AA370" s="391"/>
      <c r="AB370" s="391"/>
    </row>
    <row r="371" spans="1:28" ht="15.6">
      <c r="A371" s="391"/>
      <c r="B371" s="1130" t="s">
        <v>923</v>
      </c>
      <c r="C371" s="1130"/>
      <c r="D371" s="1120">
        <v>7264.25</v>
      </c>
      <c r="E371" s="394"/>
      <c r="F371" s="1130" t="s">
        <v>923</v>
      </c>
      <c r="G371" s="1120">
        <v>7197</v>
      </c>
      <c r="H371" s="391"/>
      <c r="I371" s="1088" t="s">
        <v>923</v>
      </c>
      <c r="J371" s="1132">
        <v>7197.34</v>
      </c>
      <c r="O371" s="391"/>
      <c r="P371" s="406"/>
      <c r="Q371" s="406"/>
      <c r="R371" s="406"/>
      <c r="S371" s="406"/>
      <c r="T371" s="391"/>
      <c r="U371" s="391"/>
      <c r="V371" s="391"/>
      <c r="W371" s="391"/>
      <c r="X371" s="391"/>
      <c r="Y371" s="391"/>
      <c r="Z371" s="391"/>
      <c r="AA371" s="391"/>
      <c r="AB371" s="391"/>
    </row>
    <row r="372" spans="1:28" ht="15.6">
      <c r="A372" s="391"/>
      <c r="B372" s="1130" t="s">
        <v>1030</v>
      </c>
      <c r="C372" s="1130"/>
      <c r="D372" s="1120">
        <v>9177.26</v>
      </c>
      <c r="E372" s="394"/>
      <c r="F372" s="1130" t="s">
        <v>1030</v>
      </c>
      <c r="G372" s="1120">
        <v>6980</v>
      </c>
      <c r="H372" s="391"/>
      <c r="I372" s="1088" t="s">
        <v>924</v>
      </c>
      <c r="J372" s="1132">
        <v>7715.35</v>
      </c>
      <c r="O372" s="391"/>
      <c r="P372" s="406"/>
      <c r="Q372" s="406"/>
      <c r="R372" s="406"/>
      <c r="S372" s="406"/>
      <c r="T372" s="391"/>
      <c r="U372" s="391"/>
      <c r="V372" s="391"/>
      <c r="W372" s="391"/>
      <c r="X372" s="391"/>
      <c r="Y372" s="391"/>
      <c r="Z372" s="391"/>
      <c r="AA372" s="391"/>
      <c r="AB372" s="391"/>
    </row>
    <row r="373" spans="1:28" ht="15.6">
      <c r="A373" s="391"/>
      <c r="B373" s="1130" t="s">
        <v>924</v>
      </c>
      <c r="C373" s="1130"/>
      <c r="D373" s="1120">
        <v>9279.27</v>
      </c>
      <c r="E373" s="394"/>
      <c r="F373" s="1130" t="s">
        <v>924</v>
      </c>
      <c r="G373" s="1120">
        <v>7169</v>
      </c>
      <c r="H373" s="391"/>
      <c r="I373" s="1088" t="s">
        <v>925</v>
      </c>
      <c r="J373" s="1132">
        <v>6980.36</v>
      </c>
      <c r="O373" s="391"/>
      <c r="P373" s="406"/>
      <c r="Q373" s="406"/>
      <c r="R373" s="406"/>
      <c r="S373" s="406"/>
      <c r="T373" s="391"/>
      <c r="U373" s="391"/>
      <c r="V373" s="391"/>
      <c r="W373" s="391"/>
      <c r="X373" s="391"/>
      <c r="Y373" s="391"/>
      <c r="Z373" s="391"/>
      <c r="AA373" s="391"/>
      <c r="AB373" s="391"/>
    </row>
    <row r="374" spans="1:28" ht="15.6">
      <c r="A374" s="391"/>
      <c r="B374" s="1130" t="s">
        <v>1031</v>
      </c>
      <c r="C374" s="1130"/>
      <c r="D374" s="1120">
        <v>22360.28</v>
      </c>
      <c r="E374" s="394"/>
      <c r="F374" s="1130" t="s">
        <v>1031</v>
      </c>
      <c r="G374" s="1120">
        <v>7169</v>
      </c>
      <c r="H374" s="391"/>
      <c r="I374" s="1088" t="s">
        <v>926</v>
      </c>
      <c r="J374" s="1132">
        <v>10367</v>
      </c>
      <c r="O374" s="391"/>
      <c r="P374" s="406"/>
      <c r="Q374" s="406"/>
      <c r="R374" s="406"/>
      <c r="S374" s="406"/>
      <c r="T374" s="391"/>
      <c r="U374" s="391"/>
      <c r="V374" s="391"/>
      <c r="W374" s="391"/>
      <c r="X374" s="391"/>
      <c r="Y374" s="391"/>
      <c r="Z374" s="391"/>
      <c r="AA374" s="391"/>
      <c r="AB374" s="391"/>
    </row>
    <row r="375" spans="1:28" ht="15.6">
      <c r="A375" s="391"/>
      <c r="B375" s="1130" t="s">
        <v>1032</v>
      </c>
      <c r="C375" s="1130"/>
      <c r="D375" s="1120">
        <v>33746.29</v>
      </c>
      <c r="E375" s="394"/>
      <c r="F375" s="1130" t="s">
        <v>1032</v>
      </c>
      <c r="G375" s="1113">
        <v>7169</v>
      </c>
      <c r="H375" s="394"/>
      <c r="I375" s="1088" t="s">
        <v>1033</v>
      </c>
      <c r="J375" s="1133">
        <v>6980</v>
      </c>
      <c r="O375" s="391"/>
      <c r="P375" s="406"/>
      <c r="Q375" s="406"/>
      <c r="R375" s="406"/>
      <c r="S375" s="406"/>
      <c r="T375" s="391"/>
      <c r="U375" s="391"/>
      <c r="V375" s="391"/>
      <c r="W375" s="391"/>
      <c r="X375" s="391"/>
      <c r="Y375" s="391"/>
      <c r="Z375" s="391"/>
      <c r="AA375" s="391"/>
      <c r="AB375" s="391"/>
    </row>
    <row r="376" spans="1:28" ht="15.6">
      <c r="A376" s="391"/>
      <c r="B376" s="1130" t="s">
        <v>1034</v>
      </c>
      <c r="C376" s="1130"/>
      <c r="D376" s="1120">
        <v>9713.2999999999993</v>
      </c>
      <c r="E376" s="394"/>
      <c r="F376" s="1130" t="s">
        <v>1034</v>
      </c>
      <c r="G376" s="1113">
        <v>7169</v>
      </c>
      <c r="H376" s="394"/>
      <c r="O376" s="391"/>
      <c r="P376" s="406"/>
      <c r="Q376" s="406"/>
      <c r="R376" s="406"/>
      <c r="S376" s="406"/>
      <c r="T376" s="391"/>
      <c r="U376" s="391"/>
      <c r="V376" s="391"/>
      <c r="W376" s="391"/>
      <c r="X376" s="391"/>
      <c r="Y376" s="391"/>
      <c r="Z376" s="391"/>
      <c r="AA376" s="391"/>
      <c r="AB376" s="391"/>
    </row>
    <row r="377" spans="1:28" ht="15.6">
      <c r="A377" s="391"/>
      <c r="B377" s="1130" t="s">
        <v>1035</v>
      </c>
      <c r="C377" s="1130"/>
      <c r="D377" s="1120">
        <v>10547.31</v>
      </c>
      <c r="E377" s="394"/>
      <c r="F377" s="1130" t="s">
        <v>1035</v>
      </c>
      <c r="G377" s="1113">
        <v>7169</v>
      </c>
      <c r="H377" s="394"/>
      <c r="I377" s="1080" t="s">
        <v>942</v>
      </c>
      <c r="J377" s="1081"/>
      <c r="O377" s="391"/>
      <c r="P377" s="406"/>
      <c r="Q377" s="406"/>
      <c r="R377" s="406"/>
      <c r="S377" s="406"/>
      <c r="T377" s="391"/>
      <c r="U377" s="391"/>
      <c r="V377" s="391"/>
      <c r="W377" s="391"/>
      <c r="X377" s="391"/>
      <c r="Y377" s="391"/>
      <c r="Z377" s="391"/>
      <c r="AA377" s="391"/>
      <c r="AB377" s="391"/>
    </row>
    <row r="378" spans="1:28" ht="15.6">
      <c r="A378" s="391"/>
      <c r="B378" s="1130" t="s">
        <v>1036</v>
      </c>
      <c r="C378" s="1130"/>
      <c r="D378" s="1120">
        <v>13725.32</v>
      </c>
      <c r="E378" s="394"/>
      <c r="F378" s="1130" t="s">
        <v>1036</v>
      </c>
      <c r="G378" s="1113">
        <v>7169</v>
      </c>
      <c r="H378" s="394"/>
      <c r="I378" s="1088" t="s">
        <v>992</v>
      </c>
      <c r="J378" s="1134" t="s">
        <v>1037</v>
      </c>
      <c r="O378" s="391"/>
      <c r="P378" s="406"/>
      <c r="Q378" s="406"/>
      <c r="R378" s="406"/>
      <c r="S378" s="406"/>
      <c r="T378" s="391"/>
      <c r="U378" s="391"/>
      <c r="V378" s="391"/>
      <c r="W378" s="391"/>
      <c r="X378" s="391"/>
      <c r="Y378" s="391"/>
      <c r="Z378" s="391"/>
      <c r="AA378" s="391"/>
      <c r="AB378" s="391"/>
    </row>
    <row r="379" spans="1:28" ht="15.6">
      <c r="A379" s="391"/>
      <c r="B379" s="1130" t="s">
        <v>1038</v>
      </c>
      <c r="C379" s="1130"/>
      <c r="D379" s="1120">
        <v>8532.33</v>
      </c>
      <c r="E379" s="394"/>
      <c r="F379" s="1130" t="s">
        <v>1038</v>
      </c>
      <c r="G379" s="1113">
        <v>6980</v>
      </c>
      <c r="H379" s="394"/>
      <c r="I379" s="1088" t="s">
        <v>947</v>
      </c>
      <c r="J379" s="1088">
        <v>0.24</v>
      </c>
      <c r="O379" s="391"/>
      <c r="P379" s="406"/>
      <c r="Q379" s="406"/>
      <c r="R379" s="406"/>
      <c r="S379" s="406"/>
      <c r="T379" s="391"/>
      <c r="U379" s="391"/>
      <c r="V379" s="391"/>
      <c r="W379" s="391"/>
      <c r="X379" s="391"/>
      <c r="Y379" s="391"/>
      <c r="Z379" s="391"/>
      <c r="AA379" s="391"/>
      <c r="AB379" s="391"/>
    </row>
    <row r="380" spans="1:28" ht="15.6">
      <c r="A380" s="391"/>
      <c r="B380" s="1130" t="s">
        <v>1039</v>
      </c>
      <c r="C380" s="1130"/>
      <c r="D380" s="1120">
        <v>12286.34</v>
      </c>
      <c r="E380" s="394"/>
      <c r="F380" s="1130" t="s">
        <v>1039</v>
      </c>
      <c r="G380" s="1113">
        <v>7169</v>
      </c>
      <c r="H380" s="394"/>
      <c r="I380" s="1088" t="s">
        <v>1040</v>
      </c>
      <c r="J380" s="1088">
        <v>0.03</v>
      </c>
      <c r="K380" t="s">
        <v>1041</v>
      </c>
      <c r="O380" s="391"/>
      <c r="P380" s="406"/>
      <c r="Q380" s="406"/>
      <c r="R380" s="406"/>
      <c r="S380" s="406"/>
      <c r="T380" s="391"/>
      <c r="U380" s="391"/>
      <c r="V380" s="391"/>
      <c r="W380" s="391"/>
      <c r="X380" s="391"/>
      <c r="Y380" s="391"/>
      <c r="Z380" s="391"/>
      <c r="AA380" s="391"/>
      <c r="AB380" s="391"/>
    </row>
    <row r="381" spans="1:28" ht="15.6">
      <c r="A381" s="391"/>
      <c r="B381" s="1130" t="s">
        <v>1042</v>
      </c>
      <c r="C381" s="1130"/>
      <c r="D381" s="1120">
        <v>8764.35</v>
      </c>
      <c r="E381" s="394"/>
      <c r="F381" s="1130" t="s">
        <v>1042</v>
      </c>
      <c r="G381" s="1113">
        <v>7169</v>
      </c>
      <c r="H381" s="394"/>
      <c r="I381" s="1088" t="s">
        <v>949</v>
      </c>
      <c r="J381" s="1088">
        <v>0.12</v>
      </c>
      <c r="O381" s="391"/>
      <c r="P381" s="406"/>
      <c r="Q381" s="406"/>
      <c r="R381" s="406"/>
      <c r="S381" s="406"/>
      <c r="T381" s="391"/>
      <c r="U381" s="391"/>
      <c r="V381" s="391"/>
      <c r="W381" s="391"/>
      <c r="X381" s="391"/>
      <c r="Y381" s="391"/>
      <c r="Z381" s="391"/>
      <c r="AA381" s="391"/>
      <c r="AB381" s="391"/>
    </row>
    <row r="382" spans="1:28" ht="15.6">
      <c r="A382" s="391"/>
      <c r="B382" s="1130" t="s">
        <v>1043</v>
      </c>
      <c r="C382" s="1130"/>
      <c r="D382" s="1120">
        <v>11794.36</v>
      </c>
      <c r="E382" s="394"/>
      <c r="F382" s="1130" t="s">
        <v>1043</v>
      </c>
      <c r="G382" s="1113">
        <v>7169</v>
      </c>
      <c r="H382" s="394"/>
      <c r="O382" s="391"/>
      <c r="P382" s="406"/>
      <c r="Q382" s="406"/>
      <c r="R382" s="406"/>
      <c r="S382" s="406"/>
      <c r="T382" s="391"/>
      <c r="U382" s="391"/>
      <c r="V382" s="391"/>
      <c r="W382" s="391"/>
      <c r="X382" s="391"/>
      <c r="Y382" s="391"/>
      <c r="Z382" s="391"/>
      <c r="AA382" s="391"/>
      <c r="AB382" s="391"/>
    </row>
    <row r="383" spans="1:28" ht="15.6">
      <c r="A383" s="391"/>
      <c r="B383" s="1130" t="s">
        <v>1044</v>
      </c>
      <c r="C383" s="1130"/>
      <c r="D383" s="1120">
        <v>23274.37</v>
      </c>
      <c r="E383" s="394"/>
      <c r="F383" s="1130" t="s">
        <v>1044</v>
      </c>
      <c r="G383" s="1113">
        <v>6980</v>
      </c>
      <c r="H383" s="394"/>
      <c r="O383" s="391"/>
      <c r="P383" s="406"/>
      <c r="Q383" s="406"/>
      <c r="R383" s="406"/>
      <c r="S383" s="406"/>
      <c r="T383" s="391"/>
      <c r="U383" s="391"/>
      <c r="V383" s="391"/>
      <c r="W383" s="391"/>
      <c r="X383" s="391"/>
      <c r="Y383" s="391"/>
      <c r="Z383" s="391"/>
      <c r="AA383" s="391"/>
      <c r="AB383" s="391"/>
    </row>
    <row r="384" spans="1:28" ht="15.6">
      <c r="A384" s="391"/>
      <c r="B384" s="1130" t="s">
        <v>925</v>
      </c>
      <c r="C384" s="1130"/>
      <c r="D384" s="1120">
        <v>7222.38</v>
      </c>
      <c r="E384" s="394"/>
      <c r="F384" s="1130" t="s">
        <v>925</v>
      </c>
      <c r="G384" s="1113">
        <v>6980</v>
      </c>
      <c r="H384" s="394"/>
      <c r="I384" s="391"/>
      <c r="O384" s="391"/>
      <c r="P384" s="406"/>
      <c r="Q384" s="406"/>
      <c r="R384" s="406"/>
      <c r="S384" s="406"/>
      <c r="T384" s="391"/>
      <c r="U384" s="391"/>
      <c r="V384" s="391"/>
      <c r="W384" s="391"/>
      <c r="X384" s="391"/>
      <c r="Y384" s="391"/>
      <c r="Z384" s="391"/>
      <c r="AA384" s="391"/>
      <c r="AB384" s="391"/>
    </row>
    <row r="385" spans="1:28" ht="15.6">
      <c r="A385" s="391"/>
      <c r="B385" s="1130" t="s">
        <v>926</v>
      </c>
      <c r="C385" s="1130"/>
      <c r="D385" s="1114">
        <v>11298</v>
      </c>
      <c r="E385" s="398"/>
      <c r="F385" s="1130" t="s">
        <v>926</v>
      </c>
      <c r="G385" s="1113">
        <v>7169</v>
      </c>
      <c r="H385" s="394"/>
      <c r="I385" s="391"/>
      <c r="O385" s="391"/>
      <c r="P385" s="406"/>
      <c r="Q385" s="406"/>
      <c r="R385" s="406"/>
      <c r="S385" s="406"/>
      <c r="T385" s="391"/>
      <c r="U385" s="391"/>
      <c r="V385" s="391"/>
      <c r="W385" s="391"/>
      <c r="X385" s="391"/>
      <c r="Y385" s="391"/>
      <c r="Z385" s="391"/>
      <c r="AA385" s="391"/>
      <c r="AB385" s="391"/>
    </row>
    <row r="386" spans="1:28" ht="15.6">
      <c r="A386" s="391"/>
      <c r="B386" s="391"/>
      <c r="C386" s="391"/>
      <c r="D386" s="391"/>
      <c r="E386" s="391"/>
      <c r="H386" s="391"/>
      <c r="I386" s="391"/>
      <c r="O386" s="391"/>
      <c r="P386" s="406"/>
      <c r="Q386" s="406"/>
      <c r="R386" s="406"/>
      <c r="S386" s="406"/>
      <c r="T386" s="391"/>
      <c r="U386" s="391"/>
      <c r="V386" s="391"/>
      <c r="W386" s="391"/>
      <c r="X386" s="391"/>
      <c r="Y386" s="391"/>
      <c r="Z386" s="391"/>
      <c r="AA386" s="391"/>
      <c r="AB386" s="391"/>
    </row>
    <row r="387" spans="1:28" ht="15.6">
      <c r="A387" s="391"/>
      <c r="B387" s="391"/>
      <c r="C387" s="391"/>
      <c r="D387" s="391"/>
      <c r="E387" s="391"/>
      <c r="F387" s="391"/>
      <c r="G387" s="391"/>
      <c r="H387" s="391"/>
      <c r="I387" s="391"/>
      <c r="O387" s="391"/>
      <c r="P387" s="406"/>
      <c r="Q387" s="406"/>
      <c r="R387" s="406"/>
      <c r="S387" s="406"/>
      <c r="T387" s="391"/>
      <c r="U387" s="391"/>
      <c r="V387" s="391"/>
      <c r="W387" s="391"/>
      <c r="X387" s="391"/>
      <c r="Y387" s="391"/>
      <c r="Z387" s="391"/>
      <c r="AA387" s="391"/>
      <c r="AB387" s="391"/>
    </row>
    <row r="388" spans="1:28" ht="15.6">
      <c r="A388" s="391"/>
      <c r="B388" s="1095" t="s">
        <v>1045</v>
      </c>
      <c r="C388" s="1095"/>
      <c r="D388" s="1096"/>
      <c r="E388" s="1096"/>
      <c r="F388" s="1096"/>
      <c r="G388" s="1096"/>
      <c r="H388" s="1096"/>
      <c r="I388" s="1096"/>
      <c r="J388" s="1097"/>
      <c r="O388" s="391"/>
      <c r="P388" s="406"/>
      <c r="Q388" s="406"/>
      <c r="R388" s="406"/>
      <c r="S388" s="406"/>
      <c r="T388" s="391"/>
      <c r="U388" s="391"/>
      <c r="V388" s="391"/>
      <c r="W388" s="391"/>
      <c r="X388" s="391"/>
      <c r="Y388" s="391"/>
      <c r="Z388" s="391"/>
      <c r="AA388" s="391"/>
      <c r="AB388" s="391"/>
    </row>
    <row r="389" spans="1:28" ht="15.6">
      <c r="A389" s="391"/>
      <c r="B389" s="408" t="s">
        <v>1024</v>
      </c>
      <c r="C389" s="408"/>
      <c r="D389" s="391"/>
      <c r="E389" s="391"/>
      <c r="F389" s="391"/>
      <c r="G389" s="391"/>
      <c r="H389" s="391"/>
      <c r="I389" s="391"/>
      <c r="O389" s="391"/>
      <c r="P389" s="406"/>
      <c r="Q389" s="406"/>
      <c r="R389" s="406"/>
      <c r="S389" s="406"/>
      <c r="T389" s="391"/>
      <c r="U389" s="391"/>
      <c r="V389" s="391"/>
      <c r="W389" s="391"/>
      <c r="X389" s="391"/>
      <c r="Y389" s="391"/>
      <c r="Z389" s="391"/>
      <c r="AA389" s="391"/>
      <c r="AB389" s="391"/>
    </row>
    <row r="390" spans="1:28" ht="15.6">
      <c r="A390" s="391"/>
      <c r="B390" s="398">
        <v>7074</v>
      </c>
      <c r="C390" s="398"/>
      <c r="D390" s="408" t="s">
        <v>1046</v>
      </c>
      <c r="E390" s="408"/>
      <c r="F390" s="391"/>
      <c r="G390" s="391"/>
      <c r="H390" s="391"/>
      <c r="I390" s="391"/>
      <c r="O390" s="407"/>
      <c r="P390" s="406"/>
      <c r="Q390" s="406"/>
      <c r="R390" s="406"/>
      <c r="S390" s="406"/>
      <c r="T390" s="391"/>
      <c r="U390" s="391"/>
      <c r="V390" s="391"/>
      <c r="W390" s="391"/>
      <c r="X390" s="391"/>
      <c r="Y390" s="391"/>
      <c r="Z390" s="391"/>
      <c r="AA390" s="391"/>
      <c r="AB390" s="391"/>
    </row>
    <row r="391" spans="1:28" ht="15.6">
      <c r="A391" s="391"/>
      <c r="B391" s="391"/>
      <c r="C391" s="391"/>
      <c r="D391" s="391"/>
      <c r="E391" s="391"/>
      <c r="F391" s="408" t="s">
        <v>917</v>
      </c>
      <c r="G391" s="391"/>
      <c r="H391" s="391"/>
      <c r="I391" s="408" t="s">
        <v>917</v>
      </c>
      <c r="O391" s="407"/>
      <c r="P391" s="406"/>
      <c r="Q391" s="406"/>
      <c r="R391" s="406"/>
      <c r="S391" s="406"/>
      <c r="T391" s="391"/>
      <c r="U391" s="391"/>
      <c r="V391" s="391"/>
      <c r="W391" s="391"/>
      <c r="X391" s="391"/>
      <c r="Y391" s="391"/>
      <c r="Z391" s="391"/>
      <c r="AA391" s="391"/>
      <c r="AB391" s="391"/>
    </row>
    <row r="392" spans="1:28" ht="15.6">
      <c r="A392" s="391"/>
      <c r="B392" s="408" t="s">
        <v>1047</v>
      </c>
      <c r="C392" s="408"/>
      <c r="F392" s="408" t="s">
        <v>1048</v>
      </c>
      <c r="G392" s="391"/>
      <c r="H392" s="391"/>
      <c r="I392" s="408" t="s">
        <v>1049</v>
      </c>
      <c r="O392" s="407"/>
      <c r="P392" s="406"/>
      <c r="Q392" s="406"/>
      <c r="R392" s="406"/>
      <c r="S392" s="406"/>
      <c r="T392" s="391"/>
      <c r="U392" s="391"/>
      <c r="V392" s="391"/>
      <c r="W392" s="391"/>
      <c r="X392" s="391"/>
      <c r="Y392" s="391"/>
      <c r="Z392" s="391"/>
      <c r="AA392" s="391"/>
      <c r="AB392" s="391"/>
    </row>
    <row r="393" spans="1:28" ht="15.6">
      <c r="A393" s="391"/>
      <c r="B393" s="1082" t="s">
        <v>1029</v>
      </c>
      <c r="C393" s="1082"/>
      <c r="D393" s="1085" t="s">
        <v>285</v>
      </c>
      <c r="E393" s="1085"/>
      <c r="F393" s="1083" t="s">
        <v>919</v>
      </c>
      <c r="G393" s="1085" t="s">
        <v>285</v>
      </c>
      <c r="H393" s="1084"/>
      <c r="I393" s="1083" t="s">
        <v>919</v>
      </c>
      <c r="J393" s="1085" t="s">
        <v>285</v>
      </c>
      <c r="O393" s="407" t="s">
        <v>1050</v>
      </c>
      <c r="P393" s="406"/>
      <c r="Q393" s="406"/>
      <c r="R393" s="406"/>
      <c r="S393" s="406"/>
      <c r="T393" s="391"/>
      <c r="U393" s="391"/>
      <c r="V393" s="391"/>
      <c r="W393" s="391"/>
      <c r="X393" s="391"/>
      <c r="Y393" s="391"/>
      <c r="Z393" s="391"/>
      <c r="AA393" s="391"/>
      <c r="AB393" s="391"/>
    </row>
    <row r="394" spans="1:28" ht="15.6">
      <c r="A394" s="391"/>
      <c r="B394" s="1130" t="s">
        <v>921</v>
      </c>
      <c r="C394" s="1130"/>
      <c r="D394" s="1114">
        <v>7753</v>
      </c>
      <c r="E394" s="398"/>
      <c r="F394" s="1130" t="s">
        <v>921</v>
      </c>
      <c r="G394" s="1114">
        <v>7074</v>
      </c>
      <c r="H394" s="391"/>
      <c r="I394" s="1088" t="s">
        <v>921</v>
      </c>
      <c r="J394" s="1131">
        <v>7594</v>
      </c>
      <c r="O394" s="391"/>
      <c r="P394" s="406"/>
      <c r="Q394" s="406"/>
      <c r="R394" s="406"/>
      <c r="S394" s="406"/>
      <c r="T394" s="391"/>
      <c r="U394" s="391"/>
      <c r="V394" s="391"/>
      <c r="W394" s="391"/>
      <c r="X394" s="391"/>
      <c r="Y394" s="391"/>
      <c r="Z394" s="391"/>
      <c r="AA394" s="391"/>
      <c r="AB394" s="391"/>
    </row>
    <row r="395" spans="1:28" ht="15.6">
      <c r="A395" s="391"/>
      <c r="B395" s="1130" t="s">
        <v>922</v>
      </c>
      <c r="C395" s="1130"/>
      <c r="D395" s="1120">
        <v>8197</v>
      </c>
      <c r="E395" s="394"/>
      <c r="F395" s="1130" t="s">
        <v>922</v>
      </c>
      <c r="G395" s="1120">
        <v>7265</v>
      </c>
      <c r="H395" s="391"/>
      <c r="I395" s="1088" t="s">
        <v>922</v>
      </c>
      <c r="J395" s="1132">
        <v>8197</v>
      </c>
      <c r="O395" s="408" t="s">
        <v>1051</v>
      </c>
      <c r="P395" s="391"/>
      <c r="Q395" s="391"/>
      <c r="R395" s="391"/>
      <c r="S395" s="391"/>
      <c r="T395" s="391"/>
      <c r="U395" s="391"/>
      <c r="V395" s="391"/>
      <c r="W395" s="391"/>
      <c r="X395" s="391"/>
      <c r="Y395" s="391"/>
      <c r="Z395" s="391"/>
      <c r="AA395" s="391"/>
      <c r="AB395" s="391"/>
    </row>
    <row r="396" spans="1:28" ht="15.6">
      <c r="A396" s="391"/>
      <c r="B396" s="1130" t="s">
        <v>923</v>
      </c>
      <c r="C396" s="1130"/>
      <c r="D396" s="1120">
        <v>7361</v>
      </c>
      <c r="E396" s="394"/>
      <c r="F396" s="1130" t="s">
        <v>923</v>
      </c>
      <c r="G396" s="1120">
        <v>7293</v>
      </c>
      <c r="H396" s="391"/>
      <c r="I396" s="1088" t="s">
        <v>923</v>
      </c>
      <c r="J396" s="1132">
        <v>7293</v>
      </c>
      <c r="O396" s="408"/>
      <c r="P396" s="408"/>
      <c r="Q396" s="391"/>
      <c r="R396" s="391"/>
      <c r="S396" s="391"/>
      <c r="T396" s="391"/>
      <c r="U396" s="391"/>
      <c r="V396" s="391"/>
      <c r="W396" s="391"/>
      <c r="X396" s="391"/>
      <c r="Y396" s="391"/>
      <c r="Z396" s="391"/>
      <c r="AA396" s="391"/>
      <c r="AB396" s="391"/>
    </row>
    <row r="397" spans="1:28" ht="31.2">
      <c r="A397" s="391"/>
      <c r="B397" s="1130" t="s">
        <v>1030</v>
      </c>
      <c r="C397" s="1130"/>
      <c r="D397" s="1120">
        <v>9165</v>
      </c>
      <c r="E397" s="394"/>
      <c r="F397" s="1130" t="s">
        <v>1030</v>
      </c>
      <c r="G397" s="1120">
        <v>7074</v>
      </c>
      <c r="H397" s="391"/>
      <c r="I397" s="1088" t="s">
        <v>924</v>
      </c>
      <c r="J397" s="1132">
        <v>7818</v>
      </c>
      <c r="O397" s="409" t="s">
        <v>1029</v>
      </c>
      <c r="P397" s="410" t="s">
        <v>1052</v>
      </c>
      <c r="Q397" s="411" t="s">
        <v>1053</v>
      </c>
      <c r="R397" s="391"/>
      <c r="S397" s="391"/>
      <c r="T397" s="391"/>
      <c r="U397" s="391"/>
      <c r="V397" s="391"/>
      <c r="W397" s="391"/>
      <c r="X397" s="391"/>
      <c r="Y397" s="391"/>
      <c r="Z397" s="391"/>
      <c r="AA397" s="391"/>
      <c r="AB397" s="391"/>
    </row>
    <row r="398" spans="1:28" ht="15.6">
      <c r="A398" s="397">
        <f t="shared" ref="A398:A414" si="174">ROW()-39</f>
        <v>359</v>
      </c>
      <c r="B398" s="1130" t="s">
        <v>924</v>
      </c>
      <c r="C398" s="1130"/>
      <c r="D398" s="1120">
        <v>9267</v>
      </c>
      <c r="E398" s="394"/>
      <c r="F398" s="1130" t="s">
        <v>924</v>
      </c>
      <c r="G398" s="1120">
        <v>7265</v>
      </c>
      <c r="H398" s="391"/>
      <c r="I398" s="1088" t="s">
        <v>925</v>
      </c>
      <c r="J398" s="1132">
        <v>7074</v>
      </c>
      <c r="O398" s="412" t="s">
        <v>914</v>
      </c>
      <c r="P398" s="413">
        <f>+R15</f>
        <v>8429.3823475451609</v>
      </c>
      <c r="Q398" s="414">
        <f>500000/(P398/4)</f>
        <v>237.26530812574282</v>
      </c>
      <c r="R398" s="391"/>
      <c r="S398" s="391"/>
      <c r="T398" s="391"/>
      <c r="U398" s="391"/>
      <c r="V398" s="391"/>
      <c r="W398" s="391"/>
      <c r="X398" s="391"/>
      <c r="Y398" s="391"/>
      <c r="Z398" s="391"/>
      <c r="AA398" s="391"/>
      <c r="AB398" s="391"/>
    </row>
    <row r="399" spans="1:28" ht="15.6">
      <c r="A399" s="397">
        <f t="shared" si="174"/>
        <v>360</v>
      </c>
      <c r="B399" s="1130" t="s">
        <v>1031</v>
      </c>
      <c r="C399" s="1130"/>
      <c r="D399" s="1120">
        <v>22331</v>
      </c>
      <c r="E399" s="394"/>
      <c r="F399" s="1130" t="s">
        <v>1031</v>
      </c>
      <c r="G399" s="1120">
        <v>7265</v>
      </c>
      <c r="H399" s="391"/>
      <c r="I399" s="1088" t="s">
        <v>926</v>
      </c>
      <c r="J399" s="1132">
        <v>10501</v>
      </c>
      <c r="O399" s="386" t="s">
        <v>916</v>
      </c>
      <c r="P399" s="415">
        <f>+R17</f>
        <v>8326.4897724523435</v>
      </c>
      <c r="Q399" s="415">
        <f t="shared" ref="Q399:Q414" si="175">500000/(P399/4)</f>
        <v>240.19725654583419</v>
      </c>
      <c r="R399" s="391"/>
      <c r="S399" s="391"/>
      <c r="T399" s="391"/>
      <c r="U399" s="391"/>
      <c r="V399" s="391"/>
      <c r="W399" s="391"/>
      <c r="X399" s="391"/>
      <c r="Y399" s="391"/>
      <c r="Z399" s="391"/>
      <c r="AA399" s="391"/>
      <c r="AB399" s="391"/>
    </row>
    <row r="400" spans="1:28" ht="15.6">
      <c r="A400" s="397">
        <f t="shared" si="174"/>
        <v>361</v>
      </c>
      <c r="B400" s="1130" t="s">
        <v>1032</v>
      </c>
      <c r="C400" s="1130"/>
      <c r="D400" s="1120">
        <v>33701</v>
      </c>
      <c r="E400" s="394"/>
      <c r="F400" s="1130" t="s">
        <v>1032</v>
      </c>
      <c r="G400" s="1113">
        <v>7265</v>
      </c>
      <c r="H400" s="394"/>
      <c r="I400" s="1088" t="s">
        <v>1033</v>
      </c>
      <c r="J400" s="1133">
        <f>+B390</f>
        <v>7074</v>
      </c>
      <c r="O400" s="386" t="s">
        <v>257</v>
      </c>
      <c r="P400" s="415">
        <f>+R28</f>
        <v>7242.9499619081098</v>
      </c>
      <c r="Q400" s="415">
        <f t="shared" si="175"/>
        <v>276.13058360451691</v>
      </c>
      <c r="R400" s="391"/>
      <c r="S400" s="391"/>
      <c r="T400" s="391"/>
      <c r="U400" s="391"/>
      <c r="V400" s="391"/>
      <c r="W400" s="391"/>
      <c r="X400" s="391"/>
      <c r="Y400" s="391"/>
      <c r="Z400" s="391"/>
      <c r="AA400" s="391"/>
      <c r="AB400" s="391"/>
    </row>
    <row r="401" spans="1:28" ht="15.6">
      <c r="A401" s="397">
        <f t="shared" si="174"/>
        <v>362</v>
      </c>
      <c r="B401" s="1130" t="s">
        <v>1034</v>
      </c>
      <c r="C401" s="1130"/>
      <c r="D401" s="1120">
        <v>9701</v>
      </c>
      <c r="E401" s="394"/>
      <c r="F401" s="1130" t="s">
        <v>1034</v>
      </c>
      <c r="G401" s="1113">
        <v>7265</v>
      </c>
      <c r="H401" s="394"/>
      <c r="O401" s="386" t="s">
        <v>928</v>
      </c>
      <c r="P401" s="415">
        <f>+R29</f>
        <v>9339.7290423366921</v>
      </c>
      <c r="Q401" s="415">
        <f t="shared" si="175"/>
        <v>214.13897458203169</v>
      </c>
      <c r="R401" s="391"/>
      <c r="S401" s="391"/>
      <c r="T401" s="391"/>
      <c r="U401" s="391"/>
      <c r="V401" s="391"/>
      <c r="W401" s="391"/>
      <c r="X401" s="391"/>
      <c r="Y401" s="391"/>
      <c r="Z401" s="391"/>
      <c r="AA401" s="391"/>
      <c r="AB401" s="391"/>
    </row>
    <row r="402" spans="1:28" ht="15.6">
      <c r="A402" s="397">
        <f t="shared" si="174"/>
        <v>363</v>
      </c>
      <c r="B402" s="1130" t="s">
        <v>1035</v>
      </c>
      <c r="C402" s="1130"/>
      <c r="D402" s="1120">
        <v>10683</v>
      </c>
      <c r="E402" s="394"/>
      <c r="F402" s="1130" t="s">
        <v>1035</v>
      </c>
      <c r="G402" s="1113">
        <v>7265</v>
      </c>
      <c r="H402" s="394"/>
      <c r="I402" s="1080" t="s">
        <v>942</v>
      </c>
      <c r="J402" s="1081"/>
      <c r="O402" s="386" t="s">
        <v>930</v>
      </c>
      <c r="P402" s="415">
        <f t="shared" ref="P402:P414" si="176">+R31</f>
        <v>9420.3898852952661</v>
      </c>
      <c r="Q402" s="415">
        <f t="shared" si="175"/>
        <v>212.30543792268034</v>
      </c>
      <c r="R402" s="391"/>
      <c r="S402" s="391"/>
      <c r="T402" s="391"/>
      <c r="U402" s="391"/>
      <c r="V402" s="391"/>
      <c r="W402" s="391"/>
      <c r="X402" s="391"/>
      <c r="Y402" s="391"/>
      <c r="Z402" s="391"/>
      <c r="AA402" s="391"/>
      <c r="AB402" s="391"/>
    </row>
    <row r="403" spans="1:28" ht="15.6">
      <c r="A403" s="397">
        <f t="shared" si="174"/>
        <v>364</v>
      </c>
      <c r="B403" s="1130" t="s">
        <v>1036</v>
      </c>
      <c r="C403" s="1130"/>
      <c r="D403" s="1120">
        <v>13707</v>
      </c>
      <c r="E403" s="394"/>
      <c r="F403" s="1130" t="s">
        <v>1036</v>
      </c>
      <c r="G403" s="1113">
        <v>7265</v>
      </c>
      <c r="H403" s="394"/>
      <c r="I403" s="1088" t="s">
        <v>992</v>
      </c>
      <c r="J403" s="1134" t="s">
        <v>1037</v>
      </c>
      <c r="O403" s="386" t="s">
        <v>931</v>
      </c>
      <c r="P403" s="415">
        <f t="shared" si="176"/>
        <v>30219.263550370324</v>
      </c>
      <c r="Q403" s="415">
        <f t="shared" si="175"/>
        <v>66.182949715711743</v>
      </c>
      <c r="R403" s="391"/>
      <c r="S403" s="391"/>
      <c r="T403" s="391"/>
      <c r="U403" s="391"/>
      <c r="V403" s="391"/>
      <c r="W403" s="391"/>
      <c r="X403" s="391"/>
      <c r="Y403" s="391"/>
      <c r="Z403" s="391"/>
      <c r="AA403" s="391"/>
      <c r="AB403" s="391"/>
    </row>
    <row r="404" spans="1:28" ht="15.6">
      <c r="A404" s="397">
        <f t="shared" si="174"/>
        <v>365</v>
      </c>
      <c r="B404" s="1130" t="s">
        <v>1038</v>
      </c>
      <c r="C404" s="1130"/>
      <c r="D404" s="1120">
        <v>8644</v>
      </c>
      <c r="E404" s="394"/>
      <c r="F404" s="1130" t="s">
        <v>1038</v>
      </c>
      <c r="G404" s="1113">
        <v>7074</v>
      </c>
      <c r="H404" s="394"/>
      <c r="I404" s="1088" t="s">
        <v>947</v>
      </c>
      <c r="J404" s="1088">
        <v>0.23</v>
      </c>
      <c r="O404" s="386" t="s">
        <v>932</v>
      </c>
      <c r="P404" s="415">
        <f t="shared" si="176"/>
        <v>31067.774574253475</v>
      </c>
      <c r="Q404" s="415">
        <f t="shared" si="175"/>
        <v>64.375386631569114</v>
      </c>
      <c r="R404" s="391"/>
      <c r="S404" s="391"/>
      <c r="T404" s="391"/>
      <c r="U404" s="391"/>
      <c r="V404" s="391"/>
      <c r="W404" s="391"/>
      <c r="X404" s="391"/>
      <c r="Y404" s="391"/>
      <c r="Z404" s="391"/>
      <c r="AA404" s="391"/>
      <c r="AB404" s="391"/>
    </row>
    <row r="405" spans="1:28" ht="15.6">
      <c r="A405" s="397">
        <f t="shared" si="174"/>
        <v>366</v>
      </c>
      <c r="B405" s="1130" t="s">
        <v>1039</v>
      </c>
      <c r="C405" s="1130"/>
      <c r="D405" s="1120">
        <v>12447</v>
      </c>
      <c r="E405" s="394"/>
      <c r="F405" s="1130" t="s">
        <v>1039</v>
      </c>
      <c r="G405" s="1113">
        <v>7265</v>
      </c>
      <c r="H405" s="394"/>
      <c r="I405" s="1088" t="s">
        <v>1040</v>
      </c>
      <c r="J405" s="1088">
        <v>0.03</v>
      </c>
      <c r="K405" t="s">
        <v>1041</v>
      </c>
      <c r="O405" s="386" t="s">
        <v>933</v>
      </c>
      <c r="P405" s="415">
        <f t="shared" si="176"/>
        <v>9688.9168173623493</v>
      </c>
      <c r="Q405" s="415">
        <f t="shared" si="175"/>
        <v>206.42142333351848</v>
      </c>
      <c r="R405" s="391"/>
      <c r="S405" s="391"/>
      <c r="T405" s="391"/>
      <c r="U405" s="391"/>
      <c r="V405" s="391"/>
      <c r="W405" s="391"/>
      <c r="X405" s="391"/>
      <c r="Y405" s="391"/>
      <c r="Z405" s="391"/>
      <c r="AA405" s="391"/>
      <c r="AB405" s="391"/>
    </row>
    <row r="406" spans="1:28" ht="15.6">
      <c r="A406" s="397">
        <f t="shared" si="174"/>
        <v>367</v>
      </c>
      <c r="B406" s="1130" t="s">
        <v>1042</v>
      </c>
      <c r="C406" s="1130"/>
      <c r="D406" s="1120">
        <v>8881</v>
      </c>
      <c r="E406" s="394"/>
      <c r="F406" s="1130" t="s">
        <v>1042</v>
      </c>
      <c r="G406" s="1113">
        <v>7265</v>
      </c>
      <c r="H406" s="394"/>
      <c r="I406" s="1088" t="s">
        <v>949</v>
      </c>
      <c r="J406" s="1088">
        <v>0.12</v>
      </c>
      <c r="O406" s="386" t="s">
        <v>934</v>
      </c>
      <c r="P406" s="415">
        <f t="shared" si="176"/>
        <v>12053.338724633586</v>
      </c>
      <c r="Q406" s="415">
        <f t="shared" si="175"/>
        <v>165.92912932186752</v>
      </c>
      <c r="R406" s="391"/>
      <c r="S406" s="391"/>
      <c r="T406" s="391"/>
      <c r="U406" s="391"/>
      <c r="V406" s="391"/>
      <c r="W406" s="391"/>
      <c r="X406" s="391"/>
      <c r="Y406" s="391"/>
      <c r="Z406" s="391"/>
      <c r="AA406" s="391"/>
      <c r="AB406" s="391"/>
    </row>
    <row r="407" spans="1:28" ht="15.6">
      <c r="A407" s="397">
        <f t="shared" si="174"/>
        <v>368</v>
      </c>
      <c r="B407" s="1130" t="s">
        <v>1043</v>
      </c>
      <c r="C407" s="1130"/>
      <c r="D407" s="1120">
        <v>11779</v>
      </c>
      <c r="E407" s="394"/>
      <c r="F407" s="1130" t="s">
        <v>1043</v>
      </c>
      <c r="G407" s="1113">
        <v>7265</v>
      </c>
      <c r="H407" s="394"/>
      <c r="O407" s="386" t="s">
        <v>936</v>
      </c>
      <c r="P407" s="415">
        <f t="shared" si="176"/>
        <v>13816.314817401271</v>
      </c>
      <c r="Q407" s="415">
        <f t="shared" si="175"/>
        <v>144.75640041735693</v>
      </c>
      <c r="R407" s="391"/>
      <c r="S407" s="391"/>
      <c r="T407" s="391"/>
      <c r="U407" s="391"/>
      <c r="V407" s="391"/>
      <c r="W407" s="391"/>
      <c r="X407" s="391"/>
      <c r="Y407" s="391"/>
      <c r="Z407" s="391"/>
      <c r="AA407" s="391"/>
      <c r="AB407" s="391"/>
    </row>
    <row r="408" spans="1:28" ht="15.6">
      <c r="A408" s="397">
        <f t="shared" si="174"/>
        <v>369</v>
      </c>
      <c r="B408" s="1130" t="s">
        <v>1044</v>
      </c>
      <c r="C408" s="1130"/>
      <c r="D408" s="1120">
        <v>23243</v>
      </c>
      <c r="E408" s="394"/>
      <c r="F408" s="1130" t="s">
        <v>1044</v>
      </c>
      <c r="G408" s="1113">
        <v>7074</v>
      </c>
      <c r="H408" s="394"/>
      <c r="O408" s="386" t="s">
        <v>938</v>
      </c>
      <c r="P408" s="415">
        <f t="shared" si="176"/>
        <v>8767.3826380934333</v>
      </c>
      <c r="Q408" s="415">
        <f t="shared" si="175"/>
        <v>228.11825176994017</v>
      </c>
      <c r="R408" s="391"/>
      <c r="S408" s="391"/>
      <c r="T408" s="391"/>
      <c r="U408" s="391"/>
      <c r="V408" s="391"/>
      <c r="W408" s="391"/>
      <c r="X408" s="391"/>
      <c r="Y408" s="391"/>
      <c r="Z408" s="391"/>
      <c r="AA408" s="391"/>
      <c r="AB408" s="391"/>
    </row>
    <row r="409" spans="1:28" ht="15.6">
      <c r="A409" s="397">
        <f t="shared" si="174"/>
        <v>370</v>
      </c>
      <c r="B409" s="1130" t="s">
        <v>925</v>
      </c>
      <c r="C409" s="1130"/>
      <c r="D409" s="1120">
        <v>7318</v>
      </c>
      <c r="E409" s="394"/>
      <c r="F409" s="1130" t="s">
        <v>925</v>
      </c>
      <c r="G409" s="1113">
        <v>7074</v>
      </c>
      <c r="H409" s="394"/>
      <c r="I409" s="391"/>
      <c r="O409" s="386" t="s">
        <v>939</v>
      </c>
      <c r="P409" s="415">
        <f t="shared" si="176"/>
        <v>11805.646509297234</v>
      </c>
      <c r="Q409" s="415">
        <f t="shared" si="175"/>
        <v>169.41045951400895</v>
      </c>
      <c r="R409" s="391"/>
      <c r="S409" s="391"/>
      <c r="T409" s="391"/>
      <c r="U409" s="391"/>
      <c r="V409" s="391"/>
      <c r="W409" s="391"/>
      <c r="X409" s="391"/>
      <c r="Y409" s="391"/>
      <c r="Z409" s="391"/>
      <c r="AA409" s="391"/>
      <c r="AB409" s="391"/>
    </row>
    <row r="410" spans="1:28" ht="15.6">
      <c r="A410" s="397">
        <f t="shared" si="174"/>
        <v>371</v>
      </c>
      <c r="B410" s="1130" t="s">
        <v>926</v>
      </c>
      <c r="C410" s="1130"/>
      <c r="D410" s="1114">
        <v>11444.55</v>
      </c>
      <c r="E410" s="398"/>
      <c r="F410" s="1130" t="s">
        <v>926</v>
      </c>
      <c r="G410" s="1113">
        <v>7265</v>
      </c>
      <c r="H410" s="394"/>
      <c r="I410" s="391"/>
      <c r="O410" s="386" t="s">
        <v>941</v>
      </c>
      <c r="P410" s="415">
        <f t="shared" si="176"/>
        <v>9793.7160516863933</v>
      </c>
      <c r="Q410" s="415">
        <f t="shared" si="175"/>
        <v>204.21257768195323</v>
      </c>
      <c r="R410" s="391"/>
      <c r="S410" s="391"/>
      <c r="T410" s="391"/>
      <c r="U410" s="391"/>
      <c r="V410" s="391"/>
      <c r="W410" s="391"/>
      <c r="X410" s="391"/>
      <c r="Y410" s="391"/>
      <c r="Z410" s="391"/>
      <c r="AA410" s="391"/>
      <c r="AB410" s="391"/>
    </row>
    <row r="411" spans="1:28" ht="15.6">
      <c r="A411" s="397">
        <f t="shared" si="174"/>
        <v>372</v>
      </c>
      <c r="B411" s="391"/>
      <c r="C411" s="391"/>
      <c r="D411" s="391"/>
      <c r="E411" s="391"/>
      <c r="F411" s="391" t="s">
        <v>1033</v>
      </c>
      <c r="G411" s="1086">
        <f>+B390</f>
        <v>7074</v>
      </c>
      <c r="H411" s="391"/>
      <c r="I411" s="391"/>
      <c r="O411" s="386" t="s">
        <v>943</v>
      </c>
      <c r="P411" s="415">
        <f t="shared" si="176"/>
        <v>12894.414156081819</v>
      </c>
      <c r="Q411" s="415">
        <f t="shared" si="175"/>
        <v>155.10592228470293</v>
      </c>
      <c r="R411" s="391"/>
      <c r="S411" s="391"/>
      <c r="T411" s="391"/>
      <c r="U411" s="391"/>
      <c r="V411" s="391"/>
      <c r="W411" s="391"/>
      <c r="X411" s="391"/>
      <c r="Y411" s="391"/>
      <c r="Z411" s="391"/>
      <c r="AA411" s="391"/>
      <c r="AB411" s="391"/>
    </row>
    <row r="412" spans="1:28" ht="15.6">
      <c r="A412" s="397">
        <f t="shared" si="174"/>
        <v>373</v>
      </c>
      <c r="O412" s="386" t="s">
        <v>946</v>
      </c>
      <c r="P412" s="415">
        <f t="shared" si="176"/>
        <v>16352.403262371867</v>
      </c>
      <c r="Q412" s="415">
        <f t="shared" si="175"/>
        <v>122.30618141629085</v>
      </c>
      <c r="R412" s="391"/>
      <c r="S412" s="391"/>
      <c r="T412" s="391"/>
      <c r="U412" s="391"/>
      <c r="V412" s="391"/>
      <c r="W412" s="391"/>
      <c r="X412" s="391"/>
      <c r="Y412" s="391"/>
      <c r="Z412" s="391"/>
      <c r="AA412" s="391"/>
      <c r="AB412" s="391"/>
    </row>
    <row r="413" spans="1:28" ht="15.6">
      <c r="A413" s="397">
        <f t="shared" si="174"/>
        <v>374</v>
      </c>
      <c r="O413" s="386" t="s">
        <v>935</v>
      </c>
      <c r="P413" s="415">
        <f t="shared" si="176"/>
        <v>7451.3102570989922</v>
      </c>
      <c r="Q413" s="415">
        <f t="shared" si="175"/>
        <v>268.4091697959517</v>
      </c>
      <c r="R413" s="391"/>
      <c r="S413" s="391"/>
      <c r="T413" s="391"/>
      <c r="U413" s="391"/>
      <c r="V413" s="391"/>
      <c r="W413" s="391"/>
      <c r="X413" s="391"/>
      <c r="Y413" s="391"/>
      <c r="Z413" s="391"/>
      <c r="AA413" s="391"/>
      <c r="AB413" s="391"/>
    </row>
    <row r="414" spans="1:28" ht="15.6">
      <c r="A414" s="397">
        <f t="shared" si="174"/>
        <v>375</v>
      </c>
      <c r="O414" s="386" t="s">
        <v>937</v>
      </c>
      <c r="P414" s="416">
        <f t="shared" si="176"/>
        <v>11115.885152830571</v>
      </c>
      <c r="Q414" s="415">
        <f t="shared" si="175"/>
        <v>179.92269373984274</v>
      </c>
      <c r="R414" s="391"/>
      <c r="S414" s="391"/>
      <c r="T414" s="391"/>
      <c r="U414" s="391"/>
      <c r="V414" s="391"/>
      <c r="W414" s="391"/>
      <c r="X414" s="391"/>
      <c r="Y414" s="391"/>
      <c r="Z414" s="391"/>
      <c r="AA414" s="391"/>
      <c r="AB414" s="391"/>
    </row>
    <row r="415" spans="1:28" ht="15.6">
      <c r="A415" s="391"/>
      <c r="O415" s="391"/>
      <c r="P415" s="391"/>
      <c r="Q415" s="391"/>
      <c r="R415" s="391"/>
      <c r="S415" s="391"/>
      <c r="T415" s="391"/>
      <c r="U415" s="391"/>
      <c r="V415" s="391"/>
      <c r="W415" s="391"/>
      <c r="X415" s="391"/>
      <c r="Y415" s="391"/>
      <c r="Z415" s="391"/>
      <c r="AA415" s="391"/>
      <c r="AB415" s="391"/>
    </row>
    <row r="416" spans="1:28" ht="15.6">
      <c r="A416" s="391"/>
      <c r="O416" s="417" t="s">
        <v>1054</v>
      </c>
      <c r="P416" s="391"/>
      <c r="Q416" s="391"/>
      <c r="R416" s="391"/>
      <c r="S416" s="391"/>
      <c r="T416" s="391"/>
      <c r="U416" s="391"/>
      <c r="V416" s="391"/>
      <c r="W416" s="391"/>
      <c r="X416" s="391"/>
      <c r="Y416" s="391"/>
      <c r="Z416" s="391"/>
      <c r="AA416" s="391"/>
      <c r="AB416" s="391"/>
    </row>
    <row r="417" spans="1:28" ht="15.6">
      <c r="A417" s="391"/>
      <c r="O417" s="391"/>
      <c r="P417" s="391"/>
      <c r="Q417" s="391"/>
      <c r="R417" s="391"/>
      <c r="S417" s="391"/>
      <c r="T417" s="391"/>
      <c r="U417" s="391"/>
      <c r="V417" s="391"/>
      <c r="W417" s="391"/>
      <c r="X417" s="391"/>
      <c r="Y417" s="391"/>
      <c r="Z417" s="391"/>
      <c r="AA417" s="391"/>
      <c r="AB417" s="391"/>
    </row>
    <row r="418" spans="1:28">
      <c r="P418" s="1367"/>
      <c r="Q418" s="1367"/>
      <c r="R418" s="1367"/>
      <c r="S418" s="1367"/>
    </row>
  </sheetData>
  <sheetProtection algorithmName="SHA-512" hashValue="7OhYwS2em9IX7xZJG4r7OoyX6RYWIinVuKo2GR2hgXCaFCT37NvT6XevNU6O8ONbRQZEpY8i1k/tRECcZDhf2A==" saltValue="sW4/mRBHVlqU+m4QT+rLaQ==" spinCount="100000" sheet="1" objects="1" scenarios="1"/>
  <mergeCells count="2">
    <mergeCell ref="P11:Q11"/>
    <mergeCell ref="V11:W11"/>
  </mergeCells>
  <conditionalFormatting sqref="Z45:Z265">
    <cfRule type="expression" dxfId="560" priority="23" stopIfTrue="1">
      <formula>MOD(ROW(),2)=0</formula>
    </cfRule>
  </conditionalFormatting>
  <conditionalFormatting sqref="O398:Q414">
    <cfRule type="expression" dxfId="559" priority="27" stopIfTrue="1">
      <formula>MOD(ROW(),2)=0</formula>
    </cfRule>
  </conditionalFormatting>
  <conditionalFormatting sqref="Y1">
    <cfRule type="expression" dxfId="558" priority="3" stopIfTrue="1">
      <formula>MOD(ROW(),2)=0</formula>
    </cfRule>
  </conditionalFormatting>
  <conditionalFormatting sqref="Q1">
    <cfRule type="expression" dxfId="557" priority="2" stopIfTrue="1">
      <formula>MOD(ROW(),2)=0</formula>
    </cfRule>
  </conditionalFormatting>
  <hyperlinks>
    <hyperlink ref="Q1" location="HypLink1" display="HypLink1" xr:uid="{9E2FC4C3-8621-475D-8FFA-7FBF029BDE36}"/>
  </hyperlinks>
  <pageMargins left="0.25" right="0.25" top="0.5" bottom="0.45" header="0.25" footer="0.25"/>
  <pageSetup scale="89" orientation="landscape" r:id="rId1"/>
  <headerFooter>
    <oddHeader xml:space="preserve">&amp;L &amp;C &amp;R </oddHeader>
    <oddFooter>&amp;L&amp;7&amp;D  at &amp;T Mike 702.486.8879&amp;C&amp;7&amp;F  &amp;A&amp;R&amp;7Page &amp;P of &amp;N</oddFooter>
  </headerFooter>
  <rowBreaks count="4" manualBreakCount="4">
    <brk id="40" max="13" man="1"/>
    <brk id="85" max="13" man="1"/>
    <brk id="265" max="13" man="1"/>
    <brk id="392"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39E08-0573-4CC0-9E20-DE8D0F994E8E}">
  <sheetPr codeName="Sheet17">
    <tabColor theme="0" tint="-0.249977111117893"/>
  </sheetPr>
  <dimension ref="A1:N43"/>
  <sheetViews>
    <sheetView workbookViewId="0"/>
  </sheetViews>
  <sheetFormatPr defaultColWidth="9.109375" defaultRowHeight="13.2"/>
  <cols>
    <col min="1" max="1" width="30" style="207" customWidth="1"/>
    <col min="2" max="2" width="30.88671875" style="207" customWidth="1"/>
    <col min="3" max="4" width="9" style="207" customWidth="1"/>
    <col min="5" max="5" width="7.44140625" style="1731" customWidth="1"/>
    <col min="6" max="6" width="7" style="1731" customWidth="1"/>
    <col min="7" max="7" width="12" style="1731" customWidth="1"/>
    <col min="8" max="8" width="8.33203125" style="1731" customWidth="1"/>
    <col min="9" max="9" width="12.5546875" style="1731" customWidth="1"/>
    <col min="10" max="10" width="8.5546875" style="1731" customWidth="1"/>
    <col min="11" max="11" width="12.6640625" style="1731" customWidth="1"/>
    <col min="12" max="12" width="11.44140625" style="1731" customWidth="1"/>
    <col min="13" max="13" width="10.5546875" style="1731" customWidth="1"/>
    <col min="14" max="14" width="2.88671875" style="207" customWidth="1"/>
    <col min="15" max="16384" width="9.109375" style="207"/>
  </cols>
  <sheetData>
    <row r="1" spans="1:14" ht="15.6">
      <c r="A1" s="210" t="s">
        <v>1055</v>
      </c>
      <c r="B1" s="210"/>
      <c r="D1" s="438" t="s">
        <v>2</v>
      </c>
      <c r="H1" s="1732" t="s">
        <v>716</v>
      </c>
      <c r="I1" s="1732" t="s">
        <v>717</v>
      </c>
      <c r="J1" s="1732" t="s">
        <v>718</v>
      </c>
      <c r="K1" s="1732" t="s">
        <v>719</v>
      </c>
      <c r="L1" s="1732" t="s">
        <v>720</v>
      </c>
      <c r="M1" s="1733" t="s">
        <v>721</v>
      </c>
    </row>
    <row r="2" spans="1:14" ht="15.6">
      <c r="A2" s="211" t="str">
        <f>SchoolName</f>
        <v>Eagle Charter Schools of Nevada</v>
      </c>
      <c r="B2" s="211"/>
      <c r="H2" s="1734">
        <f>+' Enrol &amp; Rev'!G10</f>
        <v>2023</v>
      </c>
      <c r="I2" s="1735">
        <f>+H3</f>
        <v>2024</v>
      </c>
      <c r="J2" s="1735">
        <f>+I3</f>
        <v>2025</v>
      </c>
      <c r="K2" s="1735">
        <f>+J3</f>
        <v>2026</v>
      </c>
      <c r="L2" s="1735">
        <f>+K3</f>
        <v>2027</v>
      </c>
      <c r="M2" s="1736">
        <f>+L3</f>
        <v>2028</v>
      </c>
    </row>
    <row r="3" spans="1:14" ht="15.6">
      <c r="A3" s="208" t="s">
        <v>72</v>
      </c>
      <c r="H3" s="1737">
        <f t="shared" ref="H3:M3" si="0">+H2+1</f>
        <v>2024</v>
      </c>
      <c r="I3" s="1738">
        <f t="shared" si="0"/>
        <v>2025</v>
      </c>
      <c r="J3" s="1738">
        <f t="shared" si="0"/>
        <v>2026</v>
      </c>
      <c r="K3" s="1738">
        <f t="shared" si="0"/>
        <v>2027</v>
      </c>
      <c r="L3" s="1738">
        <f t="shared" si="0"/>
        <v>2028</v>
      </c>
      <c r="M3" s="1739">
        <f t="shared" si="0"/>
        <v>2029</v>
      </c>
    </row>
    <row r="4" spans="1:14" ht="13.8">
      <c r="A4" s="209" t="s">
        <v>73</v>
      </c>
      <c r="F4" s="1731" t="s">
        <v>1056</v>
      </c>
      <c r="H4" s="1740">
        <f>+' Enrol &amp; Rev'!G35</f>
        <v>540</v>
      </c>
      <c r="I4" s="1740">
        <f>+' Enrol &amp; Rev'!H35</f>
        <v>648</v>
      </c>
      <c r="J4" s="1740">
        <f>+' Enrol &amp; Rev'!I35</f>
        <v>756</v>
      </c>
      <c r="K4" s="1740">
        <f>+' Enrol &amp; Rev'!J35</f>
        <v>864</v>
      </c>
      <c r="L4" s="1740">
        <f>+' Enrol &amp; Rev'!K35</f>
        <v>891</v>
      </c>
      <c r="M4" s="1740">
        <f>+' Enrol &amp; Rev'!L35</f>
        <v>918</v>
      </c>
    </row>
    <row r="5" spans="1:14" ht="13.8">
      <c r="A5" s="229" t="str">
        <f ca="1">CELL("filename")</f>
        <v>C:\Users\Nicho\Desktop\[Attachment 2.  Eagle NV RFA 12.16.22.xlsx]CF Y1 Mo</v>
      </c>
      <c r="F5" s="1731" t="s">
        <v>1057</v>
      </c>
      <c r="H5" s="1741">
        <f>+' Enrol &amp; Rev'!G18</f>
        <v>20</v>
      </c>
      <c r="I5" s="1741">
        <f>+' Enrol &amp; Rev'!H18</f>
        <v>24</v>
      </c>
      <c r="J5" s="1741">
        <f>+' Enrol &amp; Rev'!I18</f>
        <v>28</v>
      </c>
      <c r="K5" s="1741">
        <f>+' Enrol &amp; Rev'!J18</f>
        <v>32</v>
      </c>
      <c r="L5" s="1741">
        <f>+' Enrol &amp; Rev'!K18</f>
        <v>33</v>
      </c>
      <c r="M5" s="1741">
        <f>+' Enrol &amp; Rev'!L18</f>
        <v>34</v>
      </c>
    </row>
    <row r="6" spans="1:14" ht="13.8">
      <c r="F6" s="1731" t="s">
        <v>1058</v>
      </c>
      <c r="H6" s="1741">
        <f>IFERROR(H4/H5,0)</f>
        <v>27</v>
      </c>
      <c r="I6" s="1741">
        <f t="shared" ref="I6:M6" si="1">IFERROR(I4/I5,0)</f>
        <v>27</v>
      </c>
      <c r="J6" s="1741">
        <f t="shared" si="1"/>
        <v>27</v>
      </c>
      <c r="K6" s="1741">
        <f t="shared" si="1"/>
        <v>27</v>
      </c>
      <c r="L6" s="1741">
        <f t="shared" si="1"/>
        <v>27</v>
      </c>
      <c r="M6" s="1741">
        <f t="shared" si="1"/>
        <v>27</v>
      </c>
    </row>
    <row r="7" spans="1:14" ht="17.25" customHeight="1">
      <c r="A7" s="821" t="s">
        <v>1059</v>
      </c>
      <c r="B7" s="822"/>
      <c r="C7" s="822"/>
      <c r="D7" s="822"/>
      <c r="E7" s="1742"/>
      <c r="F7" s="1742"/>
      <c r="G7" s="1742"/>
      <c r="H7" s="1742"/>
      <c r="I7" s="1742"/>
      <c r="J7" s="1742"/>
      <c r="K7" s="1742"/>
      <c r="L7" s="1742"/>
      <c r="M7" s="1742"/>
      <c r="N7" s="228"/>
    </row>
    <row r="8" spans="1:14" ht="19.5" customHeight="1">
      <c r="A8" s="223" t="s">
        <v>1060</v>
      </c>
      <c r="B8" s="225" t="s">
        <v>1061</v>
      </c>
      <c r="C8" s="226" t="s">
        <v>1062</v>
      </c>
      <c r="D8" s="226" t="s">
        <v>1063</v>
      </c>
      <c r="E8" s="1743" t="s">
        <v>1064</v>
      </c>
      <c r="F8" s="2228" t="s">
        <v>1065</v>
      </c>
      <c r="G8" s="2229"/>
      <c r="H8" s="2228" t="s">
        <v>1066</v>
      </c>
      <c r="I8" s="2229"/>
      <c r="J8" s="2228" t="s">
        <v>1067</v>
      </c>
      <c r="K8" s="2229"/>
      <c r="L8" s="2228" t="s">
        <v>1068</v>
      </c>
      <c r="M8" s="2229"/>
    </row>
    <row r="9" spans="1:14" ht="13.8">
      <c r="A9" s="234" t="s">
        <v>405</v>
      </c>
      <c r="B9" s="237" t="s">
        <v>1069</v>
      </c>
      <c r="C9" s="224"/>
      <c r="D9" s="224"/>
      <c r="E9" s="1744"/>
      <c r="F9" s="274">
        <v>500</v>
      </c>
      <c r="G9" s="1745"/>
      <c r="H9" s="274">
        <v>400</v>
      </c>
      <c r="I9" s="1746"/>
      <c r="J9" s="274">
        <f>+H4</f>
        <v>540</v>
      </c>
      <c r="K9" s="1746"/>
      <c r="L9" s="274">
        <f>+K4</f>
        <v>864</v>
      </c>
      <c r="M9" s="1746"/>
    </row>
    <row r="10" spans="1:14" ht="13.8">
      <c r="A10" s="235" t="s">
        <v>1070</v>
      </c>
      <c r="B10" s="238" t="s">
        <v>1071</v>
      </c>
      <c r="C10" s="216"/>
      <c r="D10" s="216"/>
      <c r="E10" s="1747"/>
      <c r="F10" s="1748"/>
      <c r="G10" s="1749"/>
      <c r="H10" s="1750"/>
      <c r="I10" s="1751"/>
      <c r="J10" s="1750"/>
      <c r="K10" s="1751"/>
      <c r="L10" s="1750"/>
      <c r="M10" s="1746"/>
    </row>
    <row r="11" spans="1:14" ht="13.8">
      <c r="A11" s="235" t="s">
        <v>1072</v>
      </c>
      <c r="B11" s="238" t="s">
        <v>1073</v>
      </c>
      <c r="C11" s="216"/>
      <c r="D11" s="216"/>
      <c r="E11" s="1747"/>
      <c r="F11" s="274">
        <v>25</v>
      </c>
      <c r="G11" s="1749"/>
      <c r="H11" s="283">
        <v>25</v>
      </c>
      <c r="I11" s="1751"/>
      <c r="J11" s="288">
        <v>25</v>
      </c>
      <c r="K11" s="1751"/>
      <c r="L11" s="288">
        <f>+K6</f>
        <v>27</v>
      </c>
      <c r="M11" s="1746"/>
    </row>
    <row r="12" spans="1:14" ht="13.8">
      <c r="A12" s="235" t="s">
        <v>1074</v>
      </c>
      <c r="B12" s="238" t="s">
        <v>1075</v>
      </c>
      <c r="C12" s="227">
        <v>55</v>
      </c>
      <c r="D12" s="227">
        <v>100</v>
      </c>
      <c r="E12" s="276">
        <f>AVERAGE(C12:D12)</f>
        <v>77.5</v>
      </c>
      <c r="F12" s="275">
        <v>600</v>
      </c>
      <c r="G12" s="1752">
        <f>+F12*$E$12</f>
        <v>46500</v>
      </c>
      <c r="H12" s="284">
        <v>800</v>
      </c>
      <c r="I12" s="1752">
        <f>+H12*$E$12</f>
        <v>62000</v>
      </c>
      <c r="J12" s="284">
        <v>45000</v>
      </c>
      <c r="K12" s="1752">
        <f>+J12*$E$12</f>
        <v>3487500</v>
      </c>
      <c r="L12" s="284">
        <v>700</v>
      </c>
      <c r="M12" s="1752">
        <f>+L12*$E$12</f>
        <v>54250</v>
      </c>
    </row>
    <row r="13" spans="1:14" ht="13.8">
      <c r="A13" s="235"/>
      <c r="B13" s="238"/>
      <c r="C13" s="216"/>
      <c r="D13" s="216"/>
      <c r="E13" s="1753"/>
      <c r="F13" s="1754"/>
      <c r="G13" s="1745"/>
      <c r="H13" s="1754"/>
      <c r="I13" s="1746"/>
      <c r="J13" s="1754"/>
      <c r="K13" s="1746"/>
      <c r="L13" s="1754"/>
      <c r="M13" s="1746"/>
    </row>
    <row r="14" spans="1:14" ht="13.8">
      <c r="A14" s="234" t="s">
        <v>1076</v>
      </c>
      <c r="B14" s="238"/>
      <c r="C14" s="216"/>
      <c r="D14" s="216"/>
      <c r="E14" s="1753"/>
      <c r="F14" s="1748"/>
      <c r="G14" s="1745"/>
      <c r="H14" s="1748"/>
      <c r="I14" s="1746"/>
      <c r="J14" s="1748"/>
      <c r="K14" s="1746"/>
      <c r="L14" s="1748"/>
      <c r="M14" s="1746"/>
    </row>
    <row r="15" spans="1:14" ht="24" customHeight="1">
      <c r="A15" s="235" t="s">
        <v>1077</v>
      </c>
      <c r="B15" s="238" t="s">
        <v>1078</v>
      </c>
      <c r="C15" s="217">
        <v>750</v>
      </c>
      <c r="D15" s="217">
        <v>1000</v>
      </c>
      <c r="E15" s="277">
        <v>850</v>
      </c>
      <c r="F15" s="1748">
        <f>+F9/F11</f>
        <v>20</v>
      </c>
      <c r="G15" s="1755">
        <f>+F15*$E15</f>
        <v>17000</v>
      </c>
      <c r="H15" s="1748">
        <f>+H9/H11</f>
        <v>16</v>
      </c>
      <c r="I15" s="1755">
        <f>+H15*$E15</f>
        <v>13600</v>
      </c>
      <c r="J15" s="1756">
        <f>IFERROR(J9/J11,0)</f>
        <v>21.6</v>
      </c>
      <c r="K15" s="1755">
        <f>+J15*$E15</f>
        <v>18360</v>
      </c>
      <c r="L15" s="1756">
        <f>IFERROR(L9/L11,0)</f>
        <v>32</v>
      </c>
      <c r="M15" s="1755">
        <f>+L15*$E15</f>
        <v>27200</v>
      </c>
    </row>
    <row r="16" spans="1:14" ht="13.8">
      <c r="A16" s="235" t="s">
        <v>1079</v>
      </c>
      <c r="B16" s="238" t="s">
        <v>1080</v>
      </c>
      <c r="C16" s="217">
        <v>850</v>
      </c>
      <c r="D16" s="217">
        <v>1200</v>
      </c>
      <c r="E16" s="277">
        <v>1000</v>
      </c>
      <c r="F16" s="278">
        <v>2</v>
      </c>
      <c r="G16" s="1757">
        <f t="shared" ref="G16:G28" si="2">+$E16*F16</f>
        <v>2000</v>
      </c>
      <c r="H16" s="274">
        <v>2</v>
      </c>
      <c r="I16" s="1757">
        <f t="shared" ref="I16:I28" si="3">+$E16*H16</f>
        <v>2000</v>
      </c>
      <c r="J16" s="286">
        <v>2</v>
      </c>
      <c r="K16" s="1757">
        <f t="shared" ref="K16:K28" si="4">+$E16*J16</f>
        <v>2000</v>
      </c>
      <c r="L16" s="286">
        <v>2</v>
      </c>
      <c r="M16" s="1757">
        <f t="shared" ref="M16:M28" si="5">+$E16*L16</f>
        <v>2000</v>
      </c>
    </row>
    <row r="17" spans="1:13" ht="13.8">
      <c r="A17" s="235" t="s">
        <v>1081</v>
      </c>
      <c r="B17" s="238" t="s">
        <v>1082</v>
      </c>
      <c r="C17" s="217">
        <v>850</v>
      </c>
      <c r="D17" s="217">
        <v>1200</v>
      </c>
      <c r="E17" s="277">
        <v>1000</v>
      </c>
      <c r="F17" s="279">
        <v>1</v>
      </c>
      <c r="G17" s="1757">
        <f t="shared" si="2"/>
        <v>1000</v>
      </c>
      <c r="H17" s="274">
        <v>1</v>
      </c>
      <c r="I17" s="1757">
        <f t="shared" si="3"/>
        <v>1000</v>
      </c>
      <c r="J17" s="286">
        <v>1</v>
      </c>
      <c r="K17" s="1757">
        <f t="shared" si="4"/>
        <v>1000</v>
      </c>
      <c r="L17" s="286">
        <v>1</v>
      </c>
      <c r="M17" s="1757">
        <f t="shared" si="5"/>
        <v>1000</v>
      </c>
    </row>
    <row r="18" spans="1:13" ht="31.5" customHeight="1">
      <c r="A18" s="235" t="s">
        <v>1083</v>
      </c>
      <c r="B18" s="238" t="s">
        <v>1084</v>
      </c>
      <c r="C18" s="217"/>
      <c r="D18" s="217"/>
      <c r="E18" s="277">
        <v>400</v>
      </c>
      <c r="F18" s="279">
        <v>2</v>
      </c>
      <c r="G18" s="1757">
        <f t="shared" si="2"/>
        <v>800</v>
      </c>
      <c r="H18" s="274">
        <v>2</v>
      </c>
      <c r="I18" s="1757">
        <f t="shared" si="3"/>
        <v>800</v>
      </c>
      <c r="J18" s="286">
        <v>2</v>
      </c>
      <c r="K18" s="1757">
        <f t="shared" si="4"/>
        <v>800</v>
      </c>
      <c r="L18" s="286">
        <v>2</v>
      </c>
      <c r="M18" s="1757">
        <f t="shared" si="5"/>
        <v>800</v>
      </c>
    </row>
    <row r="19" spans="1:13" ht="27.75" customHeight="1">
      <c r="A19" s="235" t="s">
        <v>1085</v>
      </c>
      <c r="B19" s="238" t="s">
        <v>1086</v>
      </c>
      <c r="C19" s="217"/>
      <c r="D19" s="217"/>
      <c r="E19" s="277">
        <v>100</v>
      </c>
      <c r="F19" s="279">
        <v>4</v>
      </c>
      <c r="G19" s="1757">
        <f t="shared" si="2"/>
        <v>400</v>
      </c>
      <c r="H19" s="274">
        <v>4</v>
      </c>
      <c r="I19" s="1757">
        <f t="shared" si="3"/>
        <v>400</v>
      </c>
      <c r="J19" s="286">
        <v>4</v>
      </c>
      <c r="K19" s="1757">
        <f t="shared" si="4"/>
        <v>400</v>
      </c>
      <c r="L19" s="286">
        <v>4</v>
      </c>
      <c r="M19" s="1757">
        <f t="shared" si="5"/>
        <v>400</v>
      </c>
    </row>
    <row r="20" spans="1:13" ht="13.8">
      <c r="A20" s="235" t="s">
        <v>1087</v>
      </c>
      <c r="B20" s="238" t="s">
        <v>1088</v>
      </c>
      <c r="C20" s="217"/>
      <c r="D20" s="217"/>
      <c r="E20" s="277">
        <v>400</v>
      </c>
      <c r="F20" s="279">
        <v>1</v>
      </c>
      <c r="G20" s="1757">
        <f t="shared" si="2"/>
        <v>400</v>
      </c>
      <c r="H20" s="274">
        <v>1</v>
      </c>
      <c r="I20" s="1757">
        <f t="shared" si="3"/>
        <v>400</v>
      </c>
      <c r="J20" s="286">
        <v>0.25</v>
      </c>
      <c r="K20" s="1757">
        <f t="shared" si="4"/>
        <v>100</v>
      </c>
      <c r="L20" s="286">
        <v>1</v>
      </c>
      <c r="M20" s="1757">
        <f t="shared" si="5"/>
        <v>400</v>
      </c>
    </row>
    <row r="21" spans="1:13" ht="13.8">
      <c r="A21" s="235" t="s">
        <v>1089</v>
      </c>
      <c r="B21" s="238" t="s">
        <v>1090</v>
      </c>
      <c r="C21" s="217">
        <v>70</v>
      </c>
      <c r="D21" s="217">
        <v>100</v>
      </c>
      <c r="E21" s="277">
        <v>100</v>
      </c>
      <c r="F21" s="279">
        <v>4</v>
      </c>
      <c r="G21" s="1757">
        <f t="shared" si="2"/>
        <v>400</v>
      </c>
      <c r="H21" s="274">
        <v>4</v>
      </c>
      <c r="I21" s="1757">
        <f t="shared" si="3"/>
        <v>400</v>
      </c>
      <c r="J21" s="286">
        <v>2</v>
      </c>
      <c r="K21" s="1757">
        <f t="shared" si="4"/>
        <v>200</v>
      </c>
      <c r="L21" s="286">
        <v>4</v>
      </c>
      <c r="M21" s="1757">
        <f t="shared" si="5"/>
        <v>400</v>
      </c>
    </row>
    <row r="22" spans="1:13" ht="13.8">
      <c r="A22" s="235" t="s">
        <v>1091</v>
      </c>
      <c r="B22" s="238" t="s">
        <v>1092</v>
      </c>
      <c r="C22" s="217"/>
      <c r="D22" s="217"/>
      <c r="E22" s="277">
        <v>400</v>
      </c>
      <c r="F22" s="279">
        <v>1</v>
      </c>
      <c r="G22" s="1757">
        <f t="shared" si="2"/>
        <v>400</v>
      </c>
      <c r="H22" s="274">
        <v>1</v>
      </c>
      <c r="I22" s="1757">
        <f t="shared" si="3"/>
        <v>400</v>
      </c>
      <c r="J22" s="286">
        <v>1</v>
      </c>
      <c r="K22" s="1757">
        <f t="shared" si="4"/>
        <v>400</v>
      </c>
      <c r="L22" s="286">
        <v>1</v>
      </c>
      <c r="M22" s="1757">
        <f t="shared" si="5"/>
        <v>400</v>
      </c>
    </row>
    <row r="23" spans="1:13" ht="13.8">
      <c r="A23" s="235" t="s">
        <v>1093</v>
      </c>
      <c r="B23" s="238" t="s">
        <v>1094</v>
      </c>
      <c r="C23" s="217"/>
      <c r="D23" s="217"/>
      <c r="E23" s="277">
        <v>600</v>
      </c>
      <c r="F23" s="279">
        <v>1</v>
      </c>
      <c r="G23" s="1757">
        <f t="shared" si="2"/>
        <v>600</v>
      </c>
      <c r="H23" s="274">
        <v>1</v>
      </c>
      <c r="I23" s="1757">
        <f t="shared" si="3"/>
        <v>600</v>
      </c>
      <c r="J23" s="286">
        <v>0</v>
      </c>
      <c r="K23" s="1757">
        <f t="shared" si="4"/>
        <v>0</v>
      </c>
      <c r="L23" s="286">
        <v>1</v>
      </c>
      <c r="M23" s="1757">
        <f t="shared" si="5"/>
        <v>600</v>
      </c>
    </row>
    <row r="24" spans="1:13" ht="13.8">
      <c r="A24" s="235" t="s">
        <v>1095</v>
      </c>
      <c r="B24" s="238" t="s">
        <v>1096</v>
      </c>
      <c r="C24" s="217"/>
      <c r="D24" s="217"/>
      <c r="E24" s="277">
        <v>1500</v>
      </c>
      <c r="F24" s="279">
        <v>1</v>
      </c>
      <c r="G24" s="1757">
        <f t="shared" si="2"/>
        <v>1500</v>
      </c>
      <c r="H24" s="274">
        <v>1</v>
      </c>
      <c r="I24" s="1757">
        <f t="shared" si="3"/>
        <v>1500</v>
      </c>
      <c r="J24" s="286">
        <v>1</v>
      </c>
      <c r="K24" s="1757">
        <f t="shared" si="4"/>
        <v>1500</v>
      </c>
      <c r="L24" s="286">
        <v>1</v>
      </c>
      <c r="M24" s="1757">
        <f t="shared" si="5"/>
        <v>1500</v>
      </c>
    </row>
    <row r="25" spans="1:13" ht="13.8">
      <c r="A25" s="235" t="s">
        <v>1097</v>
      </c>
      <c r="B25" s="238" t="s">
        <v>1098</v>
      </c>
      <c r="C25" s="217"/>
      <c r="D25" s="217"/>
      <c r="E25" s="277">
        <v>200</v>
      </c>
      <c r="F25" s="279">
        <v>1</v>
      </c>
      <c r="G25" s="1757">
        <f t="shared" si="2"/>
        <v>200</v>
      </c>
      <c r="H25" s="274">
        <v>1</v>
      </c>
      <c r="I25" s="1757">
        <f t="shared" si="3"/>
        <v>200</v>
      </c>
      <c r="J25" s="286">
        <v>0.5</v>
      </c>
      <c r="K25" s="1757">
        <f t="shared" si="4"/>
        <v>100</v>
      </c>
      <c r="L25" s="286">
        <v>1</v>
      </c>
      <c r="M25" s="1757">
        <f t="shared" si="5"/>
        <v>200</v>
      </c>
    </row>
    <row r="26" spans="1:13" ht="13.8">
      <c r="A26" s="235" t="s">
        <v>1099</v>
      </c>
      <c r="B26" s="238" t="s">
        <v>1100</v>
      </c>
      <c r="C26" s="217"/>
      <c r="D26" s="217"/>
      <c r="E26" s="277">
        <v>400</v>
      </c>
      <c r="F26" s="279">
        <v>2</v>
      </c>
      <c r="G26" s="1757">
        <f t="shared" si="2"/>
        <v>800</v>
      </c>
      <c r="H26" s="274">
        <v>2</v>
      </c>
      <c r="I26" s="1757">
        <f t="shared" si="3"/>
        <v>800</v>
      </c>
      <c r="J26" s="286">
        <v>2</v>
      </c>
      <c r="K26" s="1757">
        <f t="shared" si="4"/>
        <v>800</v>
      </c>
      <c r="L26" s="286">
        <v>2</v>
      </c>
      <c r="M26" s="1757">
        <f t="shared" si="5"/>
        <v>800</v>
      </c>
    </row>
    <row r="27" spans="1:13" ht="13.8">
      <c r="A27" s="235" t="s">
        <v>1101</v>
      </c>
      <c r="B27" s="238" t="s">
        <v>1102</v>
      </c>
      <c r="C27" s="217"/>
      <c r="D27" s="217"/>
      <c r="E27" s="277">
        <v>100</v>
      </c>
      <c r="F27" s="279">
        <v>3</v>
      </c>
      <c r="G27" s="1757">
        <f t="shared" si="2"/>
        <v>300</v>
      </c>
      <c r="H27" s="274">
        <v>3</v>
      </c>
      <c r="I27" s="1757">
        <f t="shared" si="3"/>
        <v>300</v>
      </c>
      <c r="J27" s="286">
        <v>3</v>
      </c>
      <c r="K27" s="1757">
        <f t="shared" si="4"/>
        <v>300</v>
      </c>
      <c r="L27" s="286">
        <v>3</v>
      </c>
      <c r="M27" s="1757">
        <f t="shared" si="5"/>
        <v>300</v>
      </c>
    </row>
    <row r="28" spans="1:13" ht="27.6">
      <c r="A28" s="235" t="s">
        <v>1103</v>
      </c>
      <c r="B28" s="238" t="s">
        <v>1104</v>
      </c>
      <c r="C28" s="217"/>
      <c r="D28" s="217"/>
      <c r="E28" s="277">
        <v>4000</v>
      </c>
      <c r="F28" s="279">
        <v>1</v>
      </c>
      <c r="G28" s="1757">
        <f t="shared" si="2"/>
        <v>4000</v>
      </c>
      <c r="H28" s="274">
        <v>0</v>
      </c>
      <c r="I28" s="1757">
        <f t="shared" si="3"/>
        <v>0</v>
      </c>
      <c r="J28" s="286">
        <v>0</v>
      </c>
      <c r="K28" s="1757">
        <f t="shared" si="4"/>
        <v>0</v>
      </c>
      <c r="L28" s="286">
        <v>0</v>
      </c>
      <c r="M28" s="1757">
        <f t="shared" si="5"/>
        <v>0</v>
      </c>
    </row>
    <row r="29" spans="1:13" ht="27.6">
      <c r="A29" s="235" t="s">
        <v>1105</v>
      </c>
      <c r="B29" s="238" t="s">
        <v>1106</v>
      </c>
      <c r="C29" s="217">
        <v>7</v>
      </c>
      <c r="D29" s="217">
        <v>10</v>
      </c>
      <c r="E29" s="1758" t="s">
        <v>1107</v>
      </c>
      <c r="F29" s="280">
        <v>0</v>
      </c>
      <c r="G29" s="1757">
        <f>+F29*F9</f>
        <v>0</v>
      </c>
      <c r="H29" s="280">
        <v>7</v>
      </c>
      <c r="I29" s="1757">
        <f>+H29*H9</f>
        <v>2800</v>
      </c>
      <c r="J29" s="280">
        <v>7</v>
      </c>
      <c r="K29" s="1757">
        <f>+J29*J9</f>
        <v>3780</v>
      </c>
      <c r="L29" s="280">
        <v>7</v>
      </c>
      <c r="M29" s="1757">
        <f>+L29*L9</f>
        <v>6048</v>
      </c>
    </row>
    <row r="30" spans="1:13" ht="13.8">
      <c r="A30" s="235" t="s">
        <v>1108</v>
      </c>
      <c r="B30" s="238" t="s">
        <v>1109</v>
      </c>
      <c r="C30" s="217"/>
      <c r="D30" s="217"/>
      <c r="E30" s="277">
        <v>1000</v>
      </c>
      <c r="F30" s="279">
        <v>1</v>
      </c>
      <c r="G30" s="1757">
        <f>+$E30*F30</f>
        <v>1000</v>
      </c>
      <c r="H30" s="274">
        <v>1</v>
      </c>
      <c r="I30" s="1757">
        <f>+$E30*H30</f>
        <v>1000</v>
      </c>
      <c r="J30" s="286">
        <v>1</v>
      </c>
      <c r="K30" s="1757">
        <f>+$E30*J30</f>
        <v>1000</v>
      </c>
      <c r="L30" s="286">
        <v>1</v>
      </c>
      <c r="M30" s="1757">
        <f>+$E30*L30</f>
        <v>1000</v>
      </c>
    </row>
    <row r="31" spans="1:13" ht="13.8">
      <c r="A31" s="235" t="s">
        <v>1110</v>
      </c>
      <c r="B31" s="238" t="s">
        <v>1111</v>
      </c>
      <c r="C31" s="217"/>
      <c r="D31" s="217"/>
      <c r="E31" s="277">
        <v>300</v>
      </c>
      <c r="F31" s="279">
        <v>2</v>
      </c>
      <c r="G31" s="1757">
        <f>+$E31*F31</f>
        <v>600</v>
      </c>
      <c r="H31" s="274">
        <v>2</v>
      </c>
      <c r="I31" s="1757">
        <f>+$E31*H31</f>
        <v>600</v>
      </c>
      <c r="J31" s="286">
        <v>1</v>
      </c>
      <c r="K31" s="1757">
        <f>+$E31*J31</f>
        <v>300</v>
      </c>
      <c r="L31" s="286">
        <v>2</v>
      </c>
      <c r="M31" s="1757">
        <f>+$E31*L31</f>
        <v>600</v>
      </c>
    </row>
    <row r="32" spans="1:13" ht="13.8">
      <c r="A32" s="235" t="s">
        <v>1112</v>
      </c>
      <c r="B32" s="238" t="s">
        <v>1113</v>
      </c>
      <c r="C32" s="217"/>
      <c r="D32" s="217"/>
      <c r="E32" s="277">
        <v>150</v>
      </c>
      <c r="F32" s="279">
        <v>1</v>
      </c>
      <c r="G32" s="1757">
        <f>+$E32*F32</f>
        <v>150</v>
      </c>
      <c r="H32" s="274">
        <v>1</v>
      </c>
      <c r="I32" s="1757">
        <f>+$E32*H32</f>
        <v>150</v>
      </c>
      <c r="J32" s="286">
        <v>0.2</v>
      </c>
      <c r="K32" s="1757">
        <f>+$E32*J32</f>
        <v>30</v>
      </c>
      <c r="L32" s="286">
        <v>1</v>
      </c>
      <c r="M32" s="1757">
        <f>+$E32*L32</f>
        <v>150</v>
      </c>
    </row>
    <row r="33" spans="1:13" ht="13.8">
      <c r="A33" s="235" t="s">
        <v>1114</v>
      </c>
      <c r="B33" s="238" t="s">
        <v>1115</v>
      </c>
      <c r="C33" s="217"/>
      <c r="D33" s="217"/>
      <c r="E33" s="277">
        <v>250</v>
      </c>
      <c r="F33" s="279">
        <v>1</v>
      </c>
      <c r="G33" s="1757">
        <f>+$E33*F33</f>
        <v>250</v>
      </c>
      <c r="H33" s="274">
        <v>1</v>
      </c>
      <c r="I33" s="1757">
        <f>+$E33*H33</f>
        <v>250</v>
      </c>
      <c r="J33" s="286">
        <v>0.2</v>
      </c>
      <c r="K33" s="1757">
        <f>+$E33*J33</f>
        <v>50</v>
      </c>
      <c r="L33" s="286">
        <v>1</v>
      </c>
      <c r="M33" s="1757">
        <f>+$E33*L33</f>
        <v>250</v>
      </c>
    </row>
    <row r="34" spans="1:13" ht="27.6">
      <c r="A34" s="236" t="s">
        <v>1116</v>
      </c>
      <c r="B34" s="239" t="s">
        <v>1117</v>
      </c>
      <c r="C34" s="218"/>
      <c r="D34" s="218"/>
      <c r="E34" s="282">
        <v>200</v>
      </c>
      <c r="F34" s="281">
        <v>1</v>
      </c>
      <c r="G34" s="1759">
        <f>+$E34*F34</f>
        <v>200</v>
      </c>
      <c r="H34" s="285">
        <v>1</v>
      </c>
      <c r="I34" s="1759">
        <f>+$E34*H34</f>
        <v>200</v>
      </c>
      <c r="J34" s="287">
        <v>0.5</v>
      </c>
      <c r="K34" s="1759">
        <f>+$E34*J34</f>
        <v>100</v>
      </c>
      <c r="L34" s="287">
        <v>1</v>
      </c>
      <c r="M34" s="1759">
        <f>+$E34*L34</f>
        <v>200</v>
      </c>
    </row>
    <row r="35" spans="1:13" ht="13.8">
      <c r="A35" s="212" t="s">
        <v>1118</v>
      </c>
      <c r="B35" s="240"/>
      <c r="C35" s="215"/>
      <c r="D35" s="215"/>
      <c r="E35" s="1760"/>
      <c r="F35" s="1761"/>
      <c r="G35" s="1762">
        <f>SUM(G15:G34)</f>
        <v>32000</v>
      </c>
      <c r="H35" s="1763"/>
      <c r="I35" s="1762">
        <f>SUM(I15:I34)</f>
        <v>27400</v>
      </c>
      <c r="J35" s="1763"/>
      <c r="K35" s="1762">
        <f>SUM(K15:K34)</f>
        <v>31220</v>
      </c>
      <c r="L35" s="1763"/>
      <c r="M35" s="1762">
        <f>SUM(M15:M34)</f>
        <v>44248</v>
      </c>
    </row>
    <row r="36" spans="1:13" ht="13.8">
      <c r="A36" s="213" t="s">
        <v>1119</v>
      </c>
      <c r="B36" s="242" t="s">
        <v>1120</v>
      </c>
      <c r="C36" s="243"/>
      <c r="D36" s="243"/>
      <c r="E36" s="289">
        <v>0.15</v>
      </c>
      <c r="F36" s="1764"/>
      <c r="G36" s="1765">
        <f>+G35*$E36</f>
        <v>4800</v>
      </c>
      <c r="H36" s="1766"/>
      <c r="I36" s="1765">
        <f>+I35*$E36</f>
        <v>4110</v>
      </c>
      <c r="J36" s="1766"/>
      <c r="K36" s="1765">
        <f>+K35*$E36</f>
        <v>4683</v>
      </c>
      <c r="L36" s="1766"/>
      <c r="M36" s="1765">
        <f>+M35*$E36</f>
        <v>6637.2</v>
      </c>
    </row>
    <row r="37" spans="1:13" ht="13.8">
      <c r="A37" s="219" t="s">
        <v>1121</v>
      </c>
      <c r="B37" s="220" t="s">
        <v>1122</v>
      </c>
      <c r="C37" s="214"/>
      <c r="D37" s="214"/>
      <c r="E37" s="1767"/>
      <c r="F37" s="1767"/>
      <c r="G37" s="1768">
        <f>+G35+G36</f>
        <v>36800</v>
      </c>
      <c r="H37" s="1769"/>
      <c r="I37" s="1768">
        <f>+I35+I36</f>
        <v>31510</v>
      </c>
      <c r="J37" s="1769"/>
      <c r="K37" s="1768">
        <f>+K35+K36</f>
        <v>35903</v>
      </c>
      <c r="L37" s="1769"/>
      <c r="M37" s="1768">
        <f>+M35+M36</f>
        <v>50885.2</v>
      </c>
    </row>
    <row r="38" spans="1:13" ht="13.8">
      <c r="A38" s="221" t="s">
        <v>1123</v>
      </c>
      <c r="B38" s="222" t="s">
        <v>1124</v>
      </c>
      <c r="C38" s="214"/>
      <c r="D38" s="214"/>
      <c r="E38" s="1767"/>
      <c r="F38" s="1767"/>
      <c r="G38" s="1770">
        <f>+G37/F9</f>
        <v>73.599999999999994</v>
      </c>
      <c r="H38" s="1771"/>
      <c r="I38" s="1770">
        <f>+I37/H9</f>
        <v>78.775000000000006</v>
      </c>
      <c r="J38" s="1771"/>
      <c r="K38" s="1770">
        <f>+K37/J9</f>
        <v>66.487037037037041</v>
      </c>
      <c r="L38" s="1771"/>
      <c r="M38" s="1770">
        <f>+M37/L9</f>
        <v>58.894907407407402</v>
      </c>
    </row>
    <row r="39" spans="1:13" ht="15.6">
      <c r="C39" s="341" t="s">
        <v>1125</v>
      </c>
      <c r="D39" s="341"/>
      <c r="E39" s="1772">
        <v>1.2</v>
      </c>
      <c r="F39" s="1773"/>
      <c r="G39" s="1774">
        <f>+$E39*G$37*12</f>
        <v>529920</v>
      </c>
      <c r="H39" s="1775" t="s">
        <v>670</v>
      </c>
      <c r="I39" s="1774">
        <f>+$E39*I$37*12</f>
        <v>453744</v>
      </c>
      <c r="J39" s="1775" t="s">
        <v>670</v>
      </c>
      <c r="K39" s="1776">
        <f>+$E39*K$37</f>
        <v>43083.6</v>
      </c>
      <c r="M39" s="1776">
        <f>+$E39*M$37</f>
        <v>61062.239999999991</v>
      </c>
    </row>
    <row r="40" spans="1:13" ht="15.6">
      <c r="A40" s="241" t="s">
        <v>1126</v>
      </c>
      <c r="C40" s="341" t="s">
        <v>1127</v>
      </c>
      <c r="D40" s="341"/>
      <c r="E40" s="1772">
        <v>1.5</v>
      </c>
      <c r="F40" s="1773"/>
      <c r="G40" s="1774">
        <f t="shared" ref="G40:I40" si="6">+$E40*G$37*12</f>
        <v>662400</v>
      </c>
      <c r="H40" s="1775" t="s">
        <v>670</v>
      </c>
      <c r="I40" s="1774">
        <f t="shared" si="6"/>
        <v>567180</v>
      </c>
      <c r="J40" s="1775" t="s">
        <v>670</v>
      </c>
      <c r="K40" s="1776">
        <f>+$E40*K$37</f>
        <v>53854.5</v>
      </c>
      <c r="M40" s="1776">
        <f>+$E40*M$37</f>
        <v>76327.799999999988</v>
      </c>
    </row>
    <row r="41" spans="1:13">
      <c r="A41" s="207" t="s">
        <v>1128</v>
      </c>
    </row>
    <row r="42" spans="1:13">
      <c r="A42" s="207" t="s">
        <v>1129</v>
      </c>
    </row>
    <row r="43" spans="1:13">
      <c r="A43" s="207" t="s">
        <v>1130</v>
      </c>
    </row>
  </sheetData>
  <sheetProtection algorithmName="SHA-512" hashValue="dPdFGoPPEnBOb7cvnbOaT6HG9qDv0IwZVWEYUb5xepBvOgYbIhNWFeIP+ouLk9bMcu7DyLzM3HgPdqaNnoCh0Q==" saltValue="DN4n5egAbCra3ItBq0eLTQ==" spinCount="100000" sheet="1" objects="1" scenarios="1"/>
  <mergeCells count="4">
    <mergeCell ref="F8:G8"/>
    <mergeCell ref="H8:I8"/>
    <mergeCell ref="J8:K8"/>
    <mergeCell ref="L8:M8"/>
  </mergeCells>
  <conditionalFormatting sqref="D1">
    <cfRule type="expression" dxfId="556" priority="2" stopIfTrue="1">
      <formula>MOD(ROW(),2)=0</formula>
    </cfRule>
  </conditionalFormatting>
  <hyperlinks>
    <hyperlink ref="D1" location="HypLink1" display="HypLink1" xr:uid="{50E317FE-1D40-462D-BA80-07D89AD0AAEE}"/>
  </hyperlinks>
  <pageMargins left="0.25" right="0.25" top="0.5" bottom="0.44999999999999996" header="0.25" footer="0.25"/>
  <pageSetup scale="69" orientation="landscape" r:id="rId1"/>
  <headerFooter>
    <oddHeader xml:space="preserve">&amp;L &amp;C &amp;R </oddHeader>
    <oddFooter>&amp;L&amp;7&amp;D  at &amp;T Mike 702.486.8879&amp;C&amp;7&amp;F  &amp;A&amp;R&amp;7Page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1CE9-B846-4798-9852-6D9BC3CBBF3C}">
  <sheetPr codeName="Sheet15">
    <tabColor theme="3" tint="0.59999389629810485"/>
  </sheetPr>
  <dimension ref="A1:G28"/>
  <sheetViews>
    <sheetView workbookViewId="0">
      <selection activeCell="C18" sqref="C18:G18"/>
    </sheetView>
  </sheetViews>
  <sheetFormatPr defaultRowHeight="15.6"/>
  <cols>
    <col min="1" max="1" width="1.33203125" style="126" customWidth="1"/>
    <col min="2" max="2" width="3.33203125" customWidth="1"/>
    <col min="3" max="3" width="19" customWidth="1"/>
    <col min="4" max="4" width="21.5546875" customWidth="1"/>
    <col min="5" max="5" width="25.44140625" customWidth="1"/>
    <col min="6" max="6" width="23.33203125" customWidth="1"/>
    <col min="7" max="7" width="14.5546875" customWidth="1"/>
  </cols>
  <sheetData>
    <row r="1" spans="1:7">
      <c r="A1" s="21" t="s">
        <v>71</v>
      </c>
      <c r="B1" s="21"/>
      <c r="C1" s="21"/>
      <c r="D1" s="21"/>
      <c r="F1" s="437" t="s">
        <v>2</v>
      </c>
    </row>
    <row r="2" spans="1:7">
      <c r="A2" s="22" t="str">
        <f>SchoolName</f>
        <v>Eagle Charter Schools of Nevada</v>
      </c>
      <c r="B2" s="128"/>
      <c r="C2" s="128"/>
      <c r="D2" s="128"/>
    </row>
    <row r="3" spans="1:7" ht="14.4">
      <c r="A3" s="19" t="s">
        <v>72</v>
      </c>
    </row>
    <row r="4" spans="1:7" ht="14.4">
      <c r="A4" s="20" t="s">
        <v>73</v>
      </c>
    </row>
    <row r="5" spans="1:7" ht="14.4">
      <c r="A5" s="127" t="str">
        <f ca="1">CELL("filename")</f>
        <v>C:\Users\Nicho\Desktop\[Attachment 2.  Eagle NV RFA 12.16.22.xlsx]CF Y1 Mo</v>
      </c>
    </row>
    <row r="8" spans="1:7">
      <c r="C8" s="179" t="s">
        <v>74</v>
      </c>
      <c r="D8" s="179"/>
      <c r="E8" s="179"/>
      <c r="F8" s="65"/>
      <c r="G8" s="65"/>
    </row>
    <row r="9" spans="1:7" ht="34.799999999999997">
      <c r="B9" s="510">
        <f>ROW()</f>
        <v>9</v>
      </c>
      <c r="C9" s="2193" t="s">
        <v>1542</v>
      </c>
      <c r="D9" s="2193"/>
      <c r="E9" s="2193"/>
      <c r="F9" s="2193"/>
      <c r="G9" s="2193"/>
    </row>
    <row r="10" spans="1:7">
      <c r="B10" s="510">
        <f>ROW()</f>
        <v>10</v>
      </c>
    </row>
    <row r="11" spans="1:7">
      <c r="B11" s="510">
        <f>ROW()</f>
        <v>11</v>
      </c>
      <c r="C11" s="104" t="s">
        <v>76</v>
      </c>
      <c r="E11" s="310">
        <v>2023</v>
      </c>
      <c r="F11" s="1037" t="str">
        <f>"Fiscal Year July 1, 20"&amp;RIGHT(E11,2)</f>
        <v>Fiscal Year July 1, 2023</v>
      </c>
    </row>
    <row r="12" spans="1:7">
      <c r="B12" s="510">
        <f>ROW()</f>
        <v>12</v>
      </c>
      <c r="C12" s="104" t="s">
        <v>77</v>
      </c>
      <c r="E12" s="189">
        <f>+E11+1</f>
        <v>2024</v>
      </c>
      <c r="F12" s="1037" t="str">
        <f>"aka Fiscal Year Ending (FYE) Jun 30, 20"&amp;RIGHT(E12,2)</f>
        <v>aka Fiscal Year Ending (FYE) Jun 30, 2024</v>
      </c>
    </row>
    <row r="13" spans="1:7">
      <c r="B13" s="510">
        <f>ROW()</f>
        <v>13</v>
      </c>
    </row>
    <row r="14" spans="1:7">
      <c r="B14" s="510">
        <f>ROW()</f>
        <v>14</v>
      </c>
      <c r="C14" s="179" t="s">
        <v>78</v>
      </c>
      <c r="D14" s="179"/>
      <c r="E14" s="59" t="s">
        <v>79</v>
      </c>
      <c r="F14" s="2195" t="s">
        <v>80</v>
      </c>
      <c r="G14" s="2195"/>
    </row>
    <row r="15" spans="1:7">
      <c r="B15" s="510">
        <f>ROW()</f>
        <v>15</v>
      </c>
      <c r="C15" s="2196" t="s">
        <v>1490</v>
      </c>
      <c r="D15" s="2196"/>
      <c r="E15" s="311" t="s">
        <v>1491</v>
      </c>
      <c r="F15" s="2197" t="s">
        <v>1492</v>
      </c>
      <c r="G15" s="2197"/>
    </row>
    <row r="16" spans="1:7">
      <c r="B16" s="510">
        <f>ROW()</f>
        <v>16</v>
      </c>
      <c r="C16" s="2198"/>
      <c r="D16" s="2198"/>
      <c r="E16" s="311"/>
      <c r="F16" s="2199"/>
      <c r="G16" s="2199"/>
    </row>
    <row r="17" spans="2:7" ht="30.75" customHeight="1">
      <c r="B17" s="510">
        <f>ROW()</f>
        <v>17</v>
      </c>
      <c r="C17" s="2194" t="s">
        <v>82</v>
      </c>
      <c r="D17" s="2194"/>
      <c r="E17" s="2194"/>
      <c r="F17" s="2194"/>
      <c r="G17" s="2194"/>
    </row>
    <row r="18" spans="2:7" ht="18" customHeight="1">
      <c r="B18" s="510">
        <f>ROW()</f>
        <v>18</v>
      </c>
      <c r="C18" s="2200" t="s">
        <v>2063</v>
      </c>
      <c r="D18" s="2200"/>
      <c r="E18" s="2200"/>
      <c r="F18" s="2200"/>
      <c r="G18" s="2200"/>
    </row>
    <row r="19" spans="2:7" ht="18" customHeight="1">
      <c r="B19" s="510">
        <f>ROW()</f>
        <v>19</v>
      </c>
      <c r="C19" s="2192" t="s">
        <v>1521</v>
      </c>
      <c r="D19" s="2192"/>
      <c r="E19" s="2192"/>
      <c r="F19" s="2192"/>
      <c r="G19" s="2192"/>
    </row>
    <row r="20" spans="2:7">
      <c r="B20" s="510">
        <f>ROW()</f>
        <v>20</v>
      </c>
      <c r="C20" s="82" t="s">
        <v>84</v>
      </c>
    </row>
    <row r="21" spans="2:7">
      <c r="B21" s="510">
        <f>ROW()</f>
        <v>21</v>
      </c>
      <c r="C21" s="82"/>
    </row>
    <row r="22" spans="2:7">
      <c r="B22" s="510">
        <f>ROW()</f>
        <v>22</v>
      </c>
      <c r="C22" s="33" t="s">
        <v>85</v>
      </c>
    </row>
    <row r="23" spans="2:7">
      <c r="B23" s="510">
        <f>ROW()</f>
        <v>23</v>
      </c>
      <c r="C23" s="263" t="s">
        <v>1522</v>
      </c>
      <c r="D23" s="104" t="s">
        <v>86</v>
      </c>
    </row>
    <row r="24" spans="2:7">
      <c r="B24" s="510">
        <f>ROW()</f>
        <v>24</v>
      </c>
      <c r="C24" s="44"/>
      <c r="D24" s="35" t="s">
        <v>87</v>
      </c>
    </row>
    <row r="25" spans="2:7">
      <c r="B25" s="510">
        <f>ROW()</f>
        <v>25</v>
      </c>
      <c r="C25" s="263" t="s">
        <v>1522</v>
      </c>
      <c r="D25" s="35" t="s">
        <v>88</v>
      </c>
    </row>
    <row r="26" spans="2:7">
      <c r="B26" s="510">
        <f>ROW()</f>
        <v>26</v>
      </c>
      <c r="C26" s="44"/>
    </row>
    <row r="27" spans="2:7">
      <c r="B27" s="510">
        <f>ROW()</f>
        <v>27</v>
      </c>
      <c r="C27" s="263" t="s">
        <v>1522</v>
      </c>
      <c r="D27" s="35" t="s">
        <v>89</v>
      </c>
    </row>
    <row r="28" spans="2:7">
      <c r="B28" s="510">
        <f>ROW()</f>
        <v>28</v>
      </c>
    </row>
  </sheetData>
  <sheetProtection algorithmName="SHA-512" hashValue="OS6mbYDPPm05qp503uj8jD/dKde2ca8OFe5faLTDbxCFDCgdiVsLkdXHmVLcB/Z8dNwv12fFfT1022fNIGLlvQ==" saltValue="wZUHydx2V5w0XmlnB1vCLw==" spinCount="100000" sheet="1" objects="1" scenarios="1"/>
  <mergeCells count="9">
    <mergeCell ref="C19:G19"/>
    <mergeCell ref="C9:G9"/>
    <mergeCell ref="C17:G17"/>
    <mergeCell ref="F14:G14"/>
    <mergeCell ref="C15:D15"/>
    <mergeCell ref="F15:G15"/>
    <mergeCell ref="C16:D16"/>
    <mergeCell ref="F16:G16"/>
    <mergeCell ref="C18:G18"/>
  </mergeCells>
  <conditionalFormatting sqref="D23">
    <cfRule type="cellIs" dxfId="661" priority="9" stopIfTrue="1" operator="equal">
      <formula>0</formula>
    </cfRule>
  </conditionalFormatting>
  <conditionalFormatting sqref="C11">
    <cfRule type="cellIs" dxfId="660" priority="8" stopIfTrue="1" operator="equal">
      <formula>0</formula>
    </cfRule>
  </conditionalFormatting>
  <conditionalFormatting sqref="F1">
    <cfRule type="expression" dxfId="659" priority="3" stopIfTrue="1">
      <formula>MOD(ROW(),2)=0</formula>
    </cfRule>
  </conditionalFormatting>
  <conditionalFormatting sqref="C12">
    <cfRule type="cellIs" dxfId="658" priority="1" stopIfTrue="1" operator="equal">
      <formula>0</formula>
    </cfRule>
  </conditionalFormatting>
  <hyperlinks>
    <hyperlink ref="F1" location="HypLink1" display="HypLink1" xr:uid="{A1A8BAD8-FB75-4113-A7FE-EC7887A9CE4A}"/>
  </hyperlinks>
  <printOptions horizontalCentered="1"/>
  <pageMargins left="0.25" right="0.25" top="0.5" bottom="0.45"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7527-B61A-43B9-B961-6241615C3083}">
  <sheetPr codeName="Sheet20">
    <tabColor theme="0" tint="-0.34998626667073579"/>
  </sheetPr>
  <dimension ref="A1:U98"/>
  <sheetViews>
    <sheetView workbookViewId="0"/>
  </sheetViews>
  <sheetFormatPr defaultColWidth="9.109375" defaultRowHeight="13.2"/>
  <cols>
    <col min="1" max="1" width="5.109375" style="6" customWidth="1"/>
    <col min="2" max="16384" width="9.109375" style="6"/>
  </cols>
  <sheetData>
    <row r="1" spans="1:11" ht="15.6">
      <c r="A1" s="315" t="s">
        <v>1131</v>
      </c>
      <c r="B1" s="315"/>
      <c r="C1" s="315"/>
      <c r="K1" s="385" t="s">
        <v>2</v>
      </c>
    </row>
    <row r="2" spans="1:11" ht="15.6">
      <c r="A2" s="26" t="str">
        <f>SchoolName</f>
        <v>Eagle Charter Schools of Nevada</v>
      </c>
      <c r="B2" s="29"/>
      <c r="C2" s="29"/>
    </row>
    <row r="3" spans="1:11">
      <c r="A3" s="10" t="s">
        <v>72</v>
      </c>
    </row>
    <row r="4" spans="1:11">
      <c r="A4" s="9" t="s">
        <v>73</v>
      </c>
    </row>
    <row r="5" spans="1:11">
      <c r="A5" s="8" t="str">
        <f ca="1">CELL("filename")</f>
        <v>C:\Users\Nicho\Desktop\[Attachment 2.  Eagle NV RFA 12.16.22.xlsx]CF Y1 Mo</v>
      </c>
    </row>
    <row r="7" spans="1:11">
      <c r="B7" s="378" t="s">
        <v>1132</v>
      </c>
      <c r="C7" s="6" t="s">
        <v>1133</v>
      </c>
    </row>
    <row r="8" spans="1:11">
      <c r="B8" s="378" t="s">
        <v>1134</v>
      </c>
      <c r="C8" s="6" t="s">
        <v>1135</v>
      </c>
    </row>
    <row r="9" spans="1:11">
      <c r="C9" s="6" t="s">
        <v>1136</v>
      </c>
    </row>
    <row r="10" spans="1:11">
      <c r="C10" s="6" t="s">
        <v>1137</v>
      </c>
    </row>
    <row r="11" spans="1:11">
      <c r="C11" s="6" t="s">
        <v>1138</v>
      </c>
    </row>
    <row r="12" spans="1:11">
      <c r="C12" s="6" t="s">
        <v>1139</v>
      </c>
    </row>
    <row r="25" spans="1:21">
      <c r="A25" s="7" t="s">
        <v>1140</v>
      </c>
      <c r="B25" s="7"/>
      <c r="C25" s="7"/>
      <c r="D25" s="7"/>
      <c r="E25" s="7" t="s">
        <v>1141</v>
      </c>
      <c r="F25" s="7"/>
      <c r="G25" s="7"/>
      <c r="H25" s="7"/>
      <c r="I25" s="7"/>
      <c r="J25" s="7"/>
      <c r="K25" s="7"/>
      <c r="L25" s="7"/>
      <c r="M25" s="7"/>
      <c r="N25" s="7"/>
      <c r="O25" s="7"/>
      <c r="P25" s="7"/>
    </row>
    <row r="26" spans="1:21">
      <c r="A26" s="7"/>
      <c r="B26" s="7"/>
      <c r="C26" s="7"/>
      <c r="D26" s="7"/>
      <c r="E26" s="7"/>
      <c r="F26" s="7"/>
      <c r="G26" s="7"/>
      <c r="H26" s="7"/>
      <c r="I26" s="7"/>
      <c r="J26" s="7"/>
      <c r="K26" s="7"/>
      <c r="L26" s="7"/>
      <c r="M26" s="7"/>
      <c r="N26" s="7"/>
      <c r="O26" s="7"/>
      <c r="P26" s="7"/>
    </row>
    <row r="27" spans="1:21">
      <c r="A27" s="7"/>
      <c r="B27" s="7"/>
      <c r="C27" s="7"/>
      <c r="D27" s="7"/>
      <c r="E27" s="7"/>
      <c r="F27" s="7"/>
      <c r="G27" s="7"/>
      <c r="H27" s="7"/>
      <c r="I27" s="7"/>
      <c r="J27" s="7"/>
      <c r="K27" s="7"/>
      <c r="L27" s="7"/>
      <c r="M27" s="7"/>
      <c r="N27" s="7"/>
      <c r="O27" s="7"/>
      <c r="P27" s="7"/>
    </row>
    <row r="28" spans="1:21">
      <c r="A28" s="7" t="s">
        <v>1142</v>
      </c>
      <c r="B28" s="352">
        <v>1</v>
      </c>
      <c r="C28" s="7"/>
      <c r="D28" s="7"/>
      <c r="E28" s="7"/>
      <c r="F28" s="7"/>
      <c r="G28" s="7"/>
      <c r="H28" s="7"/>
      <c r="I28" s="7"/>
      <c r="J28" s="7"/>
      <c r="K28" s="7"/>
      <c r="L28" s="7"/>
      <c r="M28" s="7"/>
      <c r="N28" s="7"/>
      <c r="O28" s="7"/>
      <c r="P28" s="7"/>
    </row>
    <row r="29" spans="1:21">
      <c r="A29" s="7" t="s">
        <v>1142</v>
      </c>
      <c r="B29" s="352">
        <v>2</v>
      </c>
      <c r="C29" s="7"/>
      <c r="D29" s="7"/>
      <c r="E29" s="7"/>
      <c r="F29" s="7"/>
      <c r="G29" s="7"/>
      <c r="H29" s="7"/>
      <c r="I29" s="7"/>
      <c r="J29" s="7"/>
      <c r="K29" s="7"/>
      <c r="L29" s="7"/>
      <c r="M29" s="7"/>
      <c r="N29" s="7"/>
      <c r="O29" s="7"/>
      <c r="P29" s="7"/>
      <c r="U29" s="6" t="s">
        <v>1143</v>
      </c>
    </row>
    <row r="30" spans="1:21">
      <c r="A30" s="7" t="s">
        <v>1142</v>
      </c>
      <c r="B30" s="352">
        <v>3</v>
      </c>
      <c r="C30" s="7"/>
      <c r="D30" s="7"/>
      <c r="E30" s="7"/>
      <c r="F30" s="7"/>
      <c r="G30" s="7"/>
      <c r="H30" s="7"/>
      <c r="I30" s="7"/>
      <c r="J30" s="7"/>
      <c r="K30" s="7"/>
      <c r="L30" s="7"/>
      <c r="M30" s="7"/>
      <c r="N30" s="7"/>
      <c r="O30" s="7"/>
      <c r="P30" s="7"/>
    </row>
    <row r="31" spans="1:21">
      <c r="A31" s="7" t="s">
        <v>1142</v>
      </c>
      <c r="B31" s="352">
        <v>4</v>
      </c>
      <c r="C31" s="7"/>
      <c r="D31" s="7"/>
      <c r="E31" s="7"/>
      <c r="F31" s="7"/>
      <c r="G31" s="7"/>
      <c r="H31" s="7"/>
      <c r="I31" s="7"/>
      <c r="J31" s="7"/>
      <c r="K31" s="7"/>
      <c r="L31" s="7"/>
      <c r="M31" s="7"/>
      <c r="N31" s="7"/>
      <c r="O31" s="7"/>
      <c r="P31" s="7"/>
    </row>
    <row r="32" spans="1:21">
      <c r="A32" s="7" t="s">
        <v>1142</v>
      </c>
      <c r="B32" s="352">
        <v>5</v>
      </c>
      <c r="C32" s="7"/>
      <c r="D32" s="7"/>
      <c r="E32" s="7"/>
      <c r="F32" s="7"/>
      <c r="G32" s="7"/>
      <c r="H32" s="7"/>
      <c r="I32" s="7"/>
      <c r="J32" s="7"/>
      <c r="K32" s="7"/>
      <c r="L32" s="7"/>
      <c r="M32" s="7"/>
      <c r="N32" s="7"/>
      <c r="O32" s="7"/>
      <c r="P32" s="7"/>
    </row>
    <row r="33" spans="1:16">
      <c r="A33" s="7" t="s">
        <v>1144</v>
      </c>
      <c r="B33" s="7"/>
      <c r="C33" s="7"/>
      <c r="D33" s="7"/>
      <c r="E33" s="7"/>
      <c r="F33" s="7"/>
      <c r="G33" s="7"/>
      <c r="H33" s="7"/>
      <c r="I33" s="7"/>
      <c r="J33" s="7"/>
      <c r="K33" s="7"/>
      <c r="L33" s="7"/>
      <c r="M33" s="7"/>
      <c r="N33" s="7"/>
      <c r="O33" s="7"/>
      <c r="P33" s="7"/>
    </row>
    <row r="34" spans="1:16">
      <c r="A34" s="7" t="s">
        <v>1144</v>
      </c>
      <c r="B34" s="7"/>
      <c r="C34" s="7"/>
      <c r="D34" s="7"/>
      <c r="E34" s="7"/>
      <c r="F34" s="7"/>
      <c r="G34" s="7"/>
      <c r="H34" s="7"/>
      <c r="I34" s="7"/>
      <c r="J34" s="7"/>
      <c r="K34" s="7"/>
      <c r="L34" s="7"/>
      <c r="M34" s="7"/>
      <c r="N34" s="7"/>
      <c r="O34" s="7"/>
      <c r="P34" s="7"/>
    </row>
    <row r="35" spans="1:16">
      <c r="A35" s="7" t="s">
        <v>1145</v>
      </c>
      <c r="B35" s="7"/>
      <c r="C35" s="7"/>
      <c r="D35" s="7"/>
      <c r="E35" s="7"/>
      <c r="F35" s="7"/>
      <c r="G35" s="7"/>
      <c r="H35" s="7"/>
      <c r="I35" s="7"/>
      <c r="J35" s="7"/>
      <c r="K35" s="7"/>
      <c r="L35" s="7"/>
      <c r="M35" s="7"/>
      <c r="N35" s="7"/>
      <c r="O35" s="7"/>
      <c r="P35" s="7"/>
    </row>
    <row r="36" spans="1:16">
      <c r="A36" s="7" t="s">
        <v>1146</v>
      </c>
      <c r="B36" s="7"/>
      <c r="C36" s="7"/>
      <c r="D36" s="7"/>
      <c r="E36" s="7"/>
      <c r="F36" s="7"/>
      <c r="G36" s="7"/>
      <c r="H36" s="7"/>
      <c r="I36" s="7"/>
      <c r="J36" s="7"/>
      <c r="K36" s="7"/>
      <c r="L36" s="7"/>
      <c r="M36" s="7"/>
      <c r="N36" s="7"/>
      <c r="O36" s="7"/>
      <c r="P36" s="7"/>
    </row>
    <row r="37" spans="1:16">
      <c r="A37" s="7" t="s">
        <v>1147</v>
      </c>
      <c r="B37" s="7"/>
      <c r="C37" s="7"/>
      <c r="D37" s="7"/>
      <c r="E37" s="7"/>
      <c r="F37" s="7"/>
      <c r="G37" s="7"/>
      <c r="H37" s="7"/>
      <c r="I37" s="7"/>
      <c r="J37" s="7"/>
      <c r="K37" s="7"/>
      <c r="L37" s="7"/>
      <c r="M37" s="7"/>
      <c r="N37" s="7"/>
      <c r="O37" s="7"/>
      <c r="P37" s="7"/>
    </row>
    <row r="38" spans="1:16">
      <c r="A38" s="7" t="s">
        <v>1148</v>
      </c>
      <c r="B38" s="7"/>
      <c r="C38" s="7"/>
      <c r="D38" s="7"/>
      <c r="E38" s="7"/>
      <c r="F38" s="7"/>
      <c r="G38" s="7"/>
      <c r="H38" s="7"/>
      <c r="I38" s="7"/>
      <c r="J38" s="7"/>
      <c r="K38" s="7"/>
      <c r="L38" s="7"/>
      <c r="M38" s="7"/>
      <c r="N38" s="7"/>
      <c r="O38" s="7"/>
      <c r="P38" s="7"/>
    </row>
    <row r="39" spans="1:16">
      <c r="A39" s="7" t="s">
        <v>488</v>
      </c>
      <c r="B39" s="7"/>
      <c r="C39" s="7"/>
      <c r="D39" s="7"/>
      <c r="E39" s="7"/>
      <c r="F39" s="7"/>
      <c r="G39" s="7"/>
      <c r="H39" s="7"/>
      <c r="I39" s="7"/>
      <c r="J39" s="7"/>
      <c r="K39" s="7"/>
      <c r="L39" s="7"/>
      <c r="M39" s="7"/>
      <c r="N39" s="7"/>
      <c r="O39" s="7"/>
      <c r="P39" s="7"/>
    </row>
    <row r="40" spans="1:16">
      <c r="A40" s="351" t="s">
        <v>1149</v>
      </c>
      <c r="B40" s="7"/>
      <c r="C40" s="7"/>
      <c r="D40" s="7"/>
      <c r="E40" s="7"/>
      <c r="F40" s="7"/>
      <c r="G40" s="7"/>
      <c r="H40" s="7"/>
      <c r="I40" s="7"/>
      <c r="J40" s="7"/>
      <c r="K40" s="7"/>
      <c r="L40" s="7"/>
      <c r="M40" s="7"/>
      <c r="N40" s="7"/>
      <c r="O40" s="7"/>
      <c r="P40" s="7"/>
    </row>
    <row r="41" spans="1:16">
      <c r="A41" s="7" t="s">
        <v>1150</v>
      </c>
      <c r="B41" s="7"/>
      <c r="C41" s="7"/>
      <c r="D41" s="7"/>
      <c r="E41" s="7"/>
      <c r="F41" s="7"/>
      <c r="G41" s="7"/>
      <c r="H41" s="7"/>
      <c r="I41" s="7"/>
      <c r="J41" s="7"/>
      <c r="K41" s="7"/>
      <c r="L41" s="7"/>
      <c r="M41" s="7"/>
      <c r="N41" s="7"/>
      <c r="O41" s="7"/>
      <c r="P41" s="7"/>
    </row>
    <row r="42" spans="1:16">
      <c r="A42" s="7" t="s">
        <v>1151</v>
      </c>
      <c r="B42" s="7"/>
      <c r="C42" s="7"/>
      <c r="D42" s="7"/>
      <c r="E42" s="7"/>
      <c r="F42" s="7"/>
      <c r="G42" s="7"/>
      <c r="H42" s="7"/>
      <c r="I42" s="7"/>
      <c r="J42" s="7"/>
      <c r="K42" s="7"/>
      <c r="L42" s="7"/>
      <c r="M42" s="7"/>
      <c r="N42" s="7"/>
      <c r="O42" s="7"/>
      <c r="P42" s="7"/>
    </row>
    <row r="43" spans="1:16">
      <c r="A43" s="7" t="s">
        <v>1146</v>
      </c>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t="s">
        <v>1152</v>
      </c>
      <c r="C58" s="7"/>
      <c r="D58" s="7"/>
      <c r="E58" s="7"/>
      <c r="F58" s="7"/>
      <c r="G58" s="7"/>
      <c r="H58" s="7"/>
      <c r="I58" s="7"/>
      <c r="J58" s="7"/>
      <c r="K58" s="7"/>
      <c r="L58" s="7"/>
      <c r="M58" s="7"/>
      <c r="N58" s="7"/>
      <c r="O58" s="7"/>
      <c r="P58" s="7"/>
    </row>
    <row r="59" spans="1:16">
      <c r="A59" s="7"/>
      <c r="B59" s="7" t="s">
        <v>1153</v>
      </c>
      <c r="C59" s="7"/>
      <c r="D59" s="7"/>
      <c r="E59" s="7"/>
      <c r="F59" s="7"/>
      <c r="G59" s="7"/>
      <c r="H59" s="7"/>
      <c r="I59" s="7"/>
      <c r="J59" s="7"/>
      <c r="K59" s="7"/>
      <c r="L59" s="7"/>
      <c r="M59" s="7"/>
      <c r="N59" s="7"/>
      <c r="O59" s="7"/>
      <c r="P59" s="7"/>
    </row>
    <row r="60" spans="1:16">
      <c r="A60" s="7"/>
      <c r="B60" s="6" t="s">
        <v>1154</v>
      </c>
      <c r="D60" s="7" t="s">
        <v>1155</v>
      </c>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spans="1:16">
      <c r="A65" s="351"/>
      <c r="B65" s="7"/>
      <c r="C65" s="7"/>
      <c r="D65" s="7"/>
      <c r="E65" s="7"/>
      <c r="F65" s="7"/>
      <c r="G65" s="7"/>
      <c r="H65" s="7"/>
      <c r="I65" s="7"/>
      <c r="J65" s="7"/>
      <c r="K65" s="7"/>
      <c r="L65" s="7"/>
      <c r="M65" s="7"/>
      <c r="N65" s="7"/>
      <c r="O65" s="7"/>
      <c r="P65" s="7"/>
    </row>
    <row r="66" spans="1:16">
      <c r="A66" s="7"/>
      <c r="B66" s="7"/>
      <c r="C66" s="7"/>
      <c r="D66" s="7"/>
      <c r="E66" s="7"/>
      <c r="F66" s="7"/>
      <c r="G66" s="7"/>
      <c r="H66" s="7"/>
      <c r="I66" s="7"/>
      <c r="J66" s="7"/>
      <c r="K66" s="7"/>
      <c r="L66" s="7"/>
      <c r="M66" s="7"/>
      <c r="N66" s="7"/>
      <c r="O66" s="7"/>
      <c r="P66" s="7"/>
    </row>
    <row r="67" spans="1:16">
      <c r="A67" s="7"/>
      <c r="B67" s="7"/>
      <c r="C67" s="7"/>
      <c r="D67" s="7"/>
      <c r="E67" s="7"/>
      <c r="F67" s="7"/>
      <c r="G67" s="7"/>
      <c r="H67" s="7"/>
      <c r="I67" s="7"/>
      <c r="J67" s="7"/>
      <c r="K67" s="7"/>
      <c r="L67" s="7"/>
      <c r="M67" s="7"/>
      <c r="N67" s="7"/>
      <c r="O67" s="7"/>
      <c r="P67" s="7"/>
    </row>
    <row r="68" spans="1:16">
      <c r="A68" s="7"/>
      <c r="B68" s="7"/>
      <c r="C68" s="7"/>
      <c r="D68" s="7"/>
      <c r="E68" s="7"/>
      <c r="F68" s="7"/>
      <c r="G68" s="7"/>
      <c r="H68" s="7"/>
      <c r="I68" s="7"/>
      <c r="J68" s="7"/>
      <c r="K68" s="7"/>
      <c r="L68" s="7"/>
      <c r="M68" s="7"/>
      <c r="N68" s="7"/>
      <c r="O68" s="7"/>
      <c r="P68" s="7"/>
    </row>
    <row r="69" spans="1:16">
      <c r="A69" s="7"/>
      <c r="B69" s="7"/>
      <c r="C69" s="7"/>
      <c r="D69" s="7"/>
      <c r="E69" s="7"/>
      <c r="F69" s="7"/>
      <c r="G69" s="7"/>
      <c r="H69" s="7"/>
      <c r="I69" s="7"/>
      <c r="J69" s="7"/>
      <c r="K69" s="7"/>
      <c r="L69" s="7"/>
      <c r="M69" s="7"/>
      <c r="N69" s="7"/>
      <c r="O69" s="7"/>
      <c r="P69" s="7"/>
    </row>
    <row r="70" spans="1:16">
      <c r="A70" s="7"/>
      <c r="B70" s="7"/>
      <c r="C70" s="7"/>
      <c r="D70" s="7"/>
      <c r="E70" s="7"/>
      <c r="F70" s="7"/>
      <c r="G70" s="7"/>
      <c r="H70" s="7"/>
      <c r="I70" s="7"/>
      <c r="J70" s="7"/>
      <c r="K70" s="7"/>
      <c r="L70" s="7"/>
      <c r="M70" s="7"/>
      <c r="N70" s="7"/>
      <c r="O70" s="7"/>
      <c r="P70" s="7"/>
    </row>
    <row r="71" spans="1:16">
      <c r="A71" s="7"/>
      <c r="B71" s="7"/>
      <c r="C71" s="7"/>
      <c r="D71" s="7"/>
      <c r="E71" s="7"/>
      <c r="F71" s="7"/>
      <c r="G71" s="7"/>
      <c r="H71" s="7"/>
      <c r="I71" s="7"/>
      <c r="J71" s="7"/>
      <c r="K71" s="7"/>
      <c r="L71" s="7"/>
      <c r="M71" s="7"/>
      <c r="N71" s="7"/>
      <c r="O71" s="7"/>
      <c r="P71" s="7"/>
    </row>
    <row r="72" spans="1:16">
      <c r="A72" s="7"/>
      <c r="B72" s="7"/>
      <c r="C72" s="7"/>
      <c r="D72" s="7"/>
      <c r="E72" s="7"/>
      <c r="F72" s="7"/>
      <c r="G72" s="7"/>
      <c r="H72" s="7"/>
      <c r="I72" s="7"/>
      <c r="J72" s="7"/>
      <c r="K72" s="7"/>
      <c r="L72" s="7"/>
      <c r="M72" s="7"/>
      <c r="N72" s="7"/>
      <c r="O72" s="7"/>
      <c r="P72" s="7"/>
    </row>
    <row r="73" spans="1:16">
      <c r="A73" s="7"/>
      <c r="B73" s="7"/>
      <c r="C73" s="7"/>
      <c r="D73" s="7"/>
      <c r="E73" s="7"/>
      <c r="F73" s="7"/>
      <c r="G73" s="7"/>
      <c r="H73" s="7"/>
      <c r="I73" s="7"/>
      <c r="J73" s="7"/>
      <c r="K73" s="7"/>
      <c r="L73" s="7"/>
      <c r="M73" s="7"/>
      <c r="N73" s="7"/>
      <c r="O73" s="7"/>
      <c r="P73" s="7"/>
    </row>
    <row r="74" spans="1:16">
      <c r="A74" s="7"/>
      <c r="B74" s="7"/>
      <c r="C74" s="7"/>
      <c r="D74" s="7"/>
      <c r="E74" s="7"/>
      <c r="F74" s="7"/>
      <c r="G74" s="7"/>
      <c r="H74" s="7"/>
      <c r="I74" s="7"/>
      <c r="J74" s="7"/>
      <c r="K74" s="7"/>
      <c r="L74" s="7"/>
      <c r="M74" s="7"/>
      <c r="N74" s="7"/>
      <c r="O74" s="7"/>
      <c r="P74" s="7"/>
    </row>
    <row r="75" spans="1:16">
      <c r="A75" s="7"/>
      <c r="B75" s="7"/>
      <c r="C75" s="7"/>
      <c r="D75" s="7"/>
      <c r="E75" s="7"/>
      <c r="F75" s="7"/>
      <c r="G75" s="7"/>
      <c r="H75" s="7"/>
      <c r="I75" s="7"/>
      <c r="J75" s="7"/>
      <c r="K75" s="7"/>
      <c r="L75" s="7"/>
      <c r="M75" s="7"/>
      <c r="N75" s="7"/>
      <c r="O75" s="7"/>
      <c r="P75" s="7"/>
    </row>
    <row r="76" spans="1:16">
      <c r="A76" s="7"/>
      <c r="B76" s="7"/>
      <c r="C76" s="7"/>
      <c r="D76" s="7"/>
      <c r="E76" s="7"/>
      <c r="F76" s="7"/>
      <c r="G76" s="7"/>
      <c r="H76" s="7"/>
      <c r="I76" s="7"/>
      <c r="J76" s="7"/>
      <c r="K76" s="7"/>
      <c r="L76" s="7"/>
      <c r="M76" s="7"/>
      <c r="N76" s="7"/>
      <c r="O76" s="7"/>
      <c r="P76" s="7"/>
    </row>
    <row r="77" spans="1:16">
      <c r="A77" s="7"/>
      <c r="B77" s="7"/>
      <c r="C77" s="7"/>
      <c r="D77" s="7"/>
      <c r="E77" s="7"/>
      <c r="F77" s="7"/>
      <c r="G77" s="7"/>
      <c r="H77" s="7"/>
      <c r="I77" s="7"/>
      <c r="J77" s="7"/>
      <c r="K77" s="7"/>
      <c r="L77" s="7"/>
      <c r="M77" s="7"/>
      <c r="N77" s="7"/>
      <c r="O77" s="7"/>
      <c r="P77" s="7"/>
    </row>
    <row r="78" spans="1:16">
      <c r="A78" s="7"/>
      <c r="B78" s="7"/>
      <c r="C78" s="7"/>
      <c r="D78" s="7"/>
      <c r="E78" s="7"/>
      <c r="F78" s="7"/>
      <c r="G78" s="7"/>
      <c r="H78" s="7"/>
      <c r="I78" s="7"/>
      <c r="J78" s="7"/>
      <c r="K78" s="7"/>
      <c r="L78" s="7"/>
      <c r="M78" s="7"/>
      <c r="N78" s="7"/>
      <c r="O78" s="7"/>
      <c r="P78" s="7"/>
    </row>
    <row r="79" spans="1:16">
      <c r="A79" s="7"/>
      <c r="B79" s="7"/>
      <c r="C79" s="7"/>
      <c r="D79" s="7"/>
      <c r="E79" s="7"/>
      <c r="F79" s="7"/>
      <c r="G79" s="7"/>
      <c r="H79" s="7"/>
      <c r="I79" s="7"/>
      <c r="J79" s="7"/>
      <c r="K79" s="7"/>
      <c r="L79" s="7"/>
      <c r="M79" s="7"/>
      <c r="N79" s="7"/>
      <c r="O79" s="7"/>
      <c r="P79" s="7"/>
    </row>
    <row r="80" spans="1:16">
      <c r="A80" s="7"/>
      <c r="B80" s="7"/>
      <c r="C80" s="7"/>
      <c r="D80" s="7"/>
      <c r="E80" s="7"/>
      <c r="F80" s="7"/>
      <c r="G80" s="7"/>
      <c r="H80" s="7"/>
      <c r="I80" s="7"/>
      <c r="J80" s="7"/>
      <c r="K80" s="7"/>
      <c r="L80" s="7"/>
      <c r="M80" s="7"/>
      <c r="N80" s="7"/>
      <c r="O80" s="7"/>
      <c r="P80" s="7"/>
    </row>
    <row r="81" spans="1:21">
      <c r="A81" s="7"/>
      <c r="B81" s="7"/>
      <c r="C81" s="7"/>
      <c r="D81" s="7"/>
      <c r="E81" s="7"/>
      <c r="F81" s="7"/>
      <c r="G81" s="7"/>
      <c r="H81" s="7"/>
      <c r="I81" s="7"/>
      <c r="J81" s="7"/>
      <c r="K81" s="7"/>
      <c r="L81" s="7"/>
      <c r="M81" s="7"/>
      <c r="N81" s="7"/>
      <c r="O81" s="7"/>
      <c r="P81" s="7"/>
    </row>
    <row r="82" spans="1:21">
      <c r="A82" s="7"/>
      <c r="B82" s="7"/>
      <c r="C82" s="7"/>
      <c r="D82" s="7"/>
      <c r="E82" s="7"/>
      <c r="F82" s="7"/>
      <c r="G82" s="7"/>
      <c r="H82" s="7"/>
      <c r="I82" s="7"/>
      <c r="J82" s="7"/>
      <c r="K82" s="7"/>
      <c r="L82" s="7"/>
      <c r="M82" s="7"/>
      <c r="N82" s="7"/>
      <c r="O82" s="7"/>
      <c r="P82" s="7"/>
      <c r="U82" s="6" t="s">
        <v>1156</v>
      </c>
    </row>
    <row r="83" spans="1:21">
      <c r="A83" s="7"/>
      <c r="B83" s="7"/>
      <c r="C83" s="7"/>
      <c r="D83" s="7"/>
      <c r="E83" s="7"/>
      <c r="F83" s="7"/>
      <c r="G83" s="7"/>
      <c r="H83" s="7"/>
      <c r="I83" s="7"/>
      <c r="J83" s="7"/>
      <c r="K83" s="7"/>
      <c r="L83" s="7"/>
      <c r="M83" s="7"/>
      <c r="N83" s="7"/>
      <c r="O83" s="7"/>
      <c r="P83" s="7"/>
    </row>
    <row r="84" spans="1:21">
      <c r="A84" s="7"/>
      <c r="B84" s="7"/>
      <c r="C84" s="7"/>
      <c r="D84" s="7"/>
      <c r="E84" s="7"/>
      <c r="F84" s="7"/>
      <c r="G84" s="7"/>
      <c r="H84" s="7"/>
      <c r="I84" s="7"/>
      <c r="J84" s="7"/>
      <c r="K84" s="7"/>
      <c r="L84" s="7"/>
      <c r="M84" s="7"/>
      <c r="N84" s="7"/>
      <c r="O84" s="7"/>
      <c r="P84" s="7"/>
    </row>
    <row r="85" spans="1:21">
      <c r="A85" s="7"/>
      <c r="B85" s="7"/>
      <c r="C85" s="7"/>
      <c r="D85" s="7"/>
      <c r="E85" s="7"/>
      <c r="F85" s="7"/>
      <c r="G85" s="7"/>
      <c r="H85" s="7"/>
      <c r="I85" s="7"/>
      <c r="J85" s="7"/>
      <c r="K85" s="7"/>
      <c r="L85" s="7"/>
      <c r="M85" s="7"/>
      <c r="N85" s="7"/>
      <c r="O85" s="7"/>
      <c r="P85" s="7"/>
    </row>
    <row r="86" spans="1:21">
      <c r="A86" s="7"/>
      <c r="B86" s="7"/>
      <c r="C86" s="7"/>
      <c r="D86" s="7"/>
      <c r="E86" s="7"/>
      <c r="F86" s="7"/>
      <c r="G86" s="7"/>
      <c r="H86" s="7"/>
      <c r="I86" s="7"/>
      <c r="J86" s="7"/>
      <c r="K86" s="7"/>
      <c r="L86" s="7"/>
      <c r="M86" s="7"/>
      <c r="N86" s="7"/>
      <c r="O86" s="7"/>
      <c r="P86" s="7"/>
    </row>
    <row r="87" spans="1:21">
      <c r="A87" s="7"/>
      <c r="B87" s="7"/>
      <c r="C87" s="7"/>
      <c r="D87" s="7"/>
      <c r="E87" s="7"/>
      <c r="F87" s="7"/>
      <c r="G87" s="7"/>
      <c r="H87" s="7"/>
      <c r="I87" s="7"/>
      <c r="J87" s="7"/>
      <c r="K87" s="7"/>
      <c r="L87" s="7"/>
      <c r="M87" s="7"/>
      <c r="N87" s="7"/>
      <c r="O87" s="7"/>
      <c r="P87" s="7"/>
    </row>
    <row r="88" spans="1:21">
      <c r="A88" s="7"/>
      <c r="B88" s="7"/>
      <c r="C88" s="7"/>
      <c r="D88" s="7"/>
      <c r="E88" s="7"/>
      <c r="F88" s="7"/>
      <c r="G88" s="7"/>
      <c r="H88" s="7"/>
      <c r="I88" s="7"/>
      <c r="J88" s="7"/>
      <c r="K88" s="7"/>
      <c r="L88" s="7"/>
      <c r="M88" s="7"/>
      <c r="N88" s="7"/>
      <c r="O88" s="7"/>
      <c r="P88" s="7"/>
    </row>
    <row r="89" spans="1:21">
      <c r="A89" s="7" t="s">
        <v>1157</v>
      </c>
      <c r="B89" s="7"/>
      <c r="C89" s="7"/>
      <c r="D89" s="7"/>
      <c r="E89" s="7"/>
      <c r="F89" s="7"/>
      <c r="G89" s="7"/>
      <c r="H89" s="7"/>
      <c r="I89" s="7"/>
      <c r="J89" s="7"/>
      <c r="K89" s="7"/>
      <c r="L89" s="7"/>
      <c r="M89" s="7"/>
      <c r="N89" s="7"/>
      <c r="O89" s="7"/>
      <c r="P89" s="7"/>
    </row>
    <row r="90" spans="1:21">
      <c r="A90" s="7" t="s">
        <v>1158</v>
      </c>
      <c r="B90" s="7"/>
      <c r="C90" s="7"/>
      <c r="D90" s="7"/>
      <c r="E90" s="7"/>
      <c r="F90" s="7"/>
      <c r="G90" s="7"/>
      <c r="H90" s="7"/>
      <c r="I90" s="7"/>
      <c r="J90" s="7"/>
      <c r="K90" s="7"/>
      <c r="L90" s="7"/>
      <c r="M90" s="7"/>
      <c r="N90" s="7"/>
      <c r="O90" s="7"/>
      <c r="P90" s="7"/>
    </row>
    <row r="91" spans="1:21">
      <c r="A91" s="7"/>
      <c r="B91" s="7"/>
      <c r="C91" s="7"/>
      <c r="D91" s="7"/>
      <c r="E91" s="7"/>
      <c r="F91" s="7"/>
      <c r="G91" s="7"/>
      <c r="H91" s="7"/>
      <c r="I91" s="7"/>
      <c r="J91" s="7"/>
      <c r="K91" s="7"/>
      <c r="L91" s="7"/>
      <c r="M91" s="7"/>
      <c r="N91" s="7"/>
      <c r="O91" s="7"/>
      <c r="P91" s="7"/>
    </row>
    <row r="92" spans="1:21">
      <c r="A92" s="7"/>
      <c r="B92" s="7"/>
      <c r="C92" s="7"/>
      <c r="D92" s="7"/>
      <c r="E92" s="7"/>
      <c r="F92" s="7"/>
      <c r="G92" s="7"/>
      <c r="H92" s="7"/>
      <c r="I92" s="7"/>
      <c r="J92" s="7"/>
      <c r="K92" s="7"/>
      <c r="L92" s="7"/>
      <c r="M92" s="7"/>
      <c r="N92" s="7"/>
      <c r="O92" s="7"/>
      <c r="P92" s="7"/>
    </row>
    <row r="93" spans="1:21">
      <c r="A93" s="7"/>
      <c r="B93" s="7"/>
      <c r="C93" s="7"/>
      <c r="D93" s="7"/>
      <c r="E93" s="7"/>
      <c r="F93" s="7"/>
      <c r="G93" s="7"/>
      <c r="H93" s="7"/>
      <c r="I93" s="7"/>
      <c r="J93" s="7"/>
      <c r="K93" s="7"/>
      <c r="L93" s="7"/>
      <c r="M93" s="7"/>
      <c r="N93" s="7"/>
      <c r="O93" s="7"/>
      <c r="P93" s="7"/>
    </row>
    <row r="94" spans="1:21">
      <c r="A94" s="7"/>
      <c r="B94" s="7"/>
      <c r="C94" s="7"/>
      <c r="D94" s="7"/>
      <c r="E94" s="7"/>
      <c r="F94" s="7"/>
      <c r="G94" s="7"/>
      <c r="H94" s="7"/>
      <c r="I94" s="7"/>
      <c r="J94" s="7"/>
      <c r="K94" s="7"/>
      <c r="L94" s="7"/>
      <c r="M94" s="7"/>
      <c r="N94" s="7"/>
      <c r="O94" s="7"/>
      <c r="P94" s="7"/>
    </row>
    <row r="95" spans="1:21">
      <c r="A95" s="7"/>
      <c r="B95" s="7"/>
      <c r="C95" s="7"/>
      <c r="D95" s="7"/>
      <c r="E95" s="7"/>
      <c r="F95" s="7"/>
      <c r="G95" s="7"/>
      <c r="H95" s="7"/>
      <c r="I95" s="7"/>
      <c r="J95" s="7"/>
      <c r="K95" s="7"/>
      <c r="L95" s="7"/>
      <c r="M95" s="7"/>
      <c r="N95" s="7"/>
      <c r="O95" s="7"/>
      <c r="P95" s="7"/>
    </row>
    <row r="96" spans="1:21">
      <c r="A96" s="7"/>
      <c r="B96" s="7"/>
      <c r="C96" s="7"/>
      <c r="D96" s="7"/>
      <c r="E96" s="7"/>
      <c r="F96" s="7"/>
      <c r="G96" s="7"/>
      <c r="H96" s="7"/>
      <c r="I96" s="7"/>
      <c r="J96" s="7"/>
      <c r="K96" s="7"/>
      <c r="L96" s="7"/>
      <c r="M96" s="7"/>
      <c r="N96" s="7"/>
      <c r="O96" s="7"/>
      <c r="P96" s="7"/>
    </row>
    <row r="97" spans="1:16">
      <c r="A97" s="7"/>
      <c r="B97" s="7"/>
      <c r="C97" s="7"/>
      <c r="D97" s="7"/>
      <c r="E97" s="7"/>
      <c r="F97" s="7"/>
      <c r="G97" s="7"/>
      <c r="H97" s="7"/>
      <c r="I97" s="7"/>
      <c r="J97" s="7"/>
      <c r="K97" s="7"/>
      <c r="L97" s="7"/>
      <c r="M97" s="7"/>
      <c r="N97" s="7"/>
      <c r="O97" s="7"/>
      <c r="P97" s="7"/>
    </row>
    <row r="98" spans="1:16">
      <c r="A98" s="7"/>
      <c r="B98" s="7"/>
      <c r="C98" s="7"/>
      <c r="D98" s="7"/>
      <c r="E98" s="7"/>
      <c r="F98" s="7"/>
      <c r="G98" s="7"/>
      <c r="H98" s="7"/>
      <c r="I98" s="7"/>
      <c r="J98" s="7"/>
      <c r="K98" s="7"/>
      <c r="L98" s="7"/>
      <c r="M98" s="7"/>
      <c r="N98" s="7"/>
      <c r="O98" s="7"/>
      <c r="P98" s="7"/>
    </row>
  </sheetData>
  <sheetProtection algorithmName="SHA-512" hashValue="6++fo8rN0LxWADVSz1oOxj8rg7usD/mq0LMXKdpUX07JYuRUbYAosYBaF0lCQPmqjk/x84moemRCwbZ2aGuKMA==" saltValue="KHp8ymHOgD1sBvpHS5rcsA==" spinCount="100000" sheet="1" objects="1" scenarios="1"/>
  <conditionalFormatting sqref="K1">
    <cfRule type="expression" dxfId="555" priority="1" stopIfTrue="1">
      <formula>MOD(ROW(),2)=0</formula>
    </cfRule>
  </conditionalFormatting>
  <hyperlinks>
    <hyperlink ref="K1" location="HypLink1" display="HypLink1" xr:uid="{D4C50C46-9FD4-41DC-9616-2CDDF62982E7}"/>
  </hyperlinks>
  <pageMargins left="0.35" right="0.25" top="0.32" bottom="0.5" header="0.32" footer="0.3"/>
  <pageSetup orientation="portrait" r:id="rId1"/>
  <headerFooter alignWithMargins="0">
    <oddFooter>&amp;L&amp;7&amp;D  at &amp;T Mike 702.486.8879&amp;C&amp;7Page &amp;P of &amp;N&amp;R&amp;7&amp;F  &amp;A</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D807-2CAD-4923-8FCE-A69239E669ED}">
  <sheetPr codeName="Sheet6">
    <tabColor theme="0" tint="-0.34998626667073579"/>
  </sheetPr>
  <dimension ref="A1:T80"/>
  <sheetViews>
    <sheetView workbookViewId="0"/>
  </sheetViews>
  <sheetFormatPr defaultColWidth="9.109375" defaultRowHeight="13.2"/>
  <cols>
    <col min="1" max="1" width="10.6640625" style="6" bestFit="1" customWidth="1"/>
    <col min="2" max="16384" width="9.109375" style="6"/>
  </cols>
  <sheetData>
    <row r="1" spans="1:20" ht="15.6">
      <c r="A1" s="315" t="s">
        <v>1159</v>
      </c>
      <c r="B1" s="315"/>
      <c r="C1" s="315"/>
      <c r="E1" s="438" t="s">
        <v>2</v>
      </c>
      <c r="P1" s="7"/>
      <c r="Q1" s="7"/>
      <c r="R1" s="7"/>
      <c r="S1" s="7"/>
      <c r="T1" s="7"/>
    </row>
    <row r="2" spans="1:20" ht="15.6">
      <c r="A2" s="26" t="str">
        <f>SchoolName</f>
        <v>Eagle Charter Schools of Nevada</v>
      </c>
      <c r="B2" s="29"/>
      <c r="C2" s="29"/>
      <c r="P2" s="7"/>
      <c r="Q2" s="7"/>
      <c r="R2" s="7"/>
      <c r="S2" s="7"/>
      <c r="T2" s="7"/>
    </row>
    <row r="3" spans="1:20">
      <c r="A3" s="10" t="s">
        <v>72</v>
      </c>
      <c r="P3" s="7"/>
      <c r="Q3" s="7"/>
      <c r="R3" s="7"/>
      <c r="S3" s="7"/>
      <c r="T3" s="7"/>
    </row>
    <row r="4" spans="1:20">
      <c r="A4" s="9" t="s">
        <v>73</v>
      </c>
      <c r="P4" s="7"/>
      <c r="Q4" s="7"/>
      <c r="R4" s="7"/>
      <c r="S4" s="7"/>
      <c r="T4" s="7"/>
    </row>
    <row r="5" spans="1:20">
      <c r="A5" s="8" t="str">
        <f ca="1">CELL("filename")</f>
        <v>C:\Users\Nicho\Desktop\[Attachment 2.  Eagle NV RFA 12.16.22.xlsx]CF Y1 Mo</v>
      </c>
      <c r="P5" s="7"/>
      <c r="Q5" s="7"/>
      <c r="R5" s="7"/>
      <c r="S5" s="7"/>
      <c r="T5" s="7"/>
    </row>
    <row r="6" spans="1:20">
      <c r="P6" s="7"/>
      <c r="Q6" s="7"/>
      <c r="R6" s="7"/>
      <c r="S6" s="7"/>
      <c r="T6" s="7"/>
    </row>
    <row r="7" spans="1:20">
      <c r="A7" s="7"/>
      <c r="B7" s="7"/>
      <c r="C7" s="7"/>
      <c r="D7" s="7"/>
      <c r="E7" s="7"/>
      <c r="F7" s="7"/>
      <c r="G7" s="7"/>
      <c r="H7" s="7"/>
      <c r="I7" s="7"/>
      <c r="J7" s="7"/>
      <c r="K7" s="7"/>
      <c r="L7" s="7"/>
      <c r="M7" s="7"/>
      <c r="N7" s="7"/>
      <c r="O7" s="7"/>
      <c r="P7" s="7"/>
      <c r="Q7" s="7"/>
      <c r="R7" s="7"/>
      <c r="S7" s="7"/>
      <c r="T7" s="7"/>
    </row>
    <row r="8" spans="1:20">
      <c r="A8" s="7"/>
      <c r="B8" s="7"/>
      <c r="C8" s="7"/>
      <c r="D8" s="7"/>
      <c r="E8" s="7"/>
      <c r="F8" s="7"/>
      <c r="G8" s="7"/>
      <c r="H8" s="7"/>
      <c r="I8" s="7"/>
      <c r="J8" s="7"/>
      <c r="K8" s="7"/>
      <c r="L8" s="7"/>
      <c r="M8" s="7"/>
      <c r="N8" s="7"/>
      <c r="O8" s="7"/>
      <c r="P8" s="7"/>
      <c r="Q8" s="7"/>
      <c r="R8" s="7"/>
      <c r="S8" s="7"/>
      <c r="T8" s="7"/>
    </row>
    <row r="9" spans="1:20">
      <c r="A9" s="7"/>
      <c r="B9" s="7"/>
      <c r="C9" s="7"/>
      <c r="D9" s="7"/>
      <c r="E9" s="7"/>
      <c r="F9" s="7"/>
      <c r="G9" s="7"/>
      <c r="H9" s="7"/>
      <c r="I9" s="7"/>
      <c r="J9" s="7"/>
      <c r="K9" s="7"/>
      <c r="L9" s="7"/>
      <c r="M9" s="7"/>
      <c r="N9" s="7"/>
      <c r="O9" s="7"/>
      <c r="P9" s="7"/>
      <c r="Q9" s="7"/>
      <c r="R9" s="7"/>
      <c r="S9" s="7"/>
      <c r="T9" s="7"/>
    </row>
    <row r="10" spans="1:20">
      <c r="A10" s="7"/>
      <c r="B10" s="7"/>
      <c r="C10" s="7"/>
      <c r="D10" s="7"/>
      <c r="E10" s="7"/>
      <c r="F10" s="7"/>
      <c r="G10" s="7"/>
      <c r="H10" s="7"/>
      <c r="I10" s="7"/>
      <c r="J10" s="7"/>
      <c r="K10" s="7"/>
      <c r="L10" s="7"/>
      <c r="M10" s="7"/>
      <c r="N10" s="7"/>
      <c r="O10" s="7"/>
      <c r="P10" s="7"/>
      <c r="Q10" s="7"/>
      <c r="R10" s="7"/>
      <c r="S10" s="7"/>
      <c r="T10" s="7"/>
    </row>
    <row r="11" spans="1:20">
      <c r="A11" s="7"/>
      <c r="B11" s="7"/>
      <c r="C11" s="7"/>
      <c r="D11" s="7"/>
      <c r="E11" s="7"/>
      <c r="F11" s="7"/>
      <c r="G11" s="7"/>
      <c r="H11" s="7"/>
      <c r="I11" s="7"/>
      <c r="J11" s="7"/>
      <c r="K11" s="7"/>
      <c r="L11" s="7"/>
      <c r="M11" s="7"/>
      <c r="N11" s="7"/>
      <c r="O11" s="7"/>
      <c r="P11" s="7"/>
      <c r="Q11" s="7"/>
      <c r="R11" s="7"/>
      <c r="S11" s="7"/>
      <c r="T11" s="7"/>
    </row>
    <row r="12" spans="1:20">
      <c r="A12" s="7"/>
      <c r="B12" s="7"/>
      <c r="C12" s="7"/>
      <c r="D12" s="7"/>
      <c r="E12" s="7"/>
      <c r="F12" s="7"/>
      <c r="G12" s="7"/>
      <c r="H12" s="7"/>
      <c r="I12" s="7"/>
      <c r="J12" s="7"/>
      <c r="K12" s="7"/>
      <c r="L12" s="7"/>
      <c r="M12" s="7"/>
      <c r="N12" s="7"/>
      <c r="O12" s="7"/>
      <c r="P12" s="7"/>
      <c r="Q12" s="7"/>
      <c r="R12" s="7"/>
      <c r="S12" s="7"/>
      <c r="T12" s="7"/>
    </row>
    <row r="13" spans="1:20">
      <c r="A13" s="7"/>
      <c r="B13" s="7"/>
      <c r="C13" s="7"/>
      <c r="D13" s="7"/>
      <c r="E13" s="7"/>
      <c r="F13" s="7"/>
      <c r="G13" s="7"/>
      <c r="H13" s="7"/>
      <c r="I13" s="7"/>
      <c r="J13" s="7"/>
      <c r="K13" s="7"/>
      <c r="L13" s="7"/>
      <c r="M13" s="7"/>
      <c r="N13" s="7"/>
      <c r="O13" s="7"/>
      <c r="P13" s="7"/>
      <c r="Q13" s="7"/>
      <c r="R13" s="7"/>
      <c r="S13" s="7"/>
      <c r="T13" s="7"/>
    </row>
    <row r="14" spans="1:20">
      <c r="A14" s="7"/>
      <c r="B14" s="7"/>
      <c r="C14" s="7"/>
      <c r="D14" s="7"/>
      <c r="E14" s="7"/>
      <c r="F14" s="7"/>
      <c r="G14" s="7"/>
      <c r="H14" s="7"/>
      <c r="I14" s="7"/>
      <c r="J14" s="7"/>
      <c r="K14" s="7"/>
      <c r="L14" s="7"/>
      <c r="M14" s="7"/>
      <c r="N14" s="7"/>
      <c r="O14" s="7"/>
      <c r="P14" s="7"/>
      <c r="Q14" s="7"/>
      <c r="R14" s="7"/>
      <c r="S14" s="7"/>
      <c r="T14" s="7"/>
    </row>
    <row r="15" spans="1:20">
      <c r="A15" s="7"/>
      <c r="B15" s="7"/>
      <c r="C15" s="7"/>
      <c r="D15" s="7"/>
      <c r="E15" s="7"/>
      <c r="F15" s="7"/>
      <c r="G15" s="7"/>
      <c r="H15" s="7"/>
      <c r="I15" s="7"/>
      <c r="J15" s="7"/>
      <c r="K15" s="7"/>
      <c r="L15" s="7"/>
      <c r="M15" s="7"/>
      <c r="N15" s="7"/>
      <c r="O15" s="7"/>
      <c r="P15" s="7"/>
      <c r="Q15" s="7"/>
      <c r="R15" s="7"/>
      <c r="S15" s="7"/>
      <c r="T15" s="7"/>
    </row>
    <row r="16" spans="1:20">
      <c r="A16" s="7"/>
      <c r="B16" s="7"/>
      <c r="C16" s="7"/>
      <c r="D16" s="7"/>
      <c r="E16" s="7"/>
      <c r="F16" s="7"/>
      <c r="G16" s="7"/>
      <c r="H16" s="7"/>
      <c r="I16" s="7"/>
      <c r="J16" s="7"/>
      <c r="K16" s="7"/>
      <c r="L16" s="7"/>
      <c r="M16" s="7"/>
      <c r="N16" s="7"/>
      <c r="O16" s="7"/>
      <c r="P16" s="7"/>
      <c r="Q16" s="7"/>
      <c r="R16" s="7"/>
      <c r="S16" s="7"/>
      <c r="T16" s="7"/>
    </row>
    <row r="17" spans="1:20">
      <c r="A17" s="7"/>
      <c r="B17" s="7"/>
      <c r="C17" s="7"/>
      <c r="D17" s="7"/>
      <c r="E17" s="7"/>
      <c r="F17" s="7"/>
      <c r="G17" s="7"/>
      <c r="H17" s="7"/>
      <c r="I17" s="7"/>
      <c r="J17" s="7"/>
      <c r="K17" s="7"/>
      <c r="L17" s="7"/>
      <c r="M17" s="7"/>
      <c r="N17" s="7"/>
      <c r="O17" s="7"/>
      <c r="P17" s="7"/>
      <c r="Q17" s="7"/>
      <c r="R17" s="7"/>
      <c r="S17" s="7"/>
      <c r="T17" s="7"/>
    </row>
    <row r="18" spans="1:20">
      <c r="A18" s="7"/>
      <c r="B18" s="7"/>
      <c r="C18" s="7"/>
      <c r="D18" s="7"/>
      <c r="E18" s="7"/>
      <c r="F18" s="7"/>
      <c r="G18" s="7"/>
      <c r="H18" s="7"/>
      <c r="I18" s="7"/>
      <c r="J18" s="7"/>
      <c r="K18" s="7"/>
      <c r="L18" s="7"/>
      <c r="M18" s="7"/>
      <c r="N18" s="7"/>
      <c r="O18" s="7"/>
      <c r="P18" s="7"/>
      <c r="Q18" s="7"/>
      <c r="R18" s="7"/>
      <c r="S18" s="7"/>
      <c r="T18" s="7"/>
    </row>
    <row r="19" spans="1:20">
      <c r="A19" s="7"/>
      <c r="B19" s="7"/>
      <c r="C19" s="7"/>
      <c r="D19" s="7"/>
      <c r="E19" s="7"/>
      <c r="F19" s="7"/>
      <c r="G19" s="7"/>
      <c r="H19" s="7"/>
      <c r="I19" s="7"/>
      <c r="J19" s="7"/>
      <c r="K19" s="7"/>
      <c r="L19" s="7"/>
      <c r="M19" s="7"/>
      <c r="N19" s="7"/>
      <c r="O19" s="7"/>
      <c r="P19" s="7"/>
      <c r="Q19" s="7"/>
      <c r="R19" s="7"/>
      <c r="S19" s="7"/>
      <c r="T19" s="7"/>
    </row>
    <row r="20" spans="1:20">
      <c r="A20" s="7"/>
      <c r="B20" s="7"/>
      <c r="C20" s="7"/>
      <c r="D20" s="7"/>
      <c r="E20" s="7"/>
      <c r="F20" s="7"/>
      <c r="G20" s="7"/>
      <c r="H20" s="7"/>
      <c r="I20" s="7"/>
      <c r="J20" s="7"/>
      <c r="K20" s="7"/>
      <c r="L20" s="7"/>
      <c r="M20" s="7"/>
      <c r="N20" s="7"/>
      <c r="O20" s="7"/>
      <c r="P20" s="7"/>
      <c r="Q20" s="7"/>
      <c r="R20" s="7"/>
      <c r="S20" s="7"/>
      <c r="T20" s="7"/>
    </row>
    <row r="21" spans="1:20">
      <c r="A21" s="7"/>
      <c r="B21" s="7"/>
      <c r="C21" s="7"/>
      <c r="D21" s="7"/>
      <c r="E21" s="7"/>
      <c r="F21" s="7"/>
      <c r="G21" s="7"/>
      <c r="H21" s="7"/>
      <c r="I21" s="7"/>
      <c r="J21" s="7"/>
      <c r="K21" s="7"/>
      <c r="L21" s="7"/>
      <c r="M21" s="7"/>
      <c r="N21" s="7"/>
      <c r="O21" s="7"/>
      <c r="P21" s="7"/>
      <c r="Q21" s="7"/>
      <c r="R21" s="7"/>
      <c r="S21" s="7"/>
      <c r="T21" s="7"/>
    </row>
    <row r="22" spans="1:20">
      <c r="A22" s="7"/>
      <c r="B22" s="7"/>
      <c r="C22" s="7"/>
      <c r="D22" s="7"/>
      <c r="E22" s="7"/>
      <c r="F22" s="7"/>
      <c r="G22" s="7"/>
      <c r="H22" s="7"/>
      <c r="I22" s="7"/>
      <c r="J22" s="7"/>
      <c r="K22" s="7"/>
      <c r="L22" s="7"/>
      <c r="M22" s="7"/>
      <c r="N22" s="7"/>
      <c r="O22" s="7"/>
      <c r="P22" s="7"/>
      <c r="Q22" s="7"/>
      <c r="R22" s="7"/>
      <c r="S22" s="7"/>
      <c r="T22" s="7"/>
    </row>
    <row r="23" spans="1:20">
      <c r="A23" s="7"/>
      <c r="B23" s="7"/>
      <c r="C23" s="7"/>
      <c r="D23" s="7"/>
      <c r="E23" s="7"/>
      <c r="F23" s="7"/>
      <c r="G23" s="7"/>
      <c r="H23" s="7"/>
      <c r="I23" s="7"/>
      <c r="J23" s="7"/>
      <c r="K23" s="7"/>
      <c r="L23" s="7"/>
      <c r="M23" s="7"/>
      <c r="N23" s="7"/>
      <c r="O23" s="7"/>
      <c r="P23" s="7"/>
      <c r="Q23" s="7"/>
      <c r="R23" s="7"/>
      <c r="S23" s="7"/>
      <c r="T23" s="7"/>
    </row>
    <row r="24" spans="1:20">
      <c r="A24" s="7"/>
      <c r="B24" s="7"/>
      <c r="C24" s="7"/>
      <c r="D24" s="7"/>
      <c r="E24" s="7"/>
      <c r="F24" s="7"/>
      <c r="G24" s="7"/>
      <c r="H24" s="7"/>
      <c r="I24" s="7"/>
      <c r="J24" s="7"/>
      <c r="K24" s="7"/>
      <c r="L24" s="7"/>
      <c r="M24" s="7"/>
      <c r="N24" s="7"/>
      <c r="O24" s="7"/>
      <c r="P24" s="7"/>
      <c r="Q24" s="7"/>
      <c r="R24" s="7"/>
      <c r="S24" s="7"/>
      <c r="T24" s="7"/>
    </row>
    <row r="25" spans="1:20">
      <c r="A25" s="7"/>
      <c r="B25" s="7"/>
      <c r="C25" s="7"/>
      <c r="D25" s="7"/>
      <c r="E25" s="7"/>
      <c r="F25" s="7"/>
      <c r="G25" s="7"/>
      <c r="H25" s="7"/>
      <c r="I25" s="7"/>
      <c r="J25" s="7"/>
      <c r="K25" s="7"/>
      <c r="L25" s="7"/>
      <c r="M25" s="7"/>
      <c r="N25" s="7"/>
      <c r="O25" s="7"/>
      <c r="P25" s="7"/>
      <c r="Q25" s="7"/>
      <c r="R25" s="7"/>
      <c r="S25" s="7"/>
      <c r="T25" s="7"/>
    </row>
    <row r="26" spans="1:20">
      <c r="A26" s="7"/>
      <c r="B26" s="7"/>
      <c r="C26" s="7"/>
      <c r="D26" s="7"/>
      <c r="E26" s="7"/>
      <c r="F26" s="7"/>
      <c r="G26" s="7"/>
      <c r="H26" s="7"/>
      <c r="I26" s="7"/>
      <c r="J26" s="7"/>
      <c r="K26" s="7"/>
      <c r="L26" s="7"/>
      <c r="M26" s="7"/>
      <c r="N26" s="7"/>
      <c r="O26" s="7"/>
      <c r="P26" s="7"/>
      <c r="Q26" s="7"/>
      <c r="R26" s="7"/>
      <c r="S26" s="7"/>
      <c r="T26" s="7"/>
    </row>
    <row r="27" spans="1:20">
      <c r="A27" s="7"/>
      <c r="B27" s="7"/>
      <c r="C27" s="7"/>
      <c r="D27" s="7"/>
      <c r="E27" s="7"/>
      <c r="F27" s="7"/>
      <c r="G27" s="7"/>
      <c r="H27" s="7"/>
      <c r="I27" s="7"/>
      <c r="J27" s="7"/>
      <c r="K27" s="7"/>
      <c r="L27" s="7"/>
      <c r="M27" s="7"/>
      <c r="N27" s="7"/>
      <c r="O27" s="7"/>
      <c r="P27" s="7"/>
      <c r="Q27" s="7"/>
      <c r="R27" s="7"/>
      <c r="S27" s="7"/>
      <c r="T27" s="7"/>
    </row>
    <row r="28" spans="1:20">
      <c r="A28" s="7"/>
      <c r="B28" s="7"/>
      <c r="C28" s="7"/>
      <c r="D28" s="7"/>
      <c r="E28" s="7"/>
      <c r="F28" s="7"/>
      <c r="G28" s="7"/>
      <c r="H28" s="7"/>
      <c r="I28" s="7"/>
      <c r="J28" s="7"/>
      <c r="K28" s="7"/>
      <c r="L28" s="7"/>
      <c r="M28" s="7"/>
      <c r="N28" s="7"/>
      <c r="O28" s="7"/>
      <c r="P28" s="7"/>
      <c r="Q28" s="7"/>
      <c r="R28" s="7"/>
      <c r="S28" s="7"/>
      <c r="T28" s="7"/>
    </row>
    <row r="29" spans="1:20">
      <c r="A29" s="7"/>
      <c r="B29" s="7"/>
      <c r="C29" s="7"/>
      <c r="D29" s="7"/>
      <c r="E29" s="7"/>
      <c r="F29" s="7"/>
      <c r="G29" s="7"/>
      <c r="H29" s="7"/>
      <c r="I29" s="7"/>
      <c r="J29" s="7"/>
      <c r="K29" s="7"/>
      <c r="L29" s="7"/>
      <c r="M29" s="7"/>
      <c r="N29" s="7"/>
      <c r="O29" s="7"/>
      <c r="P29" s="7"/>
      <c r="Q29" s="7"/>
      <c r="R29" s="7"/>
      <c r="S29" s="7"/>
      <c r="T29" s="7"/>
    </row>
    <row r="30" spans="1:20">
      <c r="A30" s="7"/>
      <c r="B30" s="7"/>
      <c r="C30" s="7"/>
      <c r="D30" s="7"/>
      <c r="E30" s="7"/>
      <c r="F30" s="7"/>
      <c r="G30" s="7"/>
      <c r="H30" s="7"/>
      <c r="I30" s="7"/>
      <c r="J30" s="7"/>
      <c r="K30" s="7"/>
      <c r="L30" s="7"/>
      <c r="M30" s="7"/>
      <c r="N30" s="7"/>
      <c r="O30" s="7"/>
      <c r="P30" s="7"/>
    </row>
    <row r="31" spans="1:20">
      <c r="A31" s="7"/>
      <c r="B31" s="7"/>
      <c r="C31" s="7"/>
      <c r="D31" s="7"/>
      <c r="E31" s="7"/>
      <c r="F31" s="7"/>
      <c r="G31" s="7"/>
      <c r="H31" s="7"/>
      <c r="I31" s="7"/>
      <c r="J31" s="7"/>
      <c r="K31" s="7"/>
      <c r="L31" s="7"/>
      <c r="M31" s="7"/>
      <c r="N31" s="7"/>
      <c r="O31" s="7"/>
      <c r="P31" s="7"/>
    </row>
    <row r="32" spans="1:20">
      <c r="A32" s="7"/>
      <c r="B32" s="7"/>
      <c r="C32" s="7"/>
      <c r="D32" s="7"/>
      <c r="E32" s="7"/>
      <c r="F32" s="7"/>
      <c r="G32" s="7"/>
      <c r="H32" s="7"/>
      <c r="I32" s="7"/>
      <c r="J32" s="7"/>
      <c r="K32" s="7"/>
      <c r="L32" s="7"/>
      <c r="M32" s="7"/>
      <c r="N32" s="7"/>
      <c r="O32" s="7"/>
      <c r="P32" s="7"/>
    </row>
    <row r="33" spans="1:16">
      <c r="A33" s="7"/>
      <c r="B33" s="7"/>
      <c r="C33" s="7"/>
      <c r="D33" s="7"/>
      <c r="E33" s="7"/>
      <c r="F33" s="7"/>
      <c r="G33" s="7"/>
      <c r="H33" s="7"/>
      <c r="I33" s="7"/>
      <c r="J33" s="7"/>
      <c r="K33" s="7"/>
      <c r="L33" s="7"/>
      <c r="M33" s="7"/>
      <c r="N33" s="7"/>
      <c r="O33" s="7"/>
      <c r="P33" s="7"/>
    </row>
    <row r="34" spans="1:16">
      <c r="A34" s="7"/>
      <c r="B34" s="7"/>
      <c r="C34" s="7"/>
      <c r="D34" s="7"/>
      <c r="E34" s="7"/>
      <c r="F34" s="7"/>
      <c r="G34" s="7"/>
      <c r="H34" s="7"/>
      <c r="I34" s="7"/>
      <c r="J34" s="7"/>
      <c r="K34" s="7"/>
      <c r="L34" s="7"/>
      <c r="M34" s="7"/>
      <c r="N34" s="7"/>
      <c r="O34" s="7"/>
      <c r="P34" s="7"/>
    </row>
    <row r="35" spans="1:16">
      <c r="A35" s="7"/>
      <c r="B35" s="7"/>
      <c r="C35" s="7"/>
      <c r="D35" s="7"/>
      <c r="E35" s="7"/>
      <c r="F35" s="7"/>
      <c r="G35" s="7"/>
      <c r="H35" s="7"/>
      <c r="I35" s="7"/>
      <c r="J35" s="7"/>
      <c r="K35" s="7"/>
      <c r="L35" s="7"/>
      <c r="M35" s="7"/>
      <c r="N35" s="7"/>
      <c r="O35" s="7"/>
      <c r="P35" s="7"/>
    </row>
    <row r="36" spans="1:16">
      <c r="A36" s="7"/>
      <c r="B36" s="7"/>
      <c r="C36" s="7"/>
      <c r="D36" s="7"/>
      <c r="E36" s="7"/>
      <c r="F36" s="7"/>
      <c r="G36" s="7"/>
      <c r="H36" s="7"/>
      <c r="I36" s="7"/>
      <c r="J36" s="7"/>
      <c r="K36" s="7"/>
      <c r="L36" s="7"/>
      <c r="M36" s="7"/>
      <c r="N36" s="7"/>
      <c r="O36" s="7"/>
      <c r="P36" s="7"/>
    </row>
    <row r="37" spans="1:16">
      <c r="A37" s="7"/>
      <c r="B37" s="7"/>
      <c r="C37" s="7"/>
      <c r="D37" s="7"/>
      <c r="E37" s="7"/>
      <c r="F37" s="7"/>
      <c r="G37" s="7"/>
      <c r="H37" s="7"/>
      <c r="I37" s="7"/>
      <c r="J37" s="7"/>
      <c r="K37" s="7"/>
      <c r="L37" s="7"/>
      <c r="M37" s="7"/>
      <c r="N37" s="7"/>
      <c r="O37" s="7"/>
      <c r="P37" s="7"/>
    </row>
    <row r="38" spans="1:16">
      <c r="A38" s="7"/>
      <c r="B38" s="7"/>
      <c r="C38" s="7"/>
      <c r="D38" s="7"/>
      <c r="E38" s="7"/>
      <c r="F38" s="7"/>
      <c r="G38" s="7"/>
      <c r="H38" s="7"/>
      <c r="I38" s="7"/>
      <c r="J38" s="7"/>
      <c r="K38" s="7"/>
      <c r="L38" s="7"/>
      <c r="M38" s="7"/>
      <c r="N38" s="7"/>
      <c r="O38" s="7"/>
      <c r="P38" s="7"/>
    </row>
    <row r="39" spans="1:16">
      <c r="A39" s="7"/>
      <c r="B39" s="7"/>
      <c r="C39" s="7"/>
      <c r="D39" s="7"/>
      <c r="E39" s="7"/>
      <c r="F39" s="7"/>
      <c r="G39" s="7"/>
      <c r="H39" s="7"/>
      <c r="I39" s="7"/>
      <c r="J39" s="7"/>
      <c r="K39" s="7"/>
      <c r="L39" s="7"/>
      <c r="M39" s="7"/>
      <c r="N39" s="7"/>
      <c r="O39" s="7"/>
      <c r="P39" s="7"/>
    </row>
    <row r="40" spans="1:16">
      <c r="A40" s="7"/>
      <c r="B40" s="7"/>
      <c r="C40" s="7"/>
      <c r="D40" s="7"/>
      <c r="E40" s="7"/>
      <c r="F40" s="7"/>
      <c r="G40" s="7"/>
      <c r="H40" s="7"/>
      <c r="I40" s="7"/>
      <c r="J40" s="7"/>
      <c r="K40" s="7"/>
      <c r="L40" s="7"/>
      <c r="M40" s="7"/>
      <c r="N40" s="7"/>
      <c r="O40" s="7"/>
      <c r="P40" s="7"/>
    </row>
    <row r="41" spans="1:16">
      <c r="A41" s="7"/>
      <c r="B41" s="7"/>
      <c r="C41" s="7"/>
      <c r="D41" s="7"/>
      <c r="E41" s="7"/>
      <c r="F41" s="7"/>
      <c r="G41" s="7"/>
      <c r="H41" s="7"/>
      <c r="I41" s="7"/>
      <c r="J41" s="7"/>
      <c r="K41" s="7"/>
      <c r="L41" s="7"/>
      <c r="M41" s="7"/>
      <c r="N41" s="7"/>
      <c r="O41" s="7"/>
      <c r="P41" s="7"/>
    </row>
    <row r="42" spans="1:16">
      <c r="A42" s="7"/>
      <c r="B42" s="7"/>
      <c r="C42" s="7"/>
      <c r="D42" s="7"/>
      <c r="E42" s="7"/>
      <c r="F42" s="7"/>
      <c r="G42" s="7"/>
      <c r="H42" s="7"/>
      <c r="I42" s="7"/>
      <c r="J42" s="7"/>
      <c r="K42" s="7"/>
      <c r="L42" s="7"/>
      <c r="M42" s="7"/>
      <c r="N42" s="7"/>
      <c r="O42" s="7"/>
      <c r="P42" s="7"/>
    </row>
    <row r="43" spans="1:16">
      <c r="A43" s="7"/>
      <c r="B43" s="7"/>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spans="1:16">
      <c r="A65" s="7"/>
      <c r="B65" s="7"/>
      <c r="C65" s="7"/>
      <c r="D65" s="7"/>
      <c r="E65" s="7"/>
      <c r="F65" s="7"/>
      <c r="G65" s="7"/>
      <c r="H65" s="7"/>
      <c r="I65" s="7"/>
      <c r="J65" s="7"/>
      <c r="K65" s="7"/>
      <c r="L65" s="7"/>
      <c r="M65" s="7"/>
      <c r="N65" s="7"/>
      <c r="O65" s="7"/>
      <c r="P65" s="7"/>
    </row>
    <row r="66" spans="1:16">
      <c r="A66" s="7"/>
      <c r="B66" s="7"/>
      <c r="C66" s="7"/>
      <c r="D66" s="7"/>
      <c r="E66" s="7"/>
      <c r="F66" s="7"/>
      <c r="G66" s="7"/>
      <c r="H66" s="7"/>
      <c r="I66" s="7"/>
      <c r="J66" s="7"/>
      <c r="K66" s="7"/>
      <c r="L66" s="7"/>
      <c r="M66" s="7"/>
      <c r="N66" s="7"/>
      <c r="O66" s="7"/>
      <c r="P66" s="7"/>
    </row>
    <row r="67" spans="1:16">
      <c r="A67" s="7"/>
      <c r="B67" s="7"/>
      <c r="C67" s="7"/>
      <c r="D67" s="7"/>
      <c r="E67" s="7"/>
      <c r="F67" s="7"/>
      <c r="G67" s="7"/>
      <c r="H67" s="7"/>
      <c r="I67" s="7"/>
      <c r="J67" s="7"/>
      <c r="K67" s="7"/>
      <c r="L67" s="7"/>
      <c r="M67" s="7"/>
      <c r="N67" s="7"/>
      <c r="O67" s="7"/>
      <c r="P67" s="7"/>
    </row>
    <row r="68" spans="1:16">
      <c r="A68" s="7"/>
      <c r="B68" s="7"/>
      <c r="C68" s="7"/>
      <c r="D68" s="7"/>
      <c r="E68" s="7"/>
      <c r="F68" s="7"/>
      <c r="G68" s="7"/>
      <c r="H68" s="7"/>
      <c r="I68" s="7"/>
      <c r="J68" s="7"/>
      <c r="K68" s="7"/>
      <c r="L68" s="7"/>
      <c r="M68" s="7"/>
      <c r="N68" s="7"/>
      <c r="O68" s="7"/>
      <c r="P68" s="7"/>
    </row>
    <row r="69" spans="1:16">
      <c r="A69" s="7"/>
      <c r="B69" s="7"/>
      <c r="C69" s="7"/>
      <c r="D69" s="7"/>
      <c r="E69" s="7"/>
      <c r="F69" s="7"/>
      <c r="G69" s="7"/>
      <c r="H69" s="7"/>
      <c r="I69" s="7"/>
      <c r="J69" s="7"/>
      <c r="K69" s="7"/>
      <c r="L69" s="7"/>
      <c r="M69" s="7"/>
      <c r="N69" s="7"/>
      <c r="O69" s="7"/>
      <c r="P69" s="7"/>
    </row>
    <row r="70" spans="1:16">
      <c r="A70" s="7"/>
      <c r="B70" s="7"/>
      <c r="C70" s="7"/>
      <c r="D70" s="7"/>
      <c r="E70" s="7"/>
      <c r="F70" s="7"/>
      <c r="G70" s="7"/>
      <c r="H70" s="7"/>
      <c r="I70" s="7"/>
      <c r="J70" s="7"/>
      <c r="K70" s="7"/>
      <c r="L70" s="7"/>
      <c r="M70" s="7"/>
      <c r="N70" s="7"/>
      <c r="O70" s="7"/>
      <c r="P70" s="7"/>
    </row>
    <row r="71" spans="1:16">
      <c r="A71" s="7"/>
      <c r="B71" s="7"/>
      <c r="C71" s="7"/>
      <c r="D71" s="7"/>
      <c r="E71" s="7"/>
      <c r="F71" s="7"/>
      <c r="G71" s="7"/>
      <c r="H71" s="7"/>
      <c r="I71" s="7"/>
      <c r="J71" s="7"/>
      <c r="K71" s="7"/>
      <c r="L71" s="7"/>
      <c r="M71" s="7"/>
      <c r="N71" s="7"/>
      <c r="O71" s="7"/>
      <c r="P71" s="7"/>
    </row>
    <row r="72" spans="1:16">
      <c r="A72" s="7"/>
      <c r="B72" s="7"/>
      <c r="C72" s="7"/>
      <c r="D72" s="7"/>
      <c r="E72" s="7"/>
      <c r="F72" s="7"/>
      <c r="G72" s="7"/>
      <c r="H72" s="7"/>
      <c r="I72" s="7"/>
      <c r="J72" s="7"/>
      <c r="K72" s="7"/>
      <c r="L72" s="7"/>
      <c r="M72" s="7"/>
      <c r="N72" s="7"/>
      <c r="O72" s="7"/>
      <c r="P72" s="7"/>
    </row>
    <row r="73" spans="1:16">
      <c r="A73" s="7"/>
      <c r="B73" s="7"/>
      <c r="C73" s="7"/>
      <c r="D73" s="7"/>
      <c r="E73" s="7"/>
      <c r="F73" s="7"/>
      <c r="G73" s="7"/>
      <c r="H73" s="7"/>
      <c r="I73" s="7"/>
      <c r="J73" s="7"/>
      <c r="K73" s="7"/>
      <c r="L73" s="7"/>
      <c r="M73" s="7"/>
      <c r="N73" s="7"/>
      <c r="O73" s="7"/>
      <c r="P73" s="7"/>
    </row>
    <row r="74" spans="1:16">
      <c r="A74" s="7"/>
      <c r="B74" s="7"/>
      <c r="C74" s="7"/>
      <c r="D74" s="7"/>
      <c r="E74" s="7"/>
      <c r="F74" s="7"/>
      <c r="G74" s="7"/>
      <c r="H74" s="7"/>
      <c r="I74" s="7"/>
      <c r="J74" s="7"/>
      <c r="K74" s="7"/>
      <c r="L74" s="7"/>
      <c r="M74" s="7"/>
      <c r="N74" s="7"/>
      <c r="O74" s="7"/>
      <c r="P74" s="7"/>
    </row>
    <row r="75" spans="1:16">
      <c r="A75" s="7"/>
      <c r="B75" s="7"/>
      <c r="C75" s="7"/>
      <c r="D75" s="7"/>
      <c r="E75" s="7"/>
      <c r="F75" s="7"/>
      <c r="G75" s="7"/>
      <c r="H75" s="7"/>
      <c r="I75" s="7"/>
      <c r="J75" s="7"/>
      <c r="K75" s="7"/>
      <c r="L75" s="7"/>
      <c r="M75" s="7"/>
      <c r="N75" s="7"/>
      <c r="O75" s="7"/>
      <c r="P75" s="7"/>
    </row>
    <row r="76" spans="1:16">
      <c r="A76" s="7"/>
      <c r="B76" s="7"/>
      <c r="C76" s="7"/>
      <c r="D76" s="7"/>
      <c r="E76" s="7"/>
      <c r="F76" s="7"/>
      <c r="G76" s="7"/>
      <c r="H76" s="7"/>
      <c r="I76" s="7"/>
      <c r="J76" s="7"/>
      <c r="K76" s="7"/>
      <c r="L76" s="7"/>
      <c r="M76" s="7"/>
      <c r="N76" s="7"/>
      <c r="O76" s="7"/>
      <c r="P76" s="7"/>
    </row>
    <row r="77" spans="1:16">
      <c r="A77" s="7"/>
      <c r="B77" s="7"/>
      <c r="C77" s="7"/>
      <c r="D77" s="7"/>
      <c r="E77" s="7"/>
      <c r="F77" s="7"/>
      <c r="G77" s="7"/>
      <c r="H77" s="7"/>
      <c r="I77" s="7"/>
      <c r="J77" s="7"/>
      <c r="K77" s="7"/>
      <c r="L77" s="7"/>
      <c r="M77" s="7"/>
      <c r="N77" s="7"/>
      <c r="O77" s="7"/>
      <c r="P77" s="7"/>
    </row>
    <row r="78" spans="1:16">
      <c r="A78" s="7"/>
      <c r="B78" s="7"/>
      <c r="C78" s="7"/>
      <c r="D78" s="7"/>
      <c r="E78" s="7"/>
      <c r="F78" s="7"/>
      <c r="G78" s="7"/>
      <c r="H78" s="7"/>
      <c r="I78" s="7"/>
      <c r="J78" s="7"/>
      <c r="K78" s="7"/>
      <c r="L78" s="7"/>
      <c r="M78" s="7"/>
      <c r="N78" s="7"/>
      <c r="O78" s="7"/>
      <c r="P78" s="7"/>
    </row>
    <row r="79" spans="1:16">
      <c r="A79" s="7"/>
      <c r="B79" s="7"/>
      <c r="C79" s="7"/>
      <c r="D79" s="7"/>
      <c r="E79" s="7"/>
      <c r="F79" s="7"/>
      <c r="G79" s="7"/>
      <c r="H79" s="7"/>
      <c r="I79" s="7"/>
      <c r="J79" s="7"/>
      <c r="K79" s="7"/>
      <c r="L79" s="7"/>
      <c r="M79" s="7"/>
      <c r="N79" s="7"/>
      <c r="O79" s="7"/>
      <c r="P79" s="7"/>
    </row>
    <row r="80" spans="1:16">
      <c r="A80" s="7"/>
      <c r="B80" s="7"/>
      <c r="C80" s="7"/>
      <c r="D80" s="7"/>
      <c r="E80" s="7"/>
      <c r="F80" s="7"/>
      <c r="G80" s="7"/>
      <c r="H80" s="7"/>
      <c r="I80" s="7"/>
      <c r="J80" s="7"/>
      <c r="K80" s="7"/>
      <c r="L80" s="7"/>
      <c r="M80" s="7"/>
      <c r="N80" s="7"/>
      <c r="O80" s="7"/>
      <c r="P80" s="7"/>
    </row>
  </sheetData>
  <sheetProtection algorithmName="SHA-512" hashValue="b2ui+6YcScyJdzIYhdc37Cmjz2ECghqixovgO+JbEPa98M1gsitcK28V204T39qGFe0tM9WfZPx/sARpU9HGQw==" saltValue="zVos+sJSYIvnhwAcQB0VyQ==" spinCount="100000" sheet="1" objects="1" scenarios="1"/>
  <conditionalFormatting sqref="E1">
    <cfRule type="expression" dxfId="554" priority="2" stopIfTrue="1">
      <formula>MOD(ROW(),2)=0</formula>
    </cfRule>
  </conditionalFormatting>
  <conditionalFormatting sqref="P1:T29">
    <cfRule type="cellIs" dxfId="553" priority="1" stopIfTrue="1" operator="equal">
      <formula>0</formula>
    </cfRule>
  </conditionalFormatting>
  <hyperlinks>
    <hyperlink ref="E1" location="HypLink1" display="HypLink1" xr:uid="{5C5619E5-080E-4FEB-8E13-B074694B0C79}"/>
  </hyperlinks>
  <pageMargins left="0.35" right="0.25" top="0.32" bottom="0.5" header="0.32" footer="0.3"/>
  <pageSetup orientation="portrait" r:id="rId1"/>
  <headerFooter alignWithMargins="0">
    <oddFooter>&amp;L&amp;7&amp;D  at &amp;T Mike 702.486.8879&amp;C&amp;7Page &amp;P of &amp;N&amp;R&amp;7&amp;F  &amp;A</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7E77-F4B8-40BE-960A-A8B5FC622A25}">
  <sheetPr codeName="Sheet19">
    <tabColor theme="0" tint="-0.34998626667073579"/>
  </sheetPr>
  <dimension ref="A1:P80"/>
  <sheetViews>
    <sheetView workbookViewId="0"/>
  </sheetViews>
  <sheetFormatPr defaultColWidth="9.109375" defaultRowHeight="13.2"/>
  <cols>
    <col min="1" max="1" width="4.44140625" style="6" customWidth="1"/>
    <col min="2" max="16384" width="9.109375" style="6"/>
  </cols>
  <sheetData>
    <row r="1" spans="1:16" ht="15.6">
      <c r="A1" s="318" t="s">
        <v>1160</v>
      </c>
      <c r="B1" s="318"/>
      <c r="C1" s="318"/>
      <c r="D1" s="318"/>
      <c r="E1" s="318"/>
      <c r="F1" s="318"/>
      <c r="G1" s="318"/>
      <c r="M1" s="385" t="s">
        <v>2</v>
      </c>
    </row>
    <row r="2" spans="1:16" ht="15.6">
      <c r="A2" s="26"/>
      <c r="B2" s="29"/>
      <c r="C2" s="29"/>
      <c r="D2" s="29"/>
      <c r="E2" s="29"/>
      <c r="F2" s="29"/>
      <c r="G2" s="29"/>
      <c r="H2" s="6" t="s">
        <v>1161</v>
      </c>
    </row>
    <row r="3" spans="1:16">
      <c r="A3" s="10" t="s">
        <v>815</v>
      </c>
      <c r="H3" s="6" t="s">
        <v>1162</v>
      </c>
    </row>
    <row r="4" spans="1:16">
      <c r="A4" s="9" t="s">
        <v>72</v>
      </c>
    </row>
    <row r="5" spans="1:16">
      <c r="A5" s="8" t="str">
        <f ca="1">CELL("filename")</f>
        <v>C:\Users\Nicho\Desktop\[Attachment 2.  Eagle NV RFA 12.16.22.xlsx]CF Y1 Mo</v>
      </c>
    </row>
    <row r="6" spans="1:16">
      <c r="A6" s="7"/>
      <c r="B6" s="7"/>
      <c r="C6" s="7"/>
      <c r="D6" s="7"/>
      <c r="E6" s="7"/>
      <c r="F6" s="7"/>
      <c r="G6" s="7"/>
      <c r="H6" s="7"/>
      <c r="I6" s="7"/>
      <c r="J6" s="7"/>
      <c r="K6" s="7"/>
      <c r="L6" s="7"/>
      <c r="M6" s="7"/>
      <c r="N6" s="7"/>
      <c r="O6" s="7"/>
      <c r="P6" s="7"/>
    </row>
    <row r="7" spans="1:16">
      <c r="A7" s="7"/>
      <c r="B7" s="7" t="s">
        <v>1163</v>
      </c>
      <c r="C7" s="7"/>
      <c r="D7" s="7"/>
      <c r="E7" s="7"/>
      <c r="F7" s="7"/>
      <c r="G7" s="7"/>
      <c r="H7" s="7"/>
      <c r="I7" s="7"/>
      <c r="J7" s="7"/>
      <c r="K7" s="7"/>
      <c r="L7" s="7"/>
      <c r="M7" s="7"/>
      <c r="N7" s="7"/>
      <c r="O7" s="7"/>
      <c r="P7" s="7"/>
    </row>
    <row r="8" spans="1:16">
      <c r="A8" s="7"/>
      <c r="B8" s="7" t="s">
        <v>1164</v>
      </c>
      <c r="C8" s="7"/>
      <c r="D8" s="7"/>
      <c r="E8" s="7"/>
      <c r="F8" s="7"/>
      <c r="G8" s="7"/>
      <c r="H8" s="7"/>
      <c r="I8" s="7"/>
      <c r="J8" s="7"/>
      <c r="K8" s="7"/>
      <c r="L8" s="7"/>
      <c r="M8" s="7"/>
      <c r="N8" s="7"/>
      <c r="O8" s="7"/>
      <c r="P8" s="7"/>
    </row>
    <row r="9" spans="1:16">
      <c r="A9" s="7"/>
      <c r="B9" s="7"/>
      <c r="C9" s="7"/>
      <c r="D9" s="7"/>
      <c r="E9" s="7"/>
      <c r="F9" s="7"/>
      <c r="G9" s="7"/>
      <c r="H9" s="7"/>
      <c r="I9" s="7"/>
      <c r="J9" s="7"/>
      <c r="K9" s="7"/>
      <c r="L9" s="7"/>
      <c r="M9" s="7"/>
      <c r="N9" s="7"/>
      <c r="O9" s="7"/>
      <c r="P9" s="7"/>
    </row>
    <row r="10" spans="1:16">
      <c r="A10" s="7"/>
      <c r="B10" s="342"/>
      <c r="C10" s="342"/>
      <c r="D10" s="342"/>
      <c r="E10" s="342"/>
      <c r="F10" s="342"/>
      <c r="G10" s="2230" t="s">
        <v>1165</v>
      </c>
      <c r="H10" s="2230"/>
      <c r="I10" s="1413" t="s">
        <v>1166</v>
      </c>
      <c r="J10" s="1413"/>
      <c r="K10" s="1413"/>
      <c r="L10" s="1413"/>
      <c r="M10" s="1413"/>
      <c r="N10" s="1413"/>
      <c r="O10" s="7"/>
      <c r="P10" s="7"/>
    </row>
    <row r="11" spans="1:16">
      <c r="A11" s="7"/>
      <c r="B11" s="343"/>
      <c r="C11" s="17"/>
      <c r="D11" s="17"/>
      <c r="E11" s="17"/>
      <c r="F11" s="17"/>
      <c r="G11" s="344" t="s">
        <v>1167</v>
      </c>
      <c r="H11" s="344" t="s">
        <v>1168</v>
      </c>
      <c r="I11" s="344" t="s">
        <v>457</v>
      </c>
      <c r="J11" s="344">
        <v>1</v>
      </c>
      <c r="K11" s="344">
        <f>+J11+1</f>
        <v>2</v>
      </c>
      <c r="L11" s="344">
        <f>+K11+1</f>
        <v>3</v>
      </c>
      <c r="M11" s="344">
        <f>+L11+1</f>
        <v>4</v>
      </c>
      <c r="N11" s="344">
        <f>+M11+1</f>
        <v>5</v>
      </c>
      <c r="O11" s="7"/>
      <c r="P11" s="7"/>
    </row>
    <row r="12" spans="1:16">
      <c r="A12" s="7"/>
      <c r="C12" s="7"/>
      <c r="D12" s="7"/>
      <c r="E12" s="7"/>
      <c r="F12" s="7"/>
      <c r="G12" s="7"/>
      <c r="H12" s="7"/>
      <c r="I12" s="7"/>
      <c r="J12" s="7"/>
      <c r="K12" s="7"/>
      <c r="L12" s="7"/>
      <c r="M12" s="7"/>
      <c r="N12" s="7"/>
      <c r="O12" s="7"/>
      <c r="P12" s="7"/>
    </row>
    <row r="13" spans="1:16">
      <c r="A13" s="7"/>
      <c r="B13" s="345" t="s">
        <v>1169</v>
      </c>
      <c r="C13" s="17"/>
      <c r="D13" s="17"/>
      <c r="E13" s="17"/>
      <c r="F13" s="17"/>
      <c r="G13" s="17"/>
      <c r="H13" s="17"/>
      <c r="I13" s="17"/>
      <c r="J13" s="17"/>
      <c r="K13" s="17"/>
      <c r="L13" s="17"/>
      <c r="M13" s="17"/>
      <c r="N13" s="17"/>
      <c r="O13" s="7"/>
      <c r="P13" s="7"/>
    </row>
    <row r="14" spans="1:16">
      <c r="A14" s="7"/>
      <c r="B14" s="346" t="s">
        <v>1170</v>
      </c>
      <c r="C14" s="346"/>
      <c r="D14" s="346"/>
      <c r="E14" s="346"/>
      <c r="F14" s="346"/>
      <c r="G14" s="347"/>
      <c r="H14" s="347"/>
      <c r="I14" s="347"/>
      <c r="J14" s="347"/>
      <c r="K14" s="347"/>
      <c r="L14" s="347"/>
      <c r="M14" s="347"/>
      <c r="N14" s="347"/>
      <c r="O14" s="7"/>
      <c r="P14" s="7"/>
    </row>
    <row r="15" spans="1:16">
      <c r="A15" s="7"/>
      <c r="B15" s="348" t="s">
        <v>1171</v>
      </c>
      <c r="C15" s="348"/>
      <c r="D15" s="348"/>
      <c r="E15" s="348"/>
      <c r="F15" s="348"/>
      <c r="G15" s="349"/>
      <c r="H15" s="349"/>
      <c r="I15" s="349"/>
      <c r="J15" s="349"/>
      <c r="K15" s="349"/>
      <c r="L15" s="349"/>
      <c r="M15" s="349"/>
      <c r="N15" s="349"/>
      <c r="O15" s="7"/>
      <c r="P15" s="7"/>
    </row>
    <row r="16" spans="1:16">
      <c r="A16" s="7"/>
      <c r="B16" s="348" t="s">
        <v>1172</v>
      </c>
      <c r="C16" s="348"/>
      <c r="D16" s="348"/>
      <c r="E16" s="348"/>
      <c r="F16" s="348"/>
      <c r="G16" s="349"/>
      <c r="H16" s="349"/>
      <c r="I16" s="349"/>
      <c r="J16" s="349"/>
      <c r="K16" s="349"/>
      <c r="L16" s="349"/>
      <c r="M16" s="349"/>
      <c r="N16" s="349"/>
      <c r="O16" s="7"/>
      <c r="P16" s="7"/>
    </row>
    <row r="17" spans="1:16">
      <c r="A17" s="7"/>
      <c r="B17" s="348" t="s">
        <v>1173</v>
      </c>
      <c r="C17" s="348"/>
      <c r="D17" s="348"/>
      <c r="E17" s="348"/>
      <c r="F17" s="348"/>
      <c r="G17" s="349"/>
      <c r="H17" s="349"/>
      <c r="I17" s="349"/>
      <c r="J17" s="349"/>
      <c r="K17" s="349"/>
      <c r="L17" s="349"/>
      <c r="M17" s="349"/>
      <c r="N17" s="349"/>
      <c r="O17" s="7"/>
      <c r="P17" s="7"/>
    </row>
    <row r="18" spans="1:16">
      <c r="A18" s="7"/>
      <c r="B18" s="348" t="s">
        <v>1174</v>
      </c>
      <c r="C18" s="348"/>
      <c r="D18" s="348"/>
      <c r="E18" s="348"/>
      <c r="F18" s="348"/>
      <c r="G18" s="349"/>
      <c r="H18" s="349"/>
      <c r="I18" s="349"/>
      <c r="J18" s="349"/>
      <c r="K18" s="349"/>
      <c r="L18" s="349"/>
      <c r="M18" s="349"/>
      <c r="N18" s="349"/>
      <c r="O18" s="7"/>
      <c r="P18" s="7"/>
    </row>
    <row r="19" spans="1:16">
      <c r="A19" s="7"/>
      <c r="B19" s="348" t="s">
        <v>1175</v>
      </c>
      <c r="C19" s="348"/>
      <c r="D19" s="348"/>
      <c r="E19" s="348"/>
      <c r="F19" s="348"/>
      <c r="G19" s="349"/>
      <c r="H19" s="349"/>
      <c r="I19" s="349"/>
      <c r="J19" s="349"/>
      <c r="K19" s="349"/>
      <c r="L19" s="349"/>
      <c r="M19" s="349"/>
      <c r="N19" s="349"/>
      <c r="O19" s="7"/>
      <c r="P19" s="7"/>
    </row>
    <row r="20" spans="1:16">
      <c r="A20" s="7"/>
      <c r="B20" s="348" t="s">
        <v>1176</v>
      </c>
      <c r="C20" s="348"/>
      <c r="D20" s="348"/>
      <c r="E20" s="348"/>
      <c r="F20" s="348"/>
      <c r="G20" s="349"/>
      <c r="H20" s="349"/>
      <c r="I20" s="349"/>
      <c r="J20" s="349"/>
      <c r="K20" s="349"/>
      <c r="L20" s="349"/>
      <c r="M20" s="349"/>
      <c r="N20" s="349"/>
      <c r="O20" s="7"/>
      <c r="P20" s="7"/>
    </row>
    <row r="21" spans="1:16">
      <c r="A21" s="7"/>
      <c r="B21" s="348" t="s">
        <v>1177</v>
      </c>
      <c r="C21" s="348"/>
      <c r="D21" s="348"/>
      <c r="E21" s="348"/>
      <c r="F21" s="348"/>
      <c r="G21" s="349"/>
      <c r="H21" s="349"/>
      <c r="I21" s="349"/>
      <c r="J21" s="349"/>
      <c r="K21" s="349"/>
      <c r="L21" s="349"/>
      <c r="M21" s="349"/>
      <c r="N21" s="349"/>
      <c r="O21" s="7"/>
      <c r="P21" s="7"/>
    </row>
    <row r="22" spans="1:16">
      <c r="A22" s="7"/>
      <c r="B22" s="348" t="s">
        <v>1178</v>
      </c>
      <c r="C22" s="348"/>
      <c r="D22" s="348"/>
      <c r="E22" s="348"/>
      <c r="F22" s="348"/>
      <c r="G22" s="349"/>
      <c r="H22" s="349"/>
      <c r="I22" s="349"/>
      <c r="J22" s="349"/>
      <c r="K22" s="349"/>
      <c r="L22" s="349"/>
      <c r="M22" s="349"/>
      <c r="N22" s="349"/>
      <c r="O22" s="7"/>
      <c r="P22" s="7"/>
    </row>
    <row r="23" spans="1:16">
      <c r="A23" s="7"/>
      <c r="B23" s="348" t="s">
        <v>1179</v>
      </c>
      <c r="C23" s="348"/>
      <c r="D23" s="348"/>
      <c r="E23" s="348"/>
      <c r="F23" s="348"/>
      <c r="G23" s="349"/>
      <c r="H23" s="349"/>
      <c r="I23" s="349"/>
      <c r="J23" s="349"/>
      <c r="K23" s="349"/>
      <c r="L23" s="349"/>
      <c r="M23" s="349"/>
      <c r="N23" s="349"/>
      <c r="O23" s="7"/>
      <c r="P23" s="7"/>
    </row>
    <row r="24" spans="1:16">
      <c r="A24" s="7"/>
      <c r="B24" s="348" t="s">
        <v>1180</v>
      </c>
      <c r="C24" s="348"/>
      <c r="D24" s="348"/>
      <c r="E24" s="348"/>
      <c r="F24" s="348"/>
      <c r="G24" s="349"/>
      <c r="H24" s="349"/>
      <c r="I24" s="349"/>
      <c r="J24" s="349"/>
      <c r="K24" s="349"/>
      <c r="L24" s="349"/>
      <c r="M24" s="349"/>
      <c r="N24" s="349"/>
      <c r="O24" s="7"/>
      <c r="P24" s="7"/>
    </row>
    <row r="25" spans="1:16">
      <c r="A25" s="7"/>
      <c r="B25" s="348" t="s">
        <v>1181</v>
      </c>
      <c r="C25" s="348"/>
      <c r="D25" s="348"/>
      <c r="E25" s="348"/>
      <c r="F25" s="348"/>
      <c r="G25" s="349"/>
      <c r="H25" s="349"/>
      <c r="I25" s="349"/>
      <c r="J25" s="349"/>
      <c r="K25" s="349"/>
      <c r="L25" s="349"/>
      <c r="M25" s="349"/>
      <c r="N25" s="349"/>
      <c r="O25" s="7"/>
      <c r="P25" s="7"/>
    </row>
    <row r="26" spans="1:16">
      <c r="A26" s="7"/>
      <c r="B26" s="7"/>
      <c r="C26" s="7"/>
      <c r="D26" s="7"/>
      <c r="E26" s="7"/>
      <c r="F26" s="7"/>
      <c r="G26" s="7"/>
      <c r="H26" s="7"/>
      <c r="I26" s="7">
        <f>SUM(I14:I25)</f>
        <v>0</v>
      </c>
      <c r="J26" s="7">
        <f t="shared" ref="J26:N26" si="0">SUM(J14:J25)</f>
        <v>0</v>
      </c>
      <c r="K26" s="7">
        <f t="shared" si="0"/>
        <v>0</v>
      </c>
      <c r="L26" s="7">
        <f t="shared" si="0"/>
        <v>0</v>
      </c>
      <c r="M26" s="7">
        <f t="shared" si="0"/>
        <v>0</v>
      </c>
      <c r="N26" s="7">
        <f t="shared" si="0"/>
        <v>0</v>
      </c>
      <c r="O26" s="7"/>
      <c r="P26" s="7"/>
    </row>
    <row r="27" spans="1:16">
      <c r="A27" s="7"/>
      <c r="B27" s="7"/>
      <c r="C27" s="7"/>
      <c r="D27" s="7"/>
      <c r="E27" s="7"/>
      <c r="F27" s="7"/>
      <c r="G27" s="7"/>
      <c r="H27" s="7"/>
      <c r="I27" s="7"/>
      <c r="J27" s="7"/>
      <c r="K27" s="7"/>
      <c r="L27" s="7"/>
      <c r="M27" s="7"/>
      <c r="N27" s="7"/>
      <c r="O27" s="7"/>
      <c r="P27" s="7"/>
    </row>
    <row r="28" spans="1:16">
      <c r="A28" s="7"/>
      <c r="B28" s="345" t="s">
        <v>1182</v>
      </c>
      <c r="C28" s="17"/>
      <c r="D28" s="17"/>
      <c r="E28" s="17"/>
      <c r="F28" s="17"/>
      <c r="G28" s="17"/>
      <c r="H28" s="17"/>
      <c r="I28" s="17"/>
      <c r="J28" s="17"/>
      <c r="K28" s="17"/>
      <c r="L28" s="17"/>
      <c r="M28" s="17"/>
      <c r="N28" s="17"/>
      <c r="O28" s="7"/>
      <c r="P28" s="7"/>
    </row>
    <row r="29" spans="1:16">
      <c r="A29" s="7"/>
      <c r="B29" s="346" t="s">
        <v>1183</v>
      </c>
      <c r="C29" s="346"/>
      <c r="D29" s="346"/>
      <c r="E29" s="346"/>
      <c r="F29" s="346"/>
      <c r="G29" s="347"/>
      <c r="H29" s="347"/>
      <c r="I29" s="347"/>
      <c r="J29" s="347"/>
      <c r="K29" s="347"/>
      <c r="L29" s="347"/>
      <c r="M29" s="347"/>
      <c r="N29" s="347"/>
      <c r="O29" s="7"/>
      <c r="P29" s="7"/>
    </row>
    <row r="30" spans="1:16">
      <c r="A30" s="7"/>
      <c r="B30" s="348" t="s">
        <v>1184</v>
      </c>
      <c r="C30" s="348"/>
      <c r="D30" s="348"/>
      <c r="E30" s="348"/>
      <c r="F30" s="348"/>
      <c r="G30" s="349"/>
      <c r="H30" s="349"/>
      <c r="I30" s="349"/>
      <c r="J30" s="349"/>
      <c r="K30" s="349"/>
      <c r="L30" s="349"/>
      <c r="M30" s="349"/>
      <c r="N30" s="349"/>
      <c r="O30" s="7"/>
      <c r="P30" s="7"/>
    </row>
    <row r="31" spans="1:16">
      <c r="A31" s="7"/>
      <c r="B31" s="348" t="s">
        <v>1185</v>
      </c>
      <c r="C31" s="348"/>
      <c r="D31" s="348"/>
      <c r="E31" s="348"/>
      <c r="F31" s="348"/>
      <c r="G31" s="349"/>
      <c r="H31" s="349"/>
      <c r="I31" s="349"/>
      <c r="J31" s="349"/>
      <c r="K31" s="349"/>
      <c r="L31" s="349"/>
      <c r="M31" s="349"/>
      <c r="N31" s="349"/>
      <c r="O31" s="7"/>
      <c r="P31" s="7"/>
    </row>
    <row r="32" spans="1:16">
      <c r="A32" s="7"/>
      <c r="B32" s="348" t="s">
        <v>1186</v>
      </c>
      <c r="C32" s="348"/>
      <c r="D32" s="348"/>
      <c r="E32" s="348"/>
      <c r="F32" s="348"/>
      <c r="G32" s="349"/>
      <c r="H32" s="349"/>
      <c r="I32" s="349"/>
      <c r="J32" s="349"/>
      <c r="K32" s="349"/>
      <c r="L32" s="349"/>
      <c r="M32" s="349"/>
      <c r="N32" s="349"/>
      <c r="O32" s="7"/>
      <c r="P32" s="7"/>
    </row>
    <row r="33" spans="1:16">
      <c r="A33" s="7"/>
      <c r="B33" s="348" t="s">
        <v>1187</v>
      </c>
      <c r="C33" s="348"/>
      <c r="D33" s="348"/>
      <c r="E33" s="348"/>
      <c r="F33" s="348"/>
      <c r="G33" s="349"/>
      <c r="H33" s="349"/>
      <c r="I33" s="349"/>
      <c r="J33" s="349"/>
      <c r="K33" s="349"/>
      <c r="L33" s="349"/>
      <c r="M33" s="349"/>
      <c r="N33" s="349"/>
      <c r="O33" s="7"/>
      <c r="P33" s="7"/>
    </row>
    <row r="34" spans="1:16">
      <c r="A34" s="7"/>
      <c r="B34" s="350" t="s">
        <v>1188</v>
      </c>
      <c r="C34" s="348"/>
      <c r="D34" s="348"/>
      <c r="E34" s="348"/>
      <c r="F34" s="348"/>
      <c r="G34" s="349"/>
      <c r="H34" s="349"/>
      <c r="I34" s="349"/>
      <c r="J34" s="349"/>
      <c r="K34" s="349"/>
      <c r="L34" s="349"/>
      <c r="M34" s="349"/>
      <c r="N34" s="349"/>
      <c r="O34" s="7"/>
      <c r="P34" s="7"/>
    </row>
    <row r="35" spans="1:16">
      <c r="A35" s="7"/>
      <c r="B35" s="350" t="s">
        <v>1189</v>
      </c>
      <c r="C35" s="348"/>
      <c r="D35" s="348"/>
      <c r="E35" s="348"/>
      <c r="F35" s="348"/>
      <c r="G35" s="349"/>
      <c r="H35" s="349"/>
      <c r="I35" s="349"/>
      <c r="J35" s="349"/>
      <c r="K35" s="349"/>
      <c r="L35" s="349"/>
      <c r="M35" s="349"/>
      <c r="N35" s="349"/>
      <c r="O35" s="7"/>
      <c r="P35" s="7"/>
    </row>
    <row r="36" spans="1:16">
      <c r="A36" s="7"/>
      <c r="B36" s="350" t="s">
        <v>1190</v>
      </c>
      <c r="C36" s="348"/>
      <c r="D36" s="348"/>
      <c r="E36" s="348"/>
      <c r="F36" s="348"/>
      <c r="G36" s="349"/>
      <c r="H36" s="349"/>
      <c r="I36" s="349"/>
      <c r="J36" s="349"/>
      <c r="K36" s="349"/>
      <c r="L36" s="349"/>
      <c r="M36" s="349"/>
      <c r="N36" s="349"/>
      <c r="O36" s="7"/>
      <c r="P36" s="7"/>
    </row>
    <row r="37" spans="1:16">
      <c r="A37" s="7"/>
      <c r="B37" s="350" t="s">
        <v>1191</v>
      </c>
      <c r="C37" s="348"/>
      <c r="D37" s="348"/>
      <c r="E37" s="348"/>
      <c r="F37" s="348"/>
      <c r="G37" s="349"/>
      <c r="H37" s="349"/>
      <c r="I37" s="349"/>
      <c r="J37" s="349"/>
      <c r="K37" s="349"/>
      <c r="L37" s="349"/>
      <c r="M37" s="349"/>
      <c r="N37" s="349"/>
      <c r="O37" s="7"/>
      <c r="P37" s="7"/>
    </row>
    <row r="38" spans="1:16">
      <c r="A38" s="7"/>
      <c r="B38" s="350" t="s">
        <v>1192</v>
      </c>
      <c r="C38" s="348"/>
      <c r="D38" s="348"/>
      <c r="E38" s="348"/>
      <c r="F38" s="348"/>
      <c r="G38" s="349"/>
      <c r="H38" s="349"/>
      <c r="I38" s="349"/>
      <c r="J38" s="349"/>
      <c r="K38" s="349"/>
      <c r="L38" s="349"/>
      <c r="M38" s="349"/>
      <c r="N38" s="349"/>
      <c r="O38" s="7"/>
      <c r="P38" s="7"/>
    </row>
    <row r="39" spans="1:16">
      <c r="A39" s="7"/>
      <c r="B39" s="7"/>
      <c r="C39" s="7"/>
      <c r="D39" s="7"/>
      <c r="E39" s="7"/>
      <c r="F39" s="7"/>
      <c r="G39" s="7"/>
      <c r="H39" s="7"/>
      <c r="I39" s="7">
        <f>SUM(I29:I38)</f>
        <v>0</v>
      </c>
      <c r="J39" s="7">
        <f t="shared" ref="J39:N39" si="1">SUM(J29:J38)</f>
        <v>0</v>
      </c>
      <c r="K39" s="7">
        <f t="shared" si="1"/>
        <v>0</v>
      </c>
      <c r="L39" s="7">
        <f t="shared" si="1"/>
        <v>0</v>
      </c>
      <c r="M39" s="7">
        <f t="shared" si="1"/>
        <v>0</v>
      </c>
      <c r="N39" s="7">
        <f t="shared" si="1"/>
        <v>0</v>
      </c>
      <c r="O39" s="7"/>
      <c r="P39" s="7"/>
    </row>
    <row r="40" spans="1:16">
      <c r="A40" s="7"/>
      <c r="B40" s="7"/>
      <c r="C40" s="7"/>
      <c r="D40" s="7"/>
      <c r="E40" s="7"/>
      <c r="F40" s="7"/>
      <c r="G40" s="7"/>
      <c r="H40" s="7"/>
      <c r="I40" s="7"/>
      <c r="J40" s="7"/>
      <c r="K40" s="7"/>
      <c r="L40" s="7"/>
      <c r="M40" s="7"/>
      <c r="N40" s="7"/>
      <c r="O40" s="7"/>
      <c r="P40" s="7"/>
    </row>
    <row r="41" spans="1:16">
      <c r="A41" s="7"/>
      <c r="B41" s="7" t="s">
        <v>1193</v>
      </c>
      <c r="C41" s="7"/>
      <c r="D41" s="7"/>
      <c r="E41" s="7"/>
      <c r="F41" s="7"/>
      <c r="G41" s="7"/>
      <c r="H41" s="7"/>
      <c r="I41" s="7"/>
      <c r="J41" s="7"/>
      <c r="K41" s="7"/>
      <c r="L41" s="7"/>
      <c r="M41" s="7"/>
      <c r="N41" s="7"/>
      <c r="O41" s="7"/>
      <c r="P41" s="7"/>
    </row>
    <row r="42" spans="1:16">
      <c r="A42" s="7"/>
      <c r="B42" s="7" t="s">
        <v>1194</v>
      </c>
      <c r="C42" s="7"/>
      <c r="D42" s="7"/>
      <c r="E42" s="7"/>
      <c r="F42" s="7"/>
      <c r="G42" s="7"/>
      <c r="H42" s="7"/>
      <c r="I42" s="7"/>
      <c r="J42" s="7"/>
      <c r="K42" s="7"/>
      <c r="L42" s="7"/>
      <c r="M42" s="7"/>
      <c r="N42" s="7"/>
      <c r="O42" s="7"/>
      <c r="P42" s="7"/>
    </row>
    <row r="43" spans="1:16">
      <c r="A43" s="7"/>
      <c r="B43" s="7" t="s">
        <v>1195</v>
      </c>
      <c r="C43" s="7"/>
      <c r="D43" s="7"/>
      <c r="E43" s="7"/>
      <c r="F43" s="7"/>
      <c r="G43" s="7"/>
      <c r="H43" s="7"/>
      <c r="I43" s="7"/>
      <c r="J43" s="7"/>
      <c r="K43" s="7"/>
      <c r="L43" s="7"/>
      <c r="M43" s="7"/>
      <c r="N43" s="7"/>
      <c r="O43" s="7"/>
      <c r="P43" s="7"/>
    </row>
    <row r="44" spans="1:16">
      <c r="A44" s="7"/>
      <c r="B44" s="7"/>
      <c r="C44" s="7"/>
      <c r="D44" s="7"/>
      <c r="E44" s="7"/>
      <c r="F44" s="7"/>
      <c r="G44" s="7"/>
      <c r="H44" s="7"/>
      <c r="I44" s="7"/>
      <c r="J44" s="7"/>
      <c r="K44" s="7"/>
      <c r="L44" s="7"/>
      <c r="M44" s="7"/>
      <c r="N44" s="7"/>
      <c r="O44" s="7"/>
      <c r="P44" s="7"/>
    </row>
    <row r="45" spans="1:16">
      <c r="A45" s="7"/>
      <c r="B45" s="7"/>
      <c r="C45" s="7"/>
      <c r="D45" s="7"/>
      <c r="E45" s="7"/>
      <c r="F45" s="7"/>
      <c r="G45" s="7"/>
      <c r="H45" s="7"/>
      <c r="I45" s="7"/>
      <c r="J45" s="7"/>
      <c r="K45" s="7"/>
      <c r="L45" s="7"/>
      <c r="M45" s="7"/>
      <c r="N45" s="7"/>
      <c r="O45" s="7"/>
      <c r="P45" s="7"/>
    </row>
    <row r="46" spans="1:16">
      <c r="A46" s="7"/>
      <c r="B46" s="7"/>
      <c r="C46" s="7"/>
      <c r="D46" s="7"/>
      <c r="E46" s="7"/>
      <c r="F46" s="7"/>
      <c r="G46" s="7"/>
      <c r="H46" s="7"/>
      <c r="I46" s="7"/>
      <c r="J46" s="7"/>
      <c r="K46" s="7"/>
      <c r="L46" s="7"/>
      <c r="M46" s="7"/>
      <c r="N46" s="7"/>
      <c r="O46" s="7"/>
      <c r="P46" s="7"/>
    </row>
    <row r="47" spans="1:16">
      <c r="A47" s="7"/>
      <c r="B47" s="7"/>
      <c r="C47" s="7"/>
      <c r="D47" s="7"/>
      <c r="E47" s="7"/>
      <c r="F47" s="7"/>
      <c r="G47" s="7"/>
      <c r="H47" s="7"/>
      <c r="I47" s="7"/>
      <c r="J47" s="7"/>
      <c r="K47" s="7"/>
      <c r="L47" s="7"/>
      <c r="M47" s="7"/>
      <c r="N47" s="7"/>
      <c r="O47" s="7"/>
      <c r="P47" s="7"/>
    </row>
    <row r="48" spans="1:16">
      <c r="A48" s="7"/>
      <c r="B48" s="7"/>
      <c r="C48" s="7"/>
      <c r="D48" s="7"/>
      <c r="E48" s="7"/>
      <c r="F48" s="7"/>
      <c r="G48" s="7"/>
      <c r="H48" s="7"/>
      <c r="I48" s="7"/>
      <c r="J48" s="7"/>
      <c r="K48" s="7"/>
      <c r="L48" s="7"/>
      <c r="M48" s="7"/>
      <c r="N48" s="7"/>
      <c r="O48" s="7"/>
      <c r="P48" s="7"/>
    </row>
    <row r="49" spans="1:16">
      <c r="A49" s="7"/>
      <c r="B49" s="7"/>
      <c r="C49" s="7"/>
      <c r="D49" s="7"/>
      <c r="E49" s="7"/>
      <c r="F49" s="7"/>
      <c r="G49" s="7"/>
      <c r="H49" s="7"/>
      <c r="I49" s="7"/>
      <c r="J49" s="7"/>
      <c r="K49" s="7"/>
      <c r="L49" s="7"/>
      <c r="M49" s="7"/>
      <c r="N49" s="7"/>
      <c r="O49" s="7"/>
      <c r="P49" s="7"/>
    </row>
    <row r="50" spans="1:16">
      <c r="A50" s="7"/>
      <c r="B50" s="7"/>
      <c r="C50" s="7"/>
      <c r="D50" s="7"/>
      <c r="E50" s="7"/>
      <c r="F50" s="7"/>
      <c r="G50" s="7"/>
      <c r="H50" s="7"/>
      <c r="I50" s="7"/>
      <c r="J50" s="7"/>
      <c r="K50" s="7"/>
      <c r="L50" s="7"/>
      <c r="M50" s="7"/>
      <c r="N50" s="7"/>
      <c r="O50" s="7"/>
      <c r="P50" s="7"/>
    </row>
    <row r="51" spans="1:16">
      <c r="A51" s="7"/>
      <c r="B51" s="7"/>
      <c r="C51" s="7"/>
      <c r="D51" s="7"/>
      <c r="E51" s="7"/>
      <c r="F51" s="7"/>
      <c r="G51" s="7"/>
      <c r="H51" s="7"/>
      <c r="I51" s="7"/>
      <c r="J51" s="7"/>
      <c r="K51" s="7"/>
      <c r="L51" s="7"/>
      <c r="M51" s="7"/>
      <c r="N51" s="7"/>
      <c r="O51" s="7"/>
      <c r="P51" s="7"/>
    </row>
    <row r="52" spans="1:16">
      <c r="A52" s="7"/>
      <c r="B52" s="7"/>
      <c r="C52" s="7"/>
      <c r="D52" s="7"/>
      <c r="E52" s="7"/>
      <c r="F52" s="7"/>
      <c r="G52" s="7"/>
      <c r="H52" s="7"/>
      <c r="I52" s="7"/>
      <c r="J52" s="7"/>
      <c r="K52" s="7"/>
      <c r="L52" s="7"/>
      <c r="M52" s="7"/>
      <c r="N52" s="7"/>
      <c r="O52" s="7"/>
      <c r="P52" s="7"/>
    </row>
    <row r="53" spans="1:16">
      <c r="A53" s="7"/>
      <c r="B53" s="7"/>
      <c r="C53" s="7"/>
      <c r="D53" s="7"/>
      <c r="E53" s="7"/>
      <c r="F53" s="7"/>
      <c r="G53" s="7"/>
      <c r="H53" s="7"/>
      <c r="I53" s="7"/>
      <c r="J53" s="7"/>
      <c r="K53" s="7"/>
      <c r="L53" s="7"/>
      <c r="M53" s="7"/>
      <c r="N53" s="7"/>
      <c r="O53" s="7"/>
      <c r="P53" s="7"/>
    </row>
    <row r="54" spans="1:16">
      <c r="A54" s="7"/>
      <c r="B54" s="7"/>
      <c r="C54" s="7"/>
      <c r="D54" s="7"/>
      <c r="E54" s="7"/>
      <c r="F54" s="7"/>
      <c r="G54" s="7"/>
      <c r="H54" s="7"/>
      <c r="I54" s="7"/>
      <c r="J54" s="7"/>
      <c r="K54" s="7"/>
      <c r="L54" s="7"/>
      <c r="M54" s="7"/>
      <c r="N54" s="7"/>
      <c r="O54" s="7"/>
      <c r="P54" s="7"/>
    </row>
    <row r="55" spans="1:16">
      <c r="A55" s="7"/>
      <c r="B55" s="7"/>
      <c r="C55" s="7"/>
      <c r="D55" s="7"/>
      <c r="E55" s="7"/>
      <c r="F55" s="7"/>
      <c r="G55" s="7"/>
      <c r="H55" s="7"/>
      <c r="I55" s="7"/>
      <c r="J55" s="7"/>
      <c r="K55" s="7"/>
      <c r="L55" s="7"/>
      <c r="M55" s="7"/>
      <c r="N55" s="7"/>
      <c r="O55" s="7"/>
      <c r="P55" s="7"/>
    </row>
    <row r="56" spans="1:16">
      <c r="A56" s="7"/>
      <c r="B56" s="7"/>
      <c r="C56" s="7"/>
      <c r="D56" s="7"/>
      <c r="E56" s="7"/>
      <c r="F56" s="7"/>
      <c r="G56" s="7"/>
      <c r="H56" s="7"/>
      <c r="I56" s="7"/>
      <c r="J56" s="7"/>
      <c r="K56" s="7"/>
      <c r="L56" s="7"/>
      <c r="M56" s="7"/>
      <c r="N56" s="7"/>
      <c r="O56" s="7"/>
      <c r="P56" s="7"/>
    </row>
    <row r="57" spans="1:16">
      <c r="A57" s="7"/>
      <c r="B57" s="7"/>
      <c r="C57" s="7"/>
      <c r="D57" s="7"/>
      <c r="E57" s="7"/>
      <c r="F57" s="7"/>
      <c r="G57" s="7"/>
      <c r="H57" s="7"/>
      <c r="I57" s="7"/>
      <c r="J57" s="7"/>
      <c r="K57" s="7"/>
      <c r="L57" s="7"/>
      <c r="M57" s="7"/>
      <c r="N57" s="7"/>
      <c r="O57" s="7"/>
      <c r="P57" s="7"/>
    </row>
    <row r="58" spans="1:16">
      <c r="A58" s="7"/>
      <c r="B58" s="7"/>
      <c r="C58" s="7"/>
      <c r="D58" s="7"/>
      <c r="E58" s="7"/>
      <c r="F58" s="7"/>
      <c r="G58" s="7"/>
      <c r="H58" s="7"/>
      <c r="I58" s="7"/>
      <c r="J58" s="7"/>
      <c r="K58" s="7"/>
      <c r="L58" s="7"/>
      <c r="M58" s="7"/>
      <c r="N58" s="7"/>
      <c r="O58" s="7"/>
      <c r="P58" s="7"/>
    </row>
    <row r="59" spans="1:16">
      <c r="A59" s="7"/>
      <c r="B59" s="7"/>
      <c r="C59" s="7"/>
      <c r="D59" s="7"/>
      <c r="E59" s="7"/>
      <c r="F59" s="7"/>
      <c r="G59" s="7"/>
      <c r="H59" s="7"/>
      <c r="I59" s="7"/>
      <c r="J59" s="7"/>
      <c r="K59" s="7"/>
      <c r="L59" s="7"/>
      <c r="M59" s="7"/>
      <c r="N59" s="7"/>
      <c r="O59" s="7"/>
      <c r="P59" s="7"/>
    </row>
    <row r="60" spans="1:16">
      <c r="A60" s="7"/>
      <c r="B60" s="7"/>
      <c r="C60" s="7"/>
      <c r="D60" s="7"/>
      <c r="E60" s="7"/>
      <c r="F60" s="7"/>
      <c r="G60" s="7"/>
      <c r="H60" s="7"/>
      <c r="I60" s="7"/>
      <c r="J60" s="7"/>
      <c r="K60" s="7"/>
      <c r="L60" s="7"/>
      <c r="M60" s="7"/>
      <c r="N60" s="7"/>
      <c r="O60" s="7"/>
      <c r="P60" s="7"/>
    </row>
    <row r="61" spans="1:16">
      <c r="A61" s="7"/>
      <c r="B61" s="7"/>
      <c r="C61" s="7"/>
      <c r="D61" s="7"/>
      <c r="E61" s="7"/>
      <c r="F61" s="7"/>
      <c r="G61" s="7"/>
      <c r="H61" s="7"/>
      <c r="I61" s="7"/>
      <c r="J61" s="7"/>
      <c r="K61" s="7"/>
      <c r="L61" s="7"/>
      <c r="M61" s="7"/>
      <c r="N61" s="7"/>
      <c r="O61" s="7"/>
      <c r="P61" s="7"/>
    </row>
    <row r="62" spans="1:16">
      <c r="A62" s="7"/>
      <c r="B62" s="7"/>
      <c r="C62" s="7"/>
      <c r="D62" s="7"/>
      <c r="E62" s="7"/>
      <c r="F62" s="7"/>
      <c r="G62" s="7"/>
      <c r="H62" s="7"/>
      <c r="I62" s="7"/>
      <c r="J62" s="7"/>
      <c r="K62" s="7"/>
      <c r="L62" s="7"/>
      <c r="M62" s="7"/>
      <c r="N62" s="7"/>
      <c r="O62" s="7"/>
      <c r="P62" s="7"/>
    </row>
    <row r="63" spans="1:16">
      <c r="A63" s="7"/>
      <c r="B63" s="7"/>
      <c r="C63" s="7"/>
      <c r="D63" s="7"/>
      <c r="E63" s="7"/>
      <c r="F63" s="7"/>
      <c r="G63" s="7"/>
      <c r="H63" s="7"/>
      <c r="I63" s="7"/>
      <c r="J63" s="7"/>
      <c r="K63" s="7"/>
      <c r="L63" s="7"/>
      <c r="M63" s="7"/>
      <c r="N63" s="7"/>
      <c r="O63" s="7"/>
      <c r="P63" s="7"/>
    </row>
    <row r="64" spans="1:16">
      <c r="A64" s="7"/>
      <c r="B64" s="7"/>
      <c r="C64" s="7"/>
      <c r="D64" s="7"/>
      <c r="E64" s="7"/>
      <c r="F64" s="7"/>
      <c r="G64" s="7"/>
      <c r="H64" s="7"/>
      <c r="I64" s="7"/>
      <c r="J64" s="7"/>
      <c r="K64" s="7"/>
      <c r="L64" s="7"/>
      <c r="M64" s="7"/>
      <c r="N64" s="7"/>
      <c r="O64" s="7"/>
      <c r="P64" s="7"/>
    </row>
    <row r="65" spans="1:16">
      <c r="A65" s="7"/>
      <c r="B65" s="7"/>
      <c r="C65" s="7"/>
      <c r="D65" s="7"/>
      <c r="E65" s="7"/>
      <c r="F65" s="7"/>
      <c r="G65" s="7"/>
      <c r="H65" s="7"/>
      <c r="I65" s="7"/>
      <c r="J65" s="7"/>
      <c r="K65" s="7"/>
      <c r="L65" s="7"/>
      <c r="M65" s="7"/>
      <c r="N65" s="7"/>
      <c r="O65" s="7"/>
      <c r="P65" s="7"/>
    </row>
    <row r="66" spans="1:16">
      <c r="A66" s="7"/>
      <c r="B66" s="7"/>
      <c r="C66" s="7"/>
      <c r="D66" s="7"/>
      <c r="E66" s="7"/>
      <c r="F66" s="7"/>
      <c r="G66" s="7"/>
      <c r="H66" s="7"/>
      <c r="I66" s="7"/>
      <c r="J66" s="7"/>
      <c r="K66" s="7"/>
      <c r="L66" s="7"/>
      <c r="M66" s="7"/>
      <c r="N66" s="7"/>
      <c r="O66" s="7"/>
      <c r="P66" s="7"/>
    </row>
    <row r="67" spans="1:16">
      <c r="A67" s="7"/>
      <c r="B67" s="7"/>
      <c r="C67" s="7"/>
      <c r="D67" s="7"/>
      <c r="E67" s="7"/>
      <c r="F67" s="7"/>
      <c r="G67" s="7"/>
      <c r="H67" s="7"/>
      <c r="I67" s="7"/>
      <c r="J67" s="7"/>
      <c r="K67" s="7"/>
      <c r="L67" s="7"/>
      <c r="M67" s="7"/>
      <c r="N67" s="7"/>
      <c r="O67" s="7"/>
      <c r="P67" s="7"/>
    </row>
    <row r="68" spans="1:16">
      <c r="A68" s="7"/>
      <c r="B68" s="7"/>
      <c r="C68" s="7"/>
      <c r="D68" s="7"/>
      <c r="E68" s="7"/>
      <c r="F68" s="7"/>
      <c r="G68" s="7"/>
      <c r="H68" s="7"/>
      <c r="I68" s="7"/>
      <c r="J68" s="7"/>
      <c r="K68" s="7"/>
      <c r="L68" s="7"/>
      <c r="M68" s="7"/>
      <c r="N68" s="7"/>
      <c r="O68" s="7"/>
      <c r="P68" s="7"/>
    </row>
    <row r="69" spans="1:16">
      <c r="A69" s="7"/>
      <c r="B69" s="7"/>
      <c r="C69" s="7"/>
      <c r="D69" s="7"/>
      <c r="E69" s="7"/>
      <c r="F69" s="7"/>
      <c r="G69" s="7"/>
      <c r="H69" s="7"/>
      <c r="I69" s="7"/>
      <c r="J69" s="7"/>
      <c r="K69" s="7"/>
      <c r="L69" s="7"/>
      <c r="M69" s="7"/>
      <c r="N69" s="7"/>
      <c r="O69" s="7"/>
      <c r="P69" s="7"/>
    </row>
    <row r="70" spans="1:16">
      <c r="A70" s="7"/>
      <c r="B70" s="7"/>
      <c r="C70" s="7"/>
      <c r="D70" s="7"/>
      <c r="E70" s="7"/>
      <c r="F70" s="7"/>
      <c r="G70" s="7"/>
      <c r="H70" s="7"/>
      <c r="I70" s="7"/>
      <c r="J70" s="7"/>
      <c r="K70" s="7"/>
      <c r="L70" s="7"/>
      <c r="M70" s="7"/>
      <c r="N70" s="7"/>
      <c r="O70" s="7"/>
      <c r="P70" s="7"/>
    </row>
    <row r="71" spans="1:16">
      <c r="A71" s="7"/>
      <c r="B71" s="7"/>
      <c r="C71" s="7"/>
      <c r="D71" s="7"/>
      <c r="E71" s="7"/>
      <c r="F71" s="7"/>
      <c r="G71" s="7"/>
      <c r="H71" s="7"/>
      <c r="I71" s="7"/>
      <c r="J71" s="7"/>
      <c r="K71" s="7"/>
      <c r="L71" s="7"/>
      <c r="M71" s="7"/>
      <c r="N71" s="7"/>
      <c r="O71" s="7"/>
      <c r="P71" s="7"/>
    </row>
    <row r="72" spans="1:16">
      <c r="A72" s="7"/>
      <c r="B72" s="7"/>
      <c r="C72" s="7"/>
      <c r="D72" s="7"/>
      <c r="E72" s="7"/>
      <c r="F72" s="7"/>
      <c r="G72" s="7"/>
      <c r="H72" s="7"/>
      <c r="I72" s="7"/>
      <c r="J72" s="7"/>
      <c r="K72" s="7"/>
      <c r="L72" s="7"/>
      <c r="M72" s="7"/>
      <c r="N72" s="7"/>
      <c r="O72" s="7"/>
      <c r="P72" s="7"/>
    </row>
    <row r="73" spans="1:16">
      <c r="A73" s="7"/>
      <c r="B73" s="7"/>
      <c r="C73" s="7"/>
      <c r="D73" s="7"/>
      <c r="E73" s="7"/>
      <c r="F73" s="7"/>
      <c r="G73" s="7"/>
      <c r="H73" s="7"/>
      <c r="I73" s="7"/>
      <c r="J73" s="7"/>
      <c r="K73" s="7"/>
      <c r="L73" s="7"/>
      <c r="M73" s="7"/>
      <c r="N73" s="7"/>
      <c r="O73" s="7"/>
      <c r="P73" s="7"/>
    </row>
    <row r="74" spans="1:16">
      <c r="A74" s="7"/>
      <c r="B74" s="7"/>
      <c r="C74" s="7"/>
      <c r="D74" s="7"/>
      <c r="E74" s="7"/>
      <c r="F74" s="7"/>
      <c r="G74" s="7"/>
      <c r="H74" s="7"/>
      <c r="I74" s="7"/>
      <c r="J74" s="7"/>
      <c r="K74" s="7"/>
      <c r="L74" s="7"/>
      <c r="M74" s="7"/>
      <c r="N74" s="7"/>
      <c r="O74" s="7"/>
      <c r="P74" s="7"/>
    </row>
    <row r="75" spans="1:16">
      <c r="A75" s="7"/>
      <c r="B75" s="7"/>
      <c r="C75" s="7"/>
      <c r="D75" s="7"/>
      <c r="E75" s="7"/>
      <c r="F75" s="7"/>
      <c r="G75" s="7"/>
      <c r="H75" s="7"/>
      <c r="I75" s="7"/>
      <c r="J75" s="7"/>
      <c r="K75" s="7"/>
      <c r="L75" s="7"/>
      <c r="M75" s="7"/>
      <c r="N75" s="7"/>
      <c r="O75" s="7"/>
      <c r="P75" s="7"/>
    </row>
    <row r="76" spans="1:16">
      <c r="A76" s="7"/>
      <c r="B76" s="7"/>
      <c r="C76" s="7"/>
      <c r="D76" s="7"/>
      <c r="E76" s="7"/>
      <c r="F76" s="7"/>
      <c r="G76" s="7"/>
      <c r="H76" s="7"/>
      <c r="I76" s="7"/>
      <c r="J76" s="7"/>
      <c r="K76" s="7"/>
      <c r="L76" s="7"/>
      <c r="M76" s="7"/>
      <c r="N76" s="7"/>
      <c r="O76" s="7"/>
      <c r="P76" s="7"/>
    </row>
    <row r="77" spans="1:16">
      <c r="A77" s="7"/>
      <c r="B77" s="7"/>
      <c r="C77" s="7"/>
      <c r="D77" s="7"/>
      <c r="E77" s="7"/>
      <c r="F77" s="7"/>
      <c r="G77" s="7"/>
      <c r="H77" s="7"/>
      <c r="I77" s="7"/>
      <c r="J77" s="7"/>
      <c r="K77" s="7"/>
      <c r="L77" s="7"/>
      <c r="M77" s="7"/>
      <c r="N77" s="7"/>
      <c r="O77" s="7"/>
      <c r="P77" s="7"/>
    </row>
    <row r="78" spans="1:16">
      <c r="A78" s="7"/>
      <c r="B78" s="7"/>
      <c r="C78" s="7"/>
      <c r="D78" s="7"/>
      <c r="E78" s="7"/>
      <c r="F78" s="7"/>
      <c r="G78" s="7"/>
      <c r="H78" s="7"/>
      <c r="I78" s="7"/>
      <c r="J78" s="7"/>
      <c r="K78" s="7"/>
      <c r="L78" s="7"/>
      <c r="M78" s="7"/>
      <c r="N78" s="7"/>
      <c r="O78" s="7"/>
      <c r="P78" s="7"/>
    </row>
    <row r="79" spans="1:16">
      <c r="A79" s="7"/>
      <c r="B79" s="7"/>
      <c r="C79" s="7"/>
      <c r="D79" s="7"/>
      <c r="E79" s="7"/>
      <c r="F79" s="7"/>
      <c r="G79" s="7"/>
      <c r="H79" s="7"/>
      <c r="I79" s="7"/>
      <c r="J79" s="7"/>
      <c r="K79" s="7"/>
      <c r="L79" s="7"/>
      <c r="M79" s="7"/>
      <c r="N79" s="7"/>
      <c r="O79" s="7"/>
      <c r="P79" s="7"/>
    </row>
    <row r="80" spans="1:16">
      <c r="A80" s="7"/>
      <c r="B80" s="7"/>
      <c r="C80" s="7"/>
      <c r="D80" s="7"/>
      <c r="E80" s="7"/>
      <c r="F80" s="7"/>
      <c r="G80" s="7"/>
      <c r="H80" s="7"/>
      <c r="I80" s="7"/>
      <c r="J80" s="7"/>
      <c r="K80" s="7"/>
      <c r="L80" s="7"/>
      <c r="M80" s="7"/>
      <c r="N80" s="7"/>
      <c r="O80" s="7"/>
      <c r="P80" s="7"/>
    </row>
  </sheetData>
  <sheetProtection algorithmName="SHA-512" hashValue="8XvyUJnM3ieyeVroElcr6GEGBs7azE+hmgnaocjp9FeGHpNImXdkLwj8rfCPwFUbcWbV+2g0r/OjPYhbYdjUmQ==" saltValue="9mce5fHtGUNs9Fwmxh9wPg==" spinCount="100000" sheet="1" objects="1" scenarios="1"/>
  <mergeCells count="1">
    <mergeCell ref="G10:H10"/>
  </mergeCells>
  <conditionalFormatting sqref="M1">
    <cfRule type="expression" dxfId="552" priority="1" stopIfTrue="1">
      <formula>MOD(ROW(),2)=0</formula>
    </cfRule>
  </conditionalFormatting>
  <hyperlinks>
    <hyperlink ref="M1" location="HypLink1" display="HypLink1" xr:uid="{85CCFE78-A35E-43C6-A759-2216D742A8F0}"/>
  </hyperlinks>
  <pageMargins left="0.35" right="0.25" top="0.32" bottom="0.5" header="0.32" footer="0.3"/>
  <pageSetup orientation="portrait" r:id="rId1"/>
  <headerFooter alignWithMargins="0">
    <oddFooter>&amp;L&amp;7&amp;D  at &amp;T Mike 702.486.8879&amp;C&amp;7Page &amp;P of &amp;N&amp;R&amp;7&amp;F  &amp;A</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F183-256C-4722-AF04-6B2DFBB26ACD}">
  <sheetPr codeName="Sheet22"/>
  <dimension ref="A1:P81"/>
  <sheetViews>
    <sheetView showGridLines="0" view="pageBreakPreview" zoomScale="85" zoomScaleNormal="115" zoomScaleSheetLayoutView="85" workbookViewId="0">
      <selection activeCell="F18" sqref="F18"/>
    </sheetView>
  </sheetViews>
  <sheetFormatPr defaultColWidth="8.88671875" defaultRowHeight="13.2"/>
  <cols>
    <col min="1" max="1" width="1.109375" style="6" customWidth="1"/>
    <col min="2" max="2" width="2.6640625" style="6" customWidth="1"/>
    <col min="3" max="5" width="8.88671875" style="6"/>
    <col min="6" max="6" width="9" style="6" bestFit="1" customWidth="1"/>
    <col min="7" max="7" width="9.88671875" style="6" bestFit="1" customWidth="1"/>
    <col min="8" max="8" width="9" style="6" bestFit="1" customWidth="1"/>
    <col min="9" max="11" width="9.88671875" style="6" bestFit="1" customWidth="1"/>
    <col min="12" max="13" width="1.6640625" style="6" customWidth="1"/>
    <col min="14" max="14" width="18.6640625" style="6" customWidth="1"/>
    <col min="15" max="15" width="22.33203125" style="6" customWidth="1"/>
    <col min="16" max="16" width="16.33203125" style="6" customWidth="1"/>
    <col min="17" max="16384" width="8.88671875" style="6"/>
  </cols>
  <sheetData>
    <row r="1" spans="1:14" ht="15.6">
      <c r="A1" s="318"/>
      <c r="B1" s="318"/>
      <c r="C1" s="318"/>
    </row>
    <row r="2" spans="1:14" ht="15.6">
      <c r="A2" s="26"/>
      <c r="B2" s="29"/>
      <c r="C2" s="29"/>
    </row>
    <row r="3" spans="1:14">
      <c r="A3" s="10" t="s">
        <v>815</v>
      </c>
    </row>
    <row r="4" spans="1:14">
      <c r="A4" s="9" t="s">
        <v>72</v>
      </c>
    </row>
    <row r="5" spans="1:14">
      <c r="A5" s="8" t="str">
        <f ca="1">CELL("filename")</f>
        <v>C:\Users\Nicho\Desktop\[Attachment 2.  Eagle NV RFA 12.16.22.xlsx]CF Y1 Mo</v>
      </c>
    </row>
    <row r="6" spans="1:14">
      <c r="A6" s="7"/>
      <c r="L6" s="7"/>
      <c r="M6" s="7"/>
      <c r="N6" s="7"/>
    </row>
    <row r="7" spans="1:14">
      <c r="A7" s="7"/>
      <c r="L7" s="7"/>
      <c r="M7" s="7"/>
      <c r="N7" s="7"/>
    </row>
    <row r="8" spans="1:14">
      <c r="A8" s="7"/>
      <c r="B8" s="24" t="s">
        <v>1311</v>
      </c>
      <c r="L8" s="7"/>
      <c r="M8" s="7"/>
      <c r="N8" s="7"/>
    </row>
    <row r="9" spans="1:14">
      <c r="A9" s="7"/>
      <c r="L9" s="7"/>
      <c r="M9" s="7"/>
      <c r="N9" s="7"/>
    </row>
    <row r="10" spans="1:14" ht="13.8">
      <c r="A10" s="7"/>
      <c r="F10" s="1520">
        <v>1</v>
      </c>
      <c r="G10" s="760">
        <v>2</v>
      </c>
      <c r="H10" s="760">
        <v>3</v>
      </c>
      <c r="I10" s="760">
        <v>4</v>
      </c>
      <c r="J10" s="760">
        <v>5</v>
      </c>
      <c r="K10" s="1333">
        <v>6</v>
      </c>
      <c r="L10" s="7"/>
      <c r="M10" s="7"/>
    </row>
    <row r="11" spans="1:14" ht="13.8">
      <c r="A11" s="7"/>
      <c r="B11" s="7"/>
      <c r="C11" s="7"/>
      <c r="D11" s="7"/>
      <c r="E11" s="7"/>
      <c r="F11" s="761">
        <v>2022</v>
      </c>
      <c r="G11" s="762">
        <v>2023</v>
      </c>
      <c r="H11" s="762">
        <v>2024</v>
      </c>
      <c r="I11" s="762">
        <v>2025</v>
      </c>
      <c r="J11" s="762">
        <v>2026</v>
      </c>
      <c r="K11" s="763">
        <v>2027</v>
      </c>
      <c r="L11" s="7"/>
      <c r="M11" s="7"/>
    </row>
    <row r="12" spans="1:14" ht="13.8">
      <c r="A12" s="7"/>
      <c r="B12" s="1517" t="s">
        <v>1309</v>
      </c>
      <c r="C12" s="7"/>
      <c r="D12" s="7"/>
      <c r="E12" s="7"/>
      <c r="F12" s="764">
        <v>2023</v>
      </c>
      <c r="G12" s="765">
        <v>2024</v>
      </c>
      <c r="H12" s="765">
        <v>2025</v>
      </c>
      <c r="I12" s="765">
        <v>2026</v>
      </c>
      <c r="J12" s="765">
        <v>2027</v>
      </c>
      <c r="K12" s="766">
        <v>2028</v>
      </c>
      <c r="L12" s="7"/>
      <c r="M12" s="7"/>
    </row>
    <row r="13" spans="1:14">
      <c r="A13" s="7"/>
      <c r="B13" s="6" t="s">
        <v>1313</v>
      </c>
      <c r="C13" s="7"/>
      <c r="D13" s="7"/>
      <c r="E13" s="7"/>
      <c r="F13" s="7">
        <v>10</v>
      </c>
      <c r="G13" s="7">
        <v>16</v>
      </c>
      <c r="H13" s="7">
        <v>20</v>
      </c>
      <c r="I13" s="7">
        <v>21</v>
      </c>
      <c r="J13" s="7">
        <v>21</v>
      </c>
      <c r="K13" s="7">
        <v>21</v>
      </c>
      <c r="L13" s="7"/>
      <c r="M13" s="7"/>
    </row>
    <row r="14" spans="1:14">
      <c r="A14" s="7"/>
      <c r="B14" s="6" t="s">
        <v>1312</v>
      </c>
      <c r="C14" s="7"/>
      <c r="D14" s="7"/>
      <c r="E14" s="7"/>
      <c r="F14" s="7">
        <v>10</v>
      </c>
      <c r="G14" s="7">
        <v>13</v>
      </c>
      <c r="H14" s="7">
        <v>18</v>
      </c>
      <c r="I14" s="7">
        <v>18</v>
      </c>
      <c r="J14" s="7">
        <f>+I14</f>
        <v>18</v>
      </c>
      <c r="K14" s="7">
        <f>+J14</f>
        <v>18</v>
      </c>
      <c r="L14" s="7"/>
      <c r="M14" s="7"/>
    </row>
    <row r="15" spans="1:14">
      <c r="A15" s="7"/>
      <c r="B15" s="7"/>
      <c r="C15" s="7" t="s">
        <v>1308</v>
      </c>
      <c r="D15" s="7"/>
      <c r="E15" s="1519">
        <v>40000</v>
      </c>
      <c r="F15" s="7">
        <f>+F13-F14</f>
        <v>0</v>
      </c>
      <c r="G15" s="7">
        <f t="shared" ref="G15:K15" si="0">+G13-G14</f>
        <v>3</v>
      </c>
      <c r="H15" s="7">
        <f t="shared" si="0"/>
        <v>2</v>
      </c>
      <c r="I15" s="7">
        <f t="shared" si="0"/>
        <v>3</v>
      </c>
      <c r="J15" s="7">
        <f t="shared" si="0"/>
        <v>3</v>
      </c>
      <c r="K15" s="7">
        <f t="shared" si="0"/>
        <v>3</v>
      </c>
      <c r="L15" s="7"/>
      <c r="M15" s="7"/>
      <c r="N15" s="7"/>
    </row>
    <row r="16" spans="1:14">
      <c r="A16" s="7"/>
      <c r="B16" s="7"/>
      <c r="C16" s="1518" t="s">
        <v>1310</v>
      </c>
      <c r="D16" s="7"/>
      <c r="E16" s="7"/>
      <c r="F16" s="1516">
        <f t="shared" ref="F16:K16" si="1">+F15*$E$15</f>
        <v>0</v>
      </c>
      <c r="G16" s="1516">
        <f t="shared" si="1"/>
        <v>120000</v>
      </c>
      <c r="H16" s="1516">
        <f t="shared" si="1"/>
        <v>80000</v>
      </c>
      <c r="I16" s="1516">
        <f t="shared" si="1"/>
        <v>120000</v>
      </c>
      <c r="J16" s="1516">
        <f t="shared" si="1"/>
        <v>120000</v>
      </c>
      <c r="K16" s="1516">
        <f t="shared" si="1"/>
        <v>120000</v>
      </c>
      <c r="L16" s="7"/>
      <c r="M16" s="7"/>
      <c r="N16" s="7"/>
    </row>
    <row r="17" spans="1:16">
      <c r="A17" s="7"/>
      <c r="B17" s="7"/>
      <c r="C17" s="7"/>
      <c r="D17" s="7"/>
      <c r="E17" s="7"/>
      <c r="F17" s="7"/>
      <c r="G17" s="7"/>
      <c r="H17" s="7"/>
      <c r="I17" s="7"/>
      <c r="J17" s="7"/>
      <c r="K17" s="7"/>
      <c r="L17" s="7"/>
      <c r="M17" s="7"/>
    </row>
    <row r="18" spans="1:16" ht="30">
      <c r="A18" s="7"/>
      <c r="B18" s="7"/>
      <c r="C18" s="7"/>
      <c r="D18" s="7"/>
      <c r="E18" s="7"/>
      <c r="F18" s="7"/>
      <c r="G18" s="7"/>
      <c r="H18" s="7"/>
      <c r="I18" s="7"/>
      <c r="J18" s="7"/>
      <c r="K18" s="7"/>
      <c r="L18" s="7"/>
      <c r="M18" s="7"/>
      <c r="N18" s="1521" t="s">
        <v>1314</v>
      </c>
      <c r="O18" s="1521" t="s">
        <v>1315</v>
      </c>
      <c r="P18" s="1521" t="s">
        <v>1316</v>
      </c>
    </row>
    <row r="19" spans="1:16" ht="15">
      <c r="A19" s="7"/>
      <c r="B19" s="7"/>
      <c r="C19" s="7"/>
      <c r="D19" s="7"/>
      <c r="E19" s="7"/>
      <c r="F19" s="7"/>
      <c r="G19" s="7"/>
      <c r="H19" s="7"/>
      <c r="I19" s="7"/>
      <c r="J19" s="7"/>
      <c r="K19" s="7"/>
      <c r="L19" s="7"/>
      <c r="M19" s="7"/>
      <c r="N19" s="1521" t="s">
        <v>272</v>
      </c>
      <c r="O19" s="1521" t="s">
        <v>1317</v>
      </c>
      <c r="P19" s="1521" t="s">
        <v>1318</v>
      </c>
    </row>
    <row r="20" spans="1:16" ht="30">
      <c r="A20" s="7"/>
      <c r="B20" s="7"/>
      <c r="C20" s="7"/>
      <c r="D20" s="7"/>
      <c r="E20" s="7"/>
      <c r="F20" s="7"/>
      <c r="G20" s="7"/>
      <c r="H20" s="7"/>
      <c r="I20" s="7"/>
      <c r="J20" s="7"/>
      <c r="K20" s="7"/>
      <c r="L20" s="7"/>
      <c r="M20" s="7"/>
      <c r="N20" s="1521" t="s">
        <v>128</v>
      </c>
      <c r="O20" s="1521" t="s">
        <v>1319</v>
      </c>
      <c r="P20" s="1521" t="s">
        <v>1320</v>
      </c>
    </row>
    <row r="21" spans="1:16" ht="15">
      <c r="A21" s="7"/>
      <c r="B21" s="7"/>
      <c r="C21" s="7"/>
      <c r="D21" s="7"/>
      <c r="E21" s="7"/>
      <c r="F21" s="7"/>
      <c r="G21" s="7"/>
      <c r="H21" s="7"/>
      <c r="I21" s="7"/>
      <c r="J21" s="7"/>
      <c r="K21" s="7"/>
      <c r="L21" s="7"/>
      <c r="M21" s="7"/>
      <c r="N21" s="1521" t="s">
        <v>1321</v>
      </c>
      <c r="O21" s="1521" t="s">
        <v>1322</v>
      </c>
      <c r="P21" s="1521" t="s">
        <v>1320</v>
      </c>
    </row>
    <row r="22" spans="1:16" ht="30">
      <c r="A22" s="7"/>
      <c r="B22" s="7"/>
      <c r="C22" s="7"/>
      <c r="D22" s="7"/>
      <c r="H22" s="7"/>
      <c r="I22" s="7"/>
      <c r="J22" s="7"/>
      <c r="K22" s="7"/>
      <c r="L22" s="7"/>
      <c r="M22" s="7"/>
      <c r="N22" s="1521" t="s">
        <v>1323</v>
      </c>
      <c r="O22" s="1521" t="s">
        <v>1324</v>
      </c>
      <c r="P22" s="1521" t="s">
        <v>1325</v>
      </c>
    </row>
    <row r="23" spans="1:16">
      <c r="A23" s="7"/>
      <c r="B23" s="7"/>
      <c r="C23" s="7"/>
      <c r="D23" s="7"/>
      <c r="H23" s="7"/>
      <c r="I23" s="7"/>
      <c r="J23" s="7"/>
      <c r="K23" s="7"/>
      <c r="L23" s="7"/>
      <c r="M23" s="7"/>
      <c r="N23" s="7"/>
    </row>
    <row r="24" spans="1:16">
      <c r="A24" s="7"/>
      <c r="B24" s="7"/>
      <c r="C24" s="7"/>
      <c r="D24" s="7"/>
      <c r="H24" s="7"/>
      <c r="I24" s="7"/>
      <c r="J24" s="7"/>
      <c r="K24" s="7"/>
      <c r="L24" s="7"/>
      <c r="M24" s="7"/>
      <c r="N24" s="7"/>
    </row>
    <row r="25" spans="1:16">
      <c r="A25" s="7"/>
      <c r="B25" s="7"/>
      <c r="C25" s="7"/>
      <c r="D25" s="7"/>
      <c r="H25" s="7"/>
      <c r="I25" s="7"/>
      <c r="J25" s="7"/>
      <c r="K25" s="7"/>
      <c r="L25" s="7"/>
      <c r="M25" s="7"/>
      <c r="N25" s="7"/>
    </row>
    <row r="26" spans="1:16">
      <c r="A26" s="7"/>
      <c r="B26" s="7"/>
      <c r="C26" s="7"/>
      <c r="D26" s="7"/>
      <c r="H26" s="7"/>
      <c r="I26" s="7"/>
      <c r="J26" s="7"/>
      <c r="K26" s="7"/>
      <c r="L26" s="7"/>
      <c r="M26" s="7"/>
      <c r="N26" s="7"/>
    </row>
    <row r="27" spans="1:16">
      <c r="A27" s="7"/>
      <c r="B27" s="7"/>
      <c r="C27" s="7"/>
      <c r="D27" s="7"/>
      <c r="E27" s="7"/>
      <c r="F27" s="7"/>
      <c r="G27" s="7"/>
      <c r="H27" s="7"/>
      <c r="I27" s="7"/>
      <c r="J27" s="7"/>
      <c r="K27" s="7"/>
      <c r="L27" s="7"/>
      <c r="M27" s="7"/>
      <c r="N27" s="7"/>
    </row>
    <row r="28" spans="1:16">
      <c r="A28" s="7"/>
      <c r="B28" s="7"/>
      <c r="C28" s="7"/>
      <c r="D28" s="7"/>
      <c r="E28" s="7"/>
      <c r="F28" s="7"/>
      <c r="G28" s="7"/>
      <c r="H28" s="7"/>
      <c r="I28" s="7"/>
      <c r="J28" s="7"/>
      <c r="K28" s="7"/>
      <c r="L28" s="7"/>
      <c r="M28" s="7"/>
      <c r="N28" s="7"/>
    </row>
    <row r="29" spans="1:16">
      <c r="A29" s="7"/>
      <c r="B29" s="7"/>
      <c r="C29" s="7"/>
      <c r="D29" s="7"/>
      <c r="E29" s="7"/>
      <c r="F29" s="7"/>
      <c r="G29" s="7"/>
      <c r="H29" s="7"/>
      <c r="I29" s="7"/>
      <c r="J29" s="7"/>
      <c r="K29" s="7"/>
      <c r="L29" s="7"/>
      <c r="M29" s="7"/>
      <c r="N29" s="7"/>
    </row>
    <row r="30" spans="1:16">
      <c r="A30" s="7"/>
      <c r="B30" s="7"/>
      <c r="C30" s="7"/>
      <c r="D30" s="7"/>
      <c r="E30" s="7"/>
      <c r="F30" s="7"/>
      <c r="G30" s="7"/>
      <c r="H30" s="7"/>
      <c r="I30" s="7"/>
      <c r="J30" s="7"/>
      <c r="K30" s="7"/>
      <c r="L30" s="7"/>
      <c r="M30" s="7"/>
      <c r="N30" s="7"/>
    </row>
    <row r="31" spans="1:16">
      <c r="A31" s="7"/>
      <c r="B31" s="7"/>
      <c r="C31" s="7"/>
      <c r="D31" s="7"/>
      <c r="E31" s="7"/>
      <c r="F31" s="7"/>
      <c r="G31" s="7"/>
      <c r="H31" s="7"/>
      <c r="I31" s="7"/>
      <c r="J31" s="7"/>
      <c r="K31" s="7"/>
      <c r="L31" s="7"/>
      <c r="M31" s="7"/>
      <c r="N31" s="7"/>
    </row>
    <row r="32" spans="1:16">
      <c r="A32" s="7"/>
      <c r="B32" s="7"/>
      <c r="C32" s="7"/>
      <c r="D32" s="7"/>
      <c r="E32" s="7"/>
      <c r="F32" s="7"/>
      <c r="G32" s="7"/>
      <c r="H32" s="7"/>
      <c r="I32" s="7"/>
      <c r="J32" s="7"/>
      <c r="K32" s="7"/>
      <c r="L32" s="7"/>
      <c r="M32" s="7"/>
      <c r="N32" s="7"/>
    </row>
    <row r="33" spans="1:14">
      <c r="A33" s="7"/>
      <c r="B33" s="7"/>
      <c r="C33" s="7"/>
      <c r="D33" s="7"/>
      <c r="E33" s="7"/>
      <c r="F33" s="7"/>
      <c r="G33" s="7"/>
      <c r="H33" s="7"/>
      <c r="I33" s="7"/>
      <c r="J33" s="7"/>
      <c r="K33" s="7"/>
      <c r="L33" s="7"/>
      <c r="M33" s="7"/>
      <c r="N33" s="7"/>
    </row>
    <row r="34" spans="1:14">
      <c r="A34" s="7"/>
      <c r="B34" s="7"/>
      <c r="C34" s="7"/>
      <c r="D34" s="7"/>
      <c r="E34" s="7"/>
      <c r="F34" s="7"/>
      <c r="G34" s="7"/>
      <c r="H34" s="7"/>
      <c r="I34" s="7"/>
      <c r="J34" s="7"/>
      <c r="K34" s="7"/>
      <c r="L34" s="7"/>
      <c r="M34" s="7"/>
      <c r="N34" s="7"/>
    </row>
    <row r="35" spans="1:14">
      <c r="A35" s="7"/>
      <c r="B35" s="7"/>
      <c r="C35" s="7"/>
      <c r="D35" s="7"/>
      <c r="E35" s="7"/>
      <c r="F35" s="7"/>
      <c r="G35" s="7"/>
      <c r="H35" s="7"/>
      <c r="I35" s="7"/>
      <c r="J35" s="7"/>
      <c r="K35" s="7"/>
      <c r="L35" s="7"/>
      <c r="M35" s="7"/>
      <c r="N35" s="7"/>
    </row>
    <row r="36" spans="1:14">
      <c r="A36" s="7"/>
      <c r="B36" s="7"/>
      <c r="C36" s="7"/>
      <c r="D36" s="7"/>
      <c r="E36" s="7"/>
      <c r="F36" s="7"/>
      <c r="G36" s="7"/>
      <c r="H36" s="7"/>
      <c r="I36" s="7"/>
      <c r="J36" s="7"/>
      <c r="K36" s="7"/>
      <c r="L36" s="7"/>
      <c r="M36" s="7"/>
      <c r="N36" s="7"/>
    </row>
    <row r="37" spans="1:14">
      <c r="A37" s="7"/>
      <c r="B37" s="7"/>
      <c r="C37" s="7"/>
      <c r="D37" s="7"/>
      <c r="E37" s="7"/>
      <c r="F37" s="7"/>
      <c r="G37" s="7"/>
      <c r="H37" s="7"/>
      <c r="I37" s="7"/>
      <c r="J37" s="7"/>
      <c r="K37" s="7"/>
      <c r="L37" s="7"/>
      <c r="M37" s="7"/>
      <c r="N37" s="7"/>
    </row>
    <row r="38" spans="1:14">
      <c r="A38" s="7"/>
      <c r="B38" s="7"/>
      <c r="C38" s="7"/>
      <c r="D38" s="7"/>
      <c r="E38" s="7"/>
      <c r="F38" s="7"/>
      <c r="G38" s="7"/>
      <c r="H38" s="7"/>
      <c r="I38" s="7"/>
      <c r="J38" s="7"/>
      <c r="K38" s="7"/>
      <c r="L38" s="7"/>
      <c r="M38" s="7"/>
      <c r="N38" s="7"/>
    </row>
    <row r="39" spans="1:14">
      <c r="A39" s="7"/>
      <c r="B39" s="7"/>
      <c r="C39" s="7"/>
      <c r="D39" s="7"/>
      <c r="E39" s="7"/>
      <c r="F39" s="7"/>
      <c r="G39" s="7"/>
      <c r="H39" s="7"/>
      <c r="I39" s="7"/>
      <c r="J39" s="7"/>
      <c r="K39" s="7"/>
      <c r="L39" s="7"/>
      <c r="M39" s="7"/>
      <c r="N39" s="7"/>
    </row>
    <row r="40" spans="1:14">
      <c r="A40" s="7"/>
      <c r="B40" s="7"/>
      <c r="C40" s="7"/>
      <c r="D40" s="7"/>
      <c r="E40" s="7"/>
      <c r="F40" s="7"/>
      <c r="G40" s="7"/>
      <c r="H40" s="7"/>
      <c r="I40" s="7"/>
      <c r="J40" s="7"/>
      <c r="K40" s="7"/>
      <c r="L40" s="7"/>
      <c r="M40" s="7"/>
      <c r="N40" s="7"/>
    </row>
    <row r="41" spans="1:14">
      <c r="A41" s="7"/>
      <c r="B41" s="7"/>
      <c r="C41" s="7"/>
      <c r="D41" s="7"/>
      <c r="E41" s="7"/>
      <c r="F41" s="7"/>
      <c r="G41" s="7"/>
      <c r="H41" s="7"/>
      <c r="I41" s="7"/>
      <c r="J41" s="7"/>
      <c r="K41" s="7"/>
      <c r="L41" s="7"/>
      <c r="M41" s="7"/>
      <c r="N41" s="7"/>
    </row>
    <row r="42" spans="1:14">
      <c r="A42" s="7"/>
      <c r="B42" s="7"/>
      <c r="C42" s="7"/>
      <c r="D42" s="7"/>
      <c r="E42" s="7"/>
      <c r="F42" s="7"/>
      <c r="G42" s="7"/>
      <c r="H42" s="7"/>
      <c r="I42" s="7"/>
      <c r="J42" s="7"/>
      <c r="K42" s="7"/>
      <c r="L42" s="7"/>
      <c r="M42" s="7"/>
      <c r="N42" s="7"/>
    </row>
    <row r="43" spans="1:14">
      <c r="A43" s="7"/>
      <c r="B43" s="7"/>
      <c r="C43" s="7"/>
      <c r="D43" s="7"/>
      <c r="E43" s="7"/>
      <c r="F43" s="7"/>
      <c r="G43" s="7"/>
      <c r="H43" s="7"/>
      <c r="I43" s="7"/>
      <c r="J43" s="7"/>
      <c r="K43" s="7"/>
      <c r="L43" s="7"/>
      <c r="M43" s="7"/>
      <c r="N43" s="7"/>
    </row>
    <row r="44" spans="1:14">
      <c r="A44" s="7"/>
      <c r="B44" s="7"/>
      <c r="C44" s="7"/>
      <c r="D44" s="7"/>
      <c r="E44" s="7"/>
      <c r="F44" s="7"/>
      <c r="G44" s="7"/>
      <c r="H44" s="7"/>
      <c r="I44" s="7"/>
      <c r="J44" s="7"/>
      <c r="K44" s="7"/>
      <c r="L44" s="7"/>
      <c r="M44" s="7"/>
      <c r="N44" s="7"/>
    </row>
    <row r="45" spans="1:14">
      <c r="A45" s="7"/>
      <c r="B45" s="7"/>
      <c r="C45" s="7"/>
      <c r="D45" s="7"/>
      <c r="E45" s="7"/>
      <c r="F45" s="7"/>
      <c r="G45" s="7"/>
      <c r="H45" s="7"/>
      <c r="I45" s="7"/>
      <c r="J45" s="7"/>
      <c r="K45" s="7"/>
      <c r="L45" s="7"/>
      <c r="M45" s="7"/>
      <c r="N45" s="7"/>
    </row>
    <row r="46" spans="1:14">
      <c r="A46" s="7"/>
      <c r="B46" s="7"/>
      <c r="C46" s="7"/>
      <c r="D46" s="7"/>
      <c r="E46" s="7"/>
      <c r="F46" s="7"/>
      <c r="G46" s="7"/>
      <c r="H46" s="7"/>
      <c r="I46" s="7"/>
      <c r="J46" s="7"/>
      <c r="K46" s="7"/>
      <c r="L46" s="7"/>
      <c r="M46" s="7"/>
      <c r="N46" s="7"/>
    </row>
    <row r="47" spans="1:14">
      <c r="A47" s="7"/>
      <c r="B47" s="7"/>
      <c r="C47" s="7"/>
      <c r="D47" s="7"/>
      <c r="E47" s="7"/>
      <c r="F47" s="7"/>
      <c r="G47" s="7"/>
      <c r="H47" s="7"/>
      <c r="I47" s="7"/>
      <c r="J47" s="7"/>
      <c r="K47" s="7"/>
      <c r="L47" s="7"/>
      <c r="M47" s="7"/>
      <c r="N47" s="7"/>
    </row>
    <row r="48" spans="1:14">
      <c r="A48" s="7"/>
      <c r="B48" s="7"/>
      <c r="C48" s="7"/>
      <c r="D48" s="7"/>
      <c r="E48" s="7"/>
      <c r="F48" s="7"/>
      <c r="G48" s="7"/>
      <c r="H48" s="7"/>
      <c r="I48" s="7"/>
      <c r="J48" s="7"/>
      <c r="K48" s="7"/>
      <c r="L48" s="7"/>
      <c r="M48" s="7"/>
      <c r="N48" s="7"/>
    </row>
    <row r="49" spans="1:14">
      <c r="A49" s="7"/>
      <c r="B49" s="7"/>
      <c r="C49" s="7"/>
      <c r="D49" s="7"/>
      <c r="E49" s="7"/>
      <c r="F49" s="7"/>
      <c r="G49" s="7"/>
      <c r="H49" s="7"/>
      <c r="I49" s="7"/>
      <c r="J49" s="7"/>
      <c r="K49" s="7"/>
      <c r="L49" s="7"/>
      <c r="M49" s="7"/>
      <c r="N49" s="7"/>
    </row>
    <row r="50" spans="1:14">
      <c r="A50" s="7"/>
      <c r="B50" s="7"/>
      <c r="C50" s="7"/>
      <c r="D50" s="7"/>
      <c r="E50" s="7"/>
      <c r="F50" s="7"/>
      <c r="G50" s="7"/>
      <c r="H50" s="7"/>
      <c r="I50" s="7"/>
      <c r="J50" s="7"/>
      <c r="K50" s="7"/>
      <c r="L50" s="7"/>
      <c r="M50" s="7"/>
      <c r="N50" s="7"/>
    </row>
    <row r="51" spans="1:14">
      <c r="A51" s="7"/>
      <c r="B51" s="7"/>
      <c r="C51" s="7"/>
      <c r="D51" s="7"/>
      <c r="E51" s="7"/>
      <c r="F51" s="7"/>
      <c r="G51" s="7"/>
      <c r="H51" s="7"/>
      <c r="I51" s="7"/>
      <c r="J51" s="7"/>
      <c r="K51" s="7"/>
      <c r="L51" s="7"/>
      <c r="M51" s="7"/>
      <c r="N51" s="7"/>
    </row>
    <row r="52" spans="1:14">
      <c r="A52" s="7"/>
      <c r="B52" s="7"/>
      <c r="C52" s="7"/>
      <c r="D52" s="7"/>
      <c r="E52" s="7"/>
      <c r="F52" s="7"/>
      <c r="G52" s="7"/>
      <c r="H52" s="7"/>
      <c r="I52" s="7"/>
      <c r="J52" s="7"/>
      <c r="K52" s="7"/>
      <c r="L52" s="7"/>
      <c r="M52" s="7"/>
      <c r="N52" s="7"/>
    </row>
    <row r="53" spans="1:14">
      <c r="A53" s="7"/>
      <c r="B53" s="7"/>
      <c r="C53" s="7"/>
      <c r="D53" s="7"/>
      <c r="E53" s="7"/>
      <c r="F53" s="7"/>
      <c r="G53" s="7"/>
      <c r="H53" s="7"/>
      <c r="I53" s="7"/>
      <c r="J53" s="7"/>
      <c r="K53" s="7"/>
      <c r="L53" s="7"/>
      <c r="M53" s="7"/>
      <c r="N53" s="7"/>
    </row>
    <row r="54" spans="1:14">
      <c r="A54" s="7"/>
      <c r="B54" s="7"/>
      <c r="C54" s="7"/>
      <c r="D54" s="7"/>
      <c r="E54" s="7"/>
      <c r="F54" s="7"/>
      <c r="G54" s="7"/>
      <c r="H54" s="7"/>
      <c r="I54" s="7"/>
      <c r="J54" s="7"/>
      <c r="K54" s="7"/>
      <c r="L54" s="7"/>
      <c r="M54" s="7"/>
      <c r="N54" s="7"/>
    </row>
    <row r="55" spans="1:14">
      <c r="A55" s="7"/>
      <c r="B55" s="7"/>
      <c r="C55" s="7"/>
      <c r="D55" s="7"/>
      <c r="E55" s="7"/>
      <c r="F55" s="7"/>
      <c r="G55" s="7"/>
      <c r="H55" s="7"/>
      <c r="I55" s="7"/>
      <c r="J55" s="7"/>
      <c r="K55" s="7"/>
      <c r="L55" s="7"/>
      <c r="M55" s="7"/>
      <c r="N55" s="7"/>
    </row>
    <row r="56" spans="1:14">
      <c r="A56" s="7"/>
      <c r="B56" s="7"/>
      <c r="C56" s="7"/>
      <c r="D56" s="7"/>
      <c r="E56" s="7"/>
      <c r="F56" s="7"/>
      <c r="G56" s="7"/>
      <c r="H56" s="7"/>
      <c r="I56" s="7"/>
      <c r="J56" s="7"/>
      <c r="K56" s="7"/>
      <c r="L56" s="7"/>
      <c r="M56" s="7"/>
      <c r="N56" s="7"/>
    </row>
    <row r="57" spans="1:14">
      <c r="A57" s="7"/>
      <c r="B57" s="7"/>
      <c r="C57" s="7"/>
      <c r="D57" s="7"/>
      <c r="E57" s="7"/>
      <c r="F57" s="7"/>
      <c r="G57" s="7"/>
      <c r="H57" s="7"/>
      <c r="I57" s="7"/>
      <c r="J57" s="7"/>
      <c r="K57" s="7"/>
      <c r="L57" s="7"/>
      <c r="M57" s="7"/>
      <c r="N57" s="7"/>
    </row>
    <row r="58" spans="1:14">
      <c r="A58" s="7"/>
      <c r="B58" s="7"/>
      <c r="C58" s="7"/>
      <c r="D58" s="7"/>
      <c r="E58" s="7"/>
      <c r="F58" s="7"/>
      <c r="G58" s="7"/>
      <c r="H58" s="7"/>
      <c r="I58" s="7"/>
      <c r="J58" s="7"/>
      <c r="K58" s="7"/>
      <c r="L58" s="7"/>
      <c r="M58" s="7"/>
      <c r="N58" s="7"/>
    </row>
    <row r="59" spans="1:14">
      <c r="A59" s="7"/>
      <c r="B59" s="7"/>
      <c r="C59" s="7"/>
      <c r="D59" s="7"/>
      <c r="E59" s="7"/>
      <c r="F59" s="7"/>
      <c r="G59" s="7"/>
      <c r="H59" s="7"/>
      <c r="I59" s="7"/>
      <c r="J59" s="7"/>
      <c r="K59" s="7"/>
      <c r="L59" s="7"/>
      <c r="M59" s="7"/>
      <c r="N59" s="7"/>
    </row>
    <row r="60" spans="1:14">
      <c r="A60" s="7"/>
      <c r="B60" s="7"/>
      <c r="C60" s="7"/>
      <c r="D60" s="7"/>
      <c r="E60" s="7"/>
      <c r="F60" s="7"/>
      <c r="G60" s="7"/>
      <c r="H60" s="7"/>
      <c r="I60" s="7"/>
      <c r="J60" s="7"/>
      <c r="K60" s="7"/>
      <c r="L60" s="7"/>
      <c r="M60" s="7"/>
      <c r="N60" s="7"/>
    </row>
    <row r="61" spans="1:14">
      <c r="A61" s="7"/>
      <c r="B61" s="7"/>
      <c r="C61" s="7"/>
      <c r="D61" s="7"/>
      <c r="E61" s="7"/>
      <c r="F61" s="7"/>
      <c r="G61" s="7"/>
      <c r="H61" s="7"/>
      <c r="I61" s="7"/>
      <c r="J61" s="7"/>
      <c r="K61" s="7"/>
      <c r="L61" s="7"/>
      <c r="M61" s="7"/>
      <c r="N61" s="7"/>
    </row>
    <row r="62" spans="1:14">
      <c r="A62" s="7"/>
      <c r="B62" s="7"/>
      <c r="C62" s="7"/>
      <c r="D62" s="7"/>
      <c r="E62" s="7"/>
      <c r="F62" s="7"/>
      <c r="G62" s="7"/>
      <c r="H62" s="7"/>
      <c r="I62" s="7"/>
      <c r="J62" s="7"/>
      <c r="K62" s="7"/>
      <c r="L62" s="7"/>
      <c r="M62" s="7"/>
      <c r="N62" s="7"/>
    </row>
    <row r="63" spans="1:14">
      <c r="A63" s="7"/>
      <c r="B63" s="7"/>
      <c r="C63" s="7"/>
      <c r="D63" s="7"/>
      <c r="E63" s="7"/>
      <c r="F63" s="7"/>
      <c r="G63" s="7"/>
      <c r="H63" s="7"/>
      <c r="I63" s="7"/>
      <c r="J63" s="7"/>
      <c r="K63" s="7"/>
      <c r="L63" s="7"/>
      <c r="M63" s="7"/>
      <c r="N63" s="7"/>
    </row>
    <row r="64" spans="1:14">
      <c r="A64" s="7"/>
      <c r="B64" s="7"/>
      <c r="C64" s="7"/>
      <c r="D64" s="7"/>
      <c r="E64" s="7"/>
      <c r="F64" s="7"/>
      <c r="G64" s="7"/>
      <c r="H64" s="7"/>
      <c r="I64" s="7"/>
      <c r="J64" s="7"/>
      <c r="K64" s="7"/>
      <c r="L64" s="7"/>
      <c r="M64" s="7"/>
      <c r="N64" s="7"/>
    </row>
    <row r="65" spans="1:14">
      <c r="A65" s="7"/>
      <c r="B65" s="7"/>
      <c r="C65" s="7"/>
      <c r="D65" s="7"/>
      <c r="E65" s="7"/>
      <c r="F65" s="7"/>
      <c r="G65" s="7"/>
      <c r="H65" s="7"/>
      <c r="I65" s="7"/>
      <c r="J65" s="7"/>
      <c r="K65" s="7"/>
      <c r="L65" s="7"/>
      <c r="M65" s="7"/>
      <c r="N65" s="7"/>
    </row>
    <row r="66" spans="1:14">
      <c r="A66" s="7"/>
      <c r="B66" s="7"/>
      <c r="C66" s="7"/>
      <c r="D66" s="7"/>
      <c r="E66" s="7"/>
      <c r="F66" s="7"/>
      <c r="G66" s="7"/>
      <c r="H66" s="7"/>
      <c r="I66" s="7"/>
      <c r="J66" s="7"/>
      <c r="K66" s="7"/>
      <c r="L66" s="7"/>
      <c r="M66" s="7"/>
      <c r="N66" s="7"/>
    </row>
    <row r="67" spans="1:14">
      <c r="A67" s="7"/>
      <c r="B67" s="7"/>
      <c r="C67" s="7"/>
      <c r="D67" s="7"/>
      <c r="E67" s="7"/>
      <c r="F67" s="7"/>
      <c r="G67" s="7"/>
      <c r="H67" s="7"/>
      <c r="I67" s="7"/>
      <c r="J67" s="7"/>
      <c r="K67" s="7"/>
      <c r="L67" s="7"/>
      <c r="M67" s="7"/>
      <c r="N67" s="7"/>
    </row>
    <row r="68" spans="1:14">
      <c r="A68" s="7"/>
      <c r="B68" s="7"/>
      <c r="C68" s="7"/>
      <c r="D68" s="7"/>
      <c r="E68" s="7"/>
      <c r="F68" s="7"/>
      <c r="G68" s="7"/>
      <c r="H68" s="7"/>
      <c r="I68" s="7"/>
      <c r="J68" s="7"/>
      <c r="K68" s="7"/>
      <c r="L68" s="7"/>
      <c r="M68" s="7"/>
      <c r="N68" s="7"/>
    </row>
    <row r="69" spans="1:14">
      <c r="A69" s="7"/>
      <c r="B69" s="7"/>
      <c r="C69" s="7"/>
      <c r="D69" s="7"/>
      <c r="E69" s="7"/>
      <c r="F69" s="7"/>
      <c r="G69" s="7"/>
      <c r="H69" s="7"/>
      <c r="I69" s="7"/>
      <c r="J69" s="7"/>
      <c r="K69" s="7"/>
      <c r="L69" s="7"/>
      <c r="M69" s="7"/>
      <c r="N69" s="7"/>
    </row>
    <row r="70" spans="1:14">
      <c r="A70" s="7"/>
      <c r="B70" s="7"/>
      <c r="C70" s="7"/>
      <c r="D70" s="7"/>
      <c r="E70" s="7"/>
      <c r="F70" s="7"/>
      <c r="G70" s="7"/>
      <c r="H70" s="7"/>
      <c r="I70" s="7"/>
      <c r="J70" s="7"/>
      <c r="K70" s="7"/>
      <c r="L70" s="7"/>
      <c r="M70" s="7"/>
      <c r="N70" s="7"/>
    </row>
    <row r="71" spans="1:14">
      <c r="A71" s="7"/>
      <c r="B71" s="7"/>
      <c r="C71" s="7"/>
      <c r="D71" s="7"/>
      <c r="E71" s="7"/>
      <c r="F71" s="7"/>
      <c r="G71" s="7"/>
      <c r="H71" s="7"/>
      <c r="I71" s="7"/>
      <c r="J71" s="7"/>
      <c r="K71" s="7"/>
      <c r="L71" s="7"/>
      <c r="M71" s="7"/>
      <c r="N71" s="7"/>
    </row>
    <row r="72" spans="1:14">
      <c r="A72" s="7"/>
      <c r="B72" s="7"/>
      <c r="C72" s="7"/>
      <c r="D72" s="7"/>
      <c r="E72" s="7"/>
      <c r="F72" s="7"/>
      <c r="G72" s="7"/>
      <c r="H72" s="7"/>
      <c r="I72" s="7"/>
      <c r="J72" s="7"/>
      <c r="K72" s="7"/>
      <c r="L72" s="7"/>
      <c r="M72" s="7"/>
      <c r="N72" s="7"/>
    </row>
    <row r="73" spans="1:14">
      <c r="A73" s="7"/>
      <c r="B73" s="7"/>
      <c r="C73" s="7"/>
      <c r="D73" s="7"/>
      <c r="E73" s="7"/>
      <c r="F73" s="7"/>
      <c r="G73" s="7"/>
      <c r="H73" s="7"/>
      <c r="I73" s="7"/>
      <c r="J73" s="7"/>
      <c r="K73" s="7"/>
      <c r="L73" s="7"/>
      <c r="M73" s="7"/>
      <c r="N73" s="7"/>
    </row>
    <row r="74" spans="1:14">
      <c r="A74" s="7"/>
      <c r="B74" s="7"/>
      <c r="C74" s="7"/>
      <c r="D74" s="7"/>
      <c r="E74" s="7"/>
      <c r="F74" s="7"/>
      <c r="G74" s="7"/>
      <c r="H74" s="7"/>
      <c r="I74" s="7"/>
      <c r="J74" s="7"/>
      <c r="K74" s="7"/>
      <c r="L74" s="7"/>
      <c r="M74" s="7"/>
      <c r="N74" s="7"/>
    </row>
    <row r="75" spans="1:14">
      <c r="A75" s="7"/>
      <c r="B75" s="7"/>
      <c r="C75" s="7"/>
      <c r="D75" s="7"/>
      <c r="E75" s="7"/>
      <c r="F75" s="7"/>
      <c r="G75" s="7"/>
      <c r="H75" s="7"/>
      <c r="I75" s="7"/>
      <c r="J75" s="7"/>
      <c r="K75" s="7"/>
      <c r="L75" s="7"/>
      <c r="M75" s="7"/>
      <c r="N75" s="7"/>
    </row>
    <row r="76" spans="1:14">
      <c r="A76" s="7"/>
      <c r="B76" s="7"/>
      <c r="C76" s="7"/>
      <c r="D76" s="7"/>
      <c r="E76" s="7"/>
      <c r="F76" s="7"/>
      <c r="G76" s="7"/>
      <c r="H76" s="7"/>
      <c r="I76" s="7"/>
      <c r="J76" s="7"/>
      <c r="K76" s="7"/>
      <c r="L76" s="7"/>
      <c r="M76" s="7"/>
      <c r="N76" s="7"/>
    </row>
    <row r="77" spans="1:14">
      <c r="A77" s="7"/>
      <c r="B77" s="7"/>
      <c r="C77" s="7"/>
      <c r="D77" s="7"/>
      <c r="E77" s="7"/>
      <c r="F77" s="7"/>
      <c r="G77" s="7"/>
      <c r="H77" s="7"/>
      <c r="I77" s="7"/>
      <c r="J77" s="7"/>
      <c r="K77" s="7"/>
      <c r="L77" s="7"/>
      <c r="M77" s="7"/>
      <c r="N77" s="7"/>
    </row>
    <row r="78" spans="1:14">
      <c r="A78" s="7"/>
      <c r="B78" s="7"/>
      <c r="C78" s="7"/>
      <c r="D78" s="7"/>
      <c r="E78" s="7"/>
      <c r="F78" s="7"/>
      <c r="G78" s="7"/>
      <c r="H78" s="7"/>
      <c r="I78" s="7"/>
      <c r="J78" s="7"/>
      <c r="K78" s="7"/>
      <c r="L78" s="7"/>
      <c r="M78" s="7"/>
      <c r="N78" s="7"/>
    </row>
    <row r="79" spans="1:14">
      <c r="A79" s="7"/>
      <c r="B79" s="7"/>
      <c r="C79" s="7"/>
      <c r="D79" s="7"/>
      <c r="E79" s="7"/>
      <c r="F79" s="7"/>
      <c r="G79" s="7"/>
      <c r="H79" s="7"/>
      <c r="I79" s="7"/>
      <c r="J79" s="7"/>
      <c r="K79" s="7"/>
      <c r="L79" s="7"/>
      <c r="M79" s="7"/>
      <c r="N79" s="7"/>
    </row>
    <row r="80" spans="1:14">
      <c r="A80" s="7"/>
      <c r="B80" s="7"/>
      <c r="C80" s="7"/>
      <c r="D80" s="7"/>
      <c r="E80" s="7"/>
      <c r="F80" s="7"/>
      <c r="G80" s="7"/>
      <c r="H80" s="7"/>
      <c r="I80" s="7"/>
      <c r="J80" s="7"/>
      <c r="K80" s="7"/>
      <c r="L80" s="7"/>
      <c r="M80" s="7"/>
      <c r="N80" s="7"/>
    </row>
    <row r="81" spans="1:14">
      <c r="A81" s="7"/>
      <c r="B81" s="7"/>
      <c r="C81" s="7"/>
      <c r="D81" s="7"/>
      <c r="E81" s="7"/>
      <c r="F81" s="7"/>
      <c r="G81" s="7"/>
      <c r="H81" s="7"/>
      <c r="I81" s="7"/>
      <c r="J81" s="7"/>
      <c r="K81" s="7"/>
      <c r="L81" s="7"/>
      <c r="M81" s="7"/>
      <c r="N81" s="7"/>
    </row>
  </sheetData>
  <sheetProtection algorithmName="SHA-512" hashValue="asJiNNimrVdTWq2iI0GRtu4bOYkp5EI0kWhJazxLWMtZEzgX8hWnwgSSdO67qrGgjZGhqWB5C60hijHf++EBug==" saltValue="lS7vt4INVetGFpeWXQzjuw=="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colBreaks count="1" manualBreakCount="1">
    <brk id="12" max="4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EFC-9DA9-41D9-942D-EEC6CFBD05C9}">
  <sheetPr codeName="Sheet21">
    <tabColor theme="0" tint="-0.34998626667073579"/>
  </sheetPr>
  <dimension ref="A1:I39"/>
  <sheetViews>
    <sheetView workbookViewId="0"/>
  </sheetViews>
  <sheetFormatPr defaultRowHeight="14.4"/>
  <cols>
    <col min="1" max="1" width="27.88671875" customWidth="1"/>
    <col min="2" max="2" width="13.5546875" customWidth="1"/>
    <col min="3" max="3" width="11.5546875" bestFit="1" customWidth="1"/>
    <col min="4" max="9" width="14.44140625" bestFit="1" customWidth="1"/>
  </cols>
  <sheetData>
    <row r="1" spans="1:9" ht="15.6">
      <c r="A1" s="21" t="s">
        <v>1196</v>
      </c>
      <c r="I1" s="437" t="s">
        <v>2</v>
      </c>
    </row>
    <row r="2" spans="1:9" ht="15.6">
      <c r="A2" s="22" t="str">
        <f>SchoolName</f>
        <v>Eagle Charter Schools of Nevada</v>
      </c>
    </row>
    <row r="3" spans="1:9">
      <c r="A3" s="388" t="s">
        <v>1</v>
      </c>
    </row>
    <row r="4" spans="1:9">
      <c r="A4" s="389" t="str">
        <f ca="1">CELL("filename")</f>
        <v>C:\Users\Nicho\Desktop\[Attachment 2.  Eagle NV RFA 12.16.22.xlsx]CF Y1 Mo</v>
      </c>
    </row>
    <row r="5" spans="1:9">
      <c r="A5" s="35"/>
      <c r="B5" s="35"/>
      <c r="C5" s="34"/>
      <c r="D5" s="33"/>
      <c r="E5" s="35"/>
      <c r="F5" s="35"/>
      <c r="G5" s="35"/>
      <c r="H5" s="35"/>
      <c r="I5" s="35"/>
    </row>
    <row r="6" spans="1:9">
      <c r="A6" s="35"/>
      <c r="B6" s="35"/>
      <c r="C6" s="770" t="str">
        <f>' Enrol &amp; Rev'!F9</f>
        <v>SY 0/Incu</v>
      </c>
      <c r="D6" s="827">
        <f>' Enrol &amp; Rev'!G9</f>
        <v>1</v>
      </c>
      <c r="E6" s="827">
        <f>' Enrol &amp; Rev'!H9</f>
        <v>2</v>
      </c>
      <c r="F6" s="827">
        <f>' Enrol &amp; Rev'!I9</f>
        <v>3</v>
      </c>
      <c r="G6" s="827">
        <f>' Enrol &amp; Rev'!J9</f>
        <v>4</v>
      </c>
      <c r="H6" s="827">
        <f>' Enrol &amp; Rev'!K9</f>
        <v>5</v>
      </c>
      <c r="I6" s="828">
        <f>' Enrol &amp; Rev'!L9</f>
        <v>6</v>
      </c>
    </row>
    <row r="7" spans="1:9" ht="15.6">
      <c r="A7" s="35"/>
      <c r="B7" s="35"/>
      <c r="C7" s="829">
        <f>' Enrol &amp; Rev'!F10</f>
        <v>2022</v>
      </c>
      <c r="D7" s="818">
        <f>' Enrol &amp; Rev'!G10</f>
        <v>2023</v>
      </c>
      <c r="E7" s="819">
        <f>' Enrol &amp; Rev'!H10</f>
        <v>2024</v>
      </c>
      <c r="F7" s="819">
        <f>' Enrol &amp; Rev'!I10</f>
        <v>2025</v>
      </c>
      <c r="G7" s="819">
        <f>' Enrol &amp; Rev'!J10</f>
        <v>2026</v>
      </c>
      <c r="H7" s="819">
        <f>' Enrol &amp; Rev'!K10</f>
        <v>2027</v>
      </c>
      <c r="I7" s="820">
        <f>' Enrol &amp; Rev'!L10</f>
        <v>2028</v>
      </c>
    </row>
    <row r="8" spans="1:9" ht="15.6">
      <c r="A8" s="1360"/>
      <c r="B8" s="1361" t="s">
        <v>244</v>
      </c>
      <c r="C8" s="830">
        <f>' Enrol &amp; Rev'!F11</f>
        <v>2023</v>
      </c>
      <c r="D8" s="797">
        <f>' Enrol &amp; Rev'!G11</f>
        <v>2024</v>
      </c>
      <c r="E8" s="798">
        <f>' Enrol &amp; Rev'!H11</f>
        <v>2025</v>
      </c>
      <c r="F8" s="798">
        <f>' Enrol &amp; Rev'!I11</f>
        <v>2026</v>
      </c>
      <c r="G8" s="798">
        <f>' Enrol &amp; Rev'!J11</f>
        <v>2027</v>
      </c>
      <c r="H8" s="798">
        <f>' Enrol &amp; Rev'!K11</f>
        <v>2028</v>
      </c>
      <c r="I8" s="799">
        <f>' Enrol &amp; Rev'!L11</f>
        <v>2029</v>
      </c>
    </row>
    <row r="9" spans="1:9">
      <c r="A9" t="s">
        <v>758</v>
      </c>
      <c r="B9" s="5">
        <f>SUM(C9:I9)</f>
        <v>4617</v>
      </c>
      <c r="C9" s="5" t="s">
        <v>1197</v>
      </c>
      <c r="D9" s="5">
        <f>' Enrol &amp; Rev'!G35</f>
        <v>540</v>
      </c>
      <c r="E9" s="5">
        <f>' Enrol &amp; Rev'!H35</f>
        <v>648</v>
      </c>
      <c r="F9" s="5">
        <f>' Enrol &amp; Rev'!I35</f>
        <v>756</v>
      </c>
      <c r="G9" s="5">
        <f>' Enrol &amp; Rev'!J35</f>
        <v>864</v>
      </c>
      <c r="H9" s="5">
        <f>' Enrol &amp; Rev'!K35</f>
        <v>891</v>
      </c>
      <c r="I9" s="5">
        <f>' Enrol &amp; Rev'!L35</f>
        <v>918</v>
      </c>
    </row>
    <row r="10" spans="1:9">
      <c r="A10" t="s">
        <v>406</v>
      </c>
      <c r="B10" s="525">
        <f>SUM(C10:I10)</f>
        <v>50808735.680071488</v>
      </c>
      <c r="C10" s="525">
        <f>' Enrol &amp; Rev'!F142</f>
        <v>150000</v>
      </c>
      <c r="D10" s="525">
        <f>' Enrol &amp; Rev'!G142</f>
        <v>5253734.6500000004</v>
      </c>
      <c r="E10" s="525">
        <f>' Enrol &amp; Rev'!H142</f>
        <v>7196317.5757038658</v>
      </c>
      <c r="F10" s="525">
        <f>' Enrol &amp; Rev'!I142</f>
        <v>8318281.1288446411</v>
      </c>
      <c r="G10" s="525">
        <f>' Enrol &amp; Rev'!J142</f>
        <v>9540244.6819854137</v>
      </c>
      <c r="H10" s="525">
        <f>' Enrol &amp; Rev'!K142</f>
        <v>10022333.377626188</v>
      </c>
      <c r="I10" s="525">
        <f>' Enrol &amp; Rev'!L142</f>
        <v>10327824.26591138</v>
      </c>
    </row>
    <row r="11" spans="1:9">
      <c r="A11" t="s">
        <v>759</v>
      </c>
      <c r="B11" s="526">
        <f>IFERROR(B10/B9,0)</f>
        <v>11004.707749636449</v>
      </c>
      <c r="C11" s="526"/>
      <c r="D11" s="526">
        <f>IFERROR(D10/D9,0)</f>
        <v>9729.1382407407418</v>
      </c>
      <c r="E11" s="526">
        <f t="shared" ref="E11:I11" si="0">IFERROR(E10/E9,0)</f>
        <v>11105.428357567695</v>
      </c>
      <c r="F11" s="526">
        <f t="shared" si="0"/>
        <v>11003.017366196615</v>
      </c>
      <c r="G11" s="526">
        <f t="shared" si="0"/>
        <v>11041.949863409043</v>
      </c>
      <c r="H11" s="526">
        <f t="shared" si="0"/>
        <v>11248.410075899201</v>
      </c>
      <c r="I11" s="526">
        <f t="shared" si="0"/>
        <v>11250.353230840283</v>
      </c>
    </row>
    <row r="12" spans="1:9">
      <c r="A12" t="s">
        <v>1198</v>
      </c>
      <c r="B12" s="526">
        <f>SUM(C12:I12)</f>
        <v>20967920.938154142</v>
      </c>
      <c r="C12" s="525">
        <f>Staff!G42</f>
        <v>80624.804999999993</v>
      </c>
      <c r="D12" s="525">
        <f>Staff!H42</f>
        <v>2369060.2199999997</v>
      </c>
      <c r="E12" s="525">
        <f>Staff!I42</f>
        <v>3041917.49</v>
      </c>
      <c r="F12" s="525">
        <f>Staff!J42</f>
        <v>3556896.52</v>
      </c>
      <c r="G12" s="525">
        <f>Staff!K42</f>
        <v>3866678.1431999998</v>
      </c>
      <c r="H12" s="525">
        <f>Staff!L42</f>
        <v>3993098.1040928001</v>
      </c>
      <c r="I12" s="525">
        <f>Staff!M42</f>
        <v>4059645.6558613442</v>
      </c>
    </row>
    <row r="13" spans="1:9">
      <c r="A13" t="s">
        <v>1199</v>
      </c>
      <c r="B13" s="526">
        <f>IFERROR(B12/B9,0)</f>
        <v>4541.4600255911073</v>
      </c>
      <c r="C13" s="526"/>
      <c r="D13" s="526">
        <f>IFERROR(D12/D9,0)</f>
        <v>4387.1485555555555</v>
      </c>
      <c r="E13" s="526">
        <f t="shared" ref="E13:I13" si="1">IFERROR(E12/E9,0)</f>
        <v>4694.3171141975308</v>
      </c>
      <c r="F13" s="526">
        <f t="shared" si="1"/>
        <v>4704.8895767195763</v>
      </c>
      <c r="G13" s="526">
        <f t="shared" si="1"/>
        <v>4475.3219250000002</v>
      </c>
      <c r="H13" s="526">
        <f t="shared" si="1"/>
        <v>4481.5915870850731</v>
      </c>
      <c r="I13" s="526">
        <f t="shared" si="1"/>
        <v>4422.2719562759739</v>
      </c>
    </row>
    <row r="14" spans="1:9">
      <c r="A14" t="s">
        <v>414</v>
      </c>
      <c r="B14" s="526">
        <f>B10-B12</f>
        <v>29840814.741917346</v>
      </c>
      <c r="C14" s="526">
        <f t="shared" ref="C14:I14" si="2">C10-C12</f>
        <v>69375.195000000007</v>
      </c>
      <c r="D14" s="526">
        <f t="shared" si="2"/>
        <v>2884674.4300000006</v>
      </c>
      <c r="E14" s="526">
        <f t="shared" si="2"/>
        <v>4154400.0857038656</v>
      </c>
      <c r="F14" s="526">
        <f t="shared" si="2"/>
        <v>4761384.6088446416</v>
      </c>
      <c r="G14" s="526">
        <f t="shared" si="2"/>
        <v>5673566.5387854138</v>
      </c>
      <c r="H14" s="526">
        <f t="shared" si="2"/>
        <v>6029235.273533388</v>
      </c>
      <c r="I14" s="526">
        <f t="shared" si="2"/>
        <v>6268178.6100500356</v>
      </c>
    </row>
    <row r="15" spans="1:9" ht="30" customHeight="1">
      <c r="A15" s="379" t="s">
        <v>1200</v>
      </c>
      <c r="B15" s="526">
        <f>IFERROR(B14/B9,0)</f>
        <v>6463.2477240453427</v>
      </c>
      <c r="C15" s="526"/>
      <c r="D15" s="526">
        <f>IFERROR(D14/D9,0)</f>
        <v>5341.9896851851863</v>
      </c>
      <c r="E15" s="526">
        <f t="shared" ref="E15:I15" si="3">IFERROR(E14/E9,0)</f>
        <v>6411.1112433701628</v>
      </c>
      <c r="F15" s="526">
        <f t="shared" si="3"/>
        <v>6298.1277894770392</v>
      </c>
      <c r="G15" s="526">
        <f t="shared" si="3"/>
        <v>6566.627938409044</v>
      </c>
      <c r="H15" s="526">
        <f t="shared" si="3"/>
        <v>6766.8184888141277</v>
      </c>
      <c r="I15" s="526">
        <f t="shared" si="3"/>
        <v>6828.0812745643088</v>
      </c>
    </row>
    <row r="16" spans="1:9">
      <c r="A16" t="s">
        <v>1201</v>
      </c>
      <c r="B16" s="526">
        <f>SUM(C16:I16)</f>
        <v>9742897.7565780561</v>
      </c>
      <c r="C16" s="525">
        <f>'Gen Optg'!F196</f>
        <v>0</v>
      </c>
      <c r="D16" s="525">
        <f>'Gen Optg'!G196</f>
        <v>1269972.49</v>
      </c>
      <c r="E16" s="525">
        <f>'Gen Optg'!H196</f>
        <v>1374276.28048</v>
      </c>
      <c r="F16" s="525">
        <f>'Gen Optg'!I196</f>
        <v>1565499.0518217999</v>
      </c>
      <c r="G16" s="525">
        <f>'Gen Optg'!J196</f>
        <v>1762470.9371662061</v>
      </c>
      <c r="H16" s="525">
        <f>'Gen Optg'!K196</f>
        <v>1838255.5669567678</v>
      </c>
      <c r="I16" s="525">
        <f>'Gen Optg'!L196</f>
        <v>1932423.4301532828</v>
      </c>
    </row>
    <row r="17" spans="1:9">
      <c r="A17" t="s">
        <v>1202</v>
      </c>
      <c r="B17" s="526">
        <f>IFERROR(B16/B9,0)</f>
        <v>2110.222602680974</v>
      </c>
      <c r="C17" s="526"/>
      <c r="D17" s="526">
        <f>IFERROR(D16/D9,0)</f>
        <v>2351.8009074074075</v>
      </c>
      <c r="E17" s="526">
        <f t="shared" ref="E17:I17" si="4">IFERROR(E16/E9,0)</f>
        <v>2120.7967291358023</v>
      </c>
      <c r="F17" s="526">
        <f t="shared" si="4"/>
        <v>2070.7659415632274</v>
      </c>
      <c r="G17" s="526">
        <f t="shared" si="4"/>
        <v>2039.8969180164422</v>
      </c>
      <c r="H17" s="526">
        <f t="shared" si="4"/>
        <v>2063.1375611187068</v>
      </c>
      <c r="I17" s="526">
        <f t="shared" si="4"/>
        <v>2105.0364162889791</v>
      </c>
    </row>
    <row r="18" spans="1:9">
      <c r="A18" t="s">
        <v>541</v>
      </c>
      <c r="B18" s="526">
        <f>B10-B16</f>
        <v>41065837.92349343</v>
      </c>
      <c r="C18" s="526">
        <f t="shared" ref="C18:I18" si="5">C10-C16</f>
        <v>150000</v>
      </c>
      <c r="D18" s="526">
        <f t="shared" si="5"/>
        <v>3983762.16</v>
      </c>
      <c r="E18" s="526">
        <f t="shared" si="5"/>
        <v>5822041.2952238657</v>
      </c>
      <c r="F18" s="526">
        <f t="shared" si="5"/>
        <v>6752782.0770228412</v>
      </c>
      <c r="G18" s="526">
        <f t="shared" si="5"/>
        <v>7777773.7448192071</v>
      </c>
      <c r="H18" s="526">
        <f t="shared" si="5"/>
        <v>8184077.8106694203</v>
      </c>
      <c r="I18" s="526">
        <f t="shared" si="5"/>
        <v>8395400.8357580975</v>
      </c>
    </row>
    <row r="19" spans="1:9" ht="31.5" customHeight="1">
      <c r="A19" s="2" t="s">
        <v>542</v>
      </c>
      <c r="B19" s="526">
        <f>IFERROR(B18/B9,0)</f>
        <v>8894.485146955476</v>
      </c>
      <c r="C19" s="526"/>
      <c r="D19" s="526">
        <f>IFERROR(D18/D9,0)</f>
        <v>7377.3373333333338</v>
      </c>
      <c r="E19" s="526">
        <f t="shared" ref="E19:I19" si="6">IFERROR(E18/E9,0)</f>
        <v>8984.6316284318909</v>
      </c>
      <c r="F19" s="526">
        <f t="shared" si="6"/>
        <v>8932.2514246333885</v>
      </c>
      <c r="G19" s="526">
        <f t="shared" si="6"/>
        <v>9002.052945392601</v>
      </c>
      <c r="H19" s="526">
        <f t="shared" si="6"/>
        <v>9185.272514780494</v>
      </c>
      <c r="I19" s="526">
        <f t="shared" si="6"/>
        <v>9145.3168145513046</v>
      </c>
    </row>
    <row r="20" spans="1:9">
      <c r="A20" t="s">
        <v>1203</v>
      </c>
      <c r="B20" s="526">
        <f>SUM(C20:I20)</f>
        <v>10260761.799474401</v>
      </c>
      <c r="C20" s="525">
        <f>Facilities!F76</f>
        <v>2879.9999999999995</v>
      </c>
      <c r="D20" s="525">
        <f>Facilities!G76</f>
        <v>738199</v>
      </c>
      <c r="E20" s="525">
        <f>Facilities!H76</f>
        <v>1470132.5</v>
      </c>
      <c r="F20" s="525">
        <f>Facilities!I76</f>
        <v>1862034.2800000003</v>
      </c>
      <c r="G20" s="525">
        <f>Facilities!J76</f>
        <v>2015657.156</v>
      </c>
      <c r="H20" s="525">
        <f>Facilities!K76</f>
        <v>2062245.9856800002</v>
      </c>
      <c r="I20" s="525">
        <f>Facilities!L76</f>
        <v>2109612.8777944003</v>
      </c>
    </row>
    <row r="21" spans="1:9">
      <c r="A21" t="s">
        <v>1204</v>
      </c>
      <c r="B21" s="526">
        <f>IFERROR(B20/B9,0)</f>
        <v>2222.3872210254281</v>
      </c>
      <c r="C21" s="526"/>
      <c r="D21" s="526">
        <f t="shared" ref="D21:I21" si="7">IFERROR(D20/D9,0)</f>
        <v>1367.0351851851851</v>
      </c>
      <c r="E21" s="526">
        <f t="shared" si="7"/>
        <v>2268.7229938271603</v>
      </c>
      <c r="F21" s="526">
        <f t="shared" si="7"/>
        <v>2463.0083068783074</v>
      </c>
      <c r="G21" s="526">
        <f t="shared" si="7"/>
        <v>2332.9365231481479</v>
      </c>
      <c r="H21" s="526">
        <f t="shared" si="7"/>
        <v>2314.5297257912462</v>
      </c>
      <c r="I21" s="526">
        <f t="shared" si="7"/>
        <v>2298.0532437847496</v>
      </c>
    </row>
    <row r="22" spans="1:9">
      <c r="A22" t="s">
        <v>1205</v>
      </c>
      <c r="B22" s="526">
        <f>B10-B20</f>
        <v>40547973.880597085</v>
      </c>
      <c r="C22" s="526">
        <f t="shared" ref="C22:I22" si="8">C10-C20</f>
        <v>147120</v>
      </c>
      <c r="D22" s="526">
        <f t="shared" si="8"/>
        <v>4515535.6500000004</v>
      </c>
      <c r="E22" s="526">
        <f t="shared" si="8"/>
        <v>5726185.0757038658</v>
      </c>
      <c r="F22" s="526">
        <f t="shared" si="8"/>
        <v>6456246.8488446409</v>
      </c>
      <c r="G22" s="526">
        <f t="shared" si="8"/>
        <v>7524587.5259854142</v>
      </c>
      <c r="H22" s="526">
        <f t="shared" si="8"/>
        <v>7960087.3919461882</v>
      </c>
      <c r="I22" s="526">
        <f t="shared" si="8"/>
        <v>8218211.38811698</v>
      </c>
    </row>
    <row r="23" spans="1:9" ht="30.75" customHeight="1">
      <c r="A23" s="2" t="s">
        <v>1206</v>
      </c>
      <c r="B23" s="526">
        <f>IFERROR(B22/B9,0)</f>
        <v>8782.3205286110206</v>
      </c>
      <c r="C23" s="526"/>
      <c r="D23" s="526">
        <f t="shared" ref="D23:I23" si="9">IFERROR(D22/D9,0)</f>
        <v>8362.1030555555571</v>
      </c>
      <c r="E23" s="526">
        <f t="shared" si="9"/>
        <v>8836.7053637405334</v>
      </c>
      <c r="F23" s="526">
        <f t="shared" si="9"/>
        <v>8540.0090593183086</v>
      </c>
      <c r="G23" s="526">
        <f t="shared" si="9"/>
        <v>8709.0133402608953</v>
      </c>
      <c r="H23" s="526">
        <f t="shared" si="9"/>
        <v>8933.8803501079547</v>
      </c>
      <c r="I23" s="526">
        <f t="shared" si="9"/>
        <v>8952.2999870555341</v>
      </c>
    </row>
    <row r="24" spans="1:9">
      <c r="A24" t="s">
        <v>760</v>
      </c>
      <c r="B24" s="526">
        <f>SUM(C24:I24)</f>
        <v>1580760.2860159641</v>
      </c>
      <c r="C24" s="525">
        <f>'FFE&amp;T'!F42</f>
        <v>0</v>
      </c>
      <c r="D24" s="525">
        <f>'FFE&amp;T'!G42</f>
        <v>387248.65720319282</v>
      </c>
      <c r="E24" s="525">
        <f>'FFE&amp;T'!H42</f>
        <v>209536.65720319282</v>
      </c>
      <c r="F24" s="525">
        <f>'FFE&amp;T'!I42</f>
        <v>215806.65720319282</v>
      </c>
      <c r="G24" s="525">
        <f>'FFE&amp;T'!J42</f>
        <v>222076.65720319282</v>
      </c>
      <c r="H24" s="525">
        <f>'FFE&amp;T'!K42</f>
        <v>170866.65720319282</v>
      </c>
      <c r="I24" s="525">
        <f>'FFE&amp;T'!L42</f>
        <v>375225</v>
      </c>
    </row>
    <row r="25" spans="1:9">
      <c r="A25" t="s">
        <v>761</v>
      </c>
      <c r="B25" s="526">
        <f>IFERROR(B24/B9,0)</f>
        <v>342.37822958976915</v>
      </c>
      <c r="C25" s="526"/>
      <c r="D25" s="526">
        <f t="shared" ref="D25:I25" si="10">IFERROR(D24/D9,0)</f>
        <v>717.12714296887555</v>
      </c>
      <c r="E25" s="526">
        <f t="shared" si="10"/>
        <v>323.35903889381609</v>
      </c>
      <c r="F25" s="526">
        <f t="shared" si="10"/>
        <v>285.4585412740646</v>
      </c>
      <c r="G25" s="526">
        <f t="shared" si="10"/>
        <v>257.03316805925095</v>
      </c>
      <c r="H25" s="526">
        <f t="shared" si="10"/>
        <v>191.76953670392012</v>
      </c>
      <c r="I25" s="526">
        <f t="shared" si="10"/>
        <v>408.74183006535947</v>
      </c>
    </row>
    <row r="26" spans="1:9">
      <c r="A26" t="s">
        <v>762</v>
      </c>
      <c r="B26" s="526">
        <f>B10-B24</f>
        <v>49227975.394055523</v>
      </c>
      <c r="C26" s="526">
        <f t="shared" ref="C26:I26" si="11">C10-C24</f>
        <v>150000</v>
      </c>
      <c r="D26" s="526">
        <f t="shared" si="11"/>
        <v>4866485.9927968075</v>
      </c>
      <c r="E26" s="526">
        <f t="shared" si="11"/>
        <v>6986780.918500673</v>
      </c>
      <c r="F26" s="526">
        <f t="shared" si="11"/>
        <v>8102474.4716414483</v>
      </c>
      <c r="G26" s="526">
        <f t="shared" si="11"/>
        <v>9318168.0247822218</v>
      </c>
      <c r="H26" s="526">
        <f t="shared" si="11"/>
        <v>9851466.7204229943</v>
      </c>
      <c r="I26" s="526">
        <f t="shared" si="11"/>
        <v>9952599.2659113798</v>
      </c>
    </row>
    <row r="27" spans="1:9" ht="30.75" customHeight="1">
      <c r="A27" s="2" t="s">
        <v>763</v>
      </c>
      <c r="B27" s="526">
        <f>IFERROR(B26/B9,0)</f>
        <v>10662.32952004668</v>
      </c>
      <c r="C27" s="526"/>
      <c r="D27" s="526">
        <f t="shared" ref="D27:I27" si="12">IFERROR(D26/D9,0)</f>
        <v>9012.011097771865</v>
      </c>
      <c r="E27" s="526">
        <f t="shared" si="12"/>
        <v>10782.069318673879</v>
      </c>
      <c r="F27" s="526">
        <f t="shared" si="12"/>
        <v>10717.558824922551</v>
      </c>
      <c r="G27" s="526">
        <f t="shared" si="12"/>
        <v>10784.916695349793</v>
      </c>
      <c r="H27" s="526">
        <f t="shared" si="12"/>
        <v>11056.640539195279</v>
      </c>
      <c r="I27" s="526">
        <f t="shared" si="12"/>
        <v>10841.611400774924</v>
      </c>
    </row>
    <row r="28" spans="1:9">
      <c r="A28" t="s">
        <v>1207</v>
      </c>
      <c r="B28" s="526">
        <f>SUM(C28:I28)</f>
        <v>0</v>
      </c>
      <c r="C28" s="525">
        <f>'Gen Optg'!F177</f>
        <v>0</v>
      </c>
      <c r="D28" s="525">
        <f>'Gen Optg'!G177</f>
        <v>0</v>
      </c>
      <c r="E28" s="525">
        <f>'Gen Optg'!H177</f>
        <v>0</v>
      </c>
      <c r="F28" s="525">
        <f>'Gen Optg'!I177</f>
        <v>0</v>
      </c>
      <c r="G28" s="525">
        <f>'Gen Optg'!J177</f>
        <v>0</v>
      </c>
      <c r="H28" s="525">
        <f>'Gen Optg'!K177</f>
        <v>0</v>
      </c>
      <c r="I28" s="525">
        <f>'Gen Optg'!L177</f>
        <v>0</v>
      </c>
    </row>
    <row r="29" spans="1:9">
      <c r="A29" t="s">
        <v>1208</v>
      </c>
      <c r="B29" s="526">
        <f>IFERROR(B28/B9,0)</f>
        <v>0</v>
      </c>
      <c r="C29" s="526"/>
      <c r="D29" s="526">
        <f t="shared" ref="D29:I29" si="13">IFERROR(D28/D9,0)</f>
        <v>0</v>
      </c>
      <c r="E29" s="526">
        <f t="shared" si="13"/>
        <v>0</v>
      </c>
      <c r="F29" s="526">
        <f t="shared" si="13"/>
        <v>0</v>
      </c>
      <c r="G29" s="526">
        <f t="shared" si="13"/>
        <v>0</v>
      </c>
      <c r="H29" s="526">
        <f t="shared" si="13"/>
        <v>0</v>
      </c>
      <c r="I29" s="526">
        <f t="shared" si="13"/>
        <v>0</v>
      </c>
    </row>
    <row r="30" spans="1:9">
      <c r="A30" t="s">
        <v>1209</v>
      </c>
      <c r="B30" s="526">
        <f>SUM(C30:I30)</f>
        <v>349406.03794464859</v>
      </c>
      <c r="C30" s="525">
        <f>Ins!F50</f>
        <v>0</v>
      </c>
      <c r="D30" s="525">
        <f>Ins!G50</f>
        <v>55389.876000000004</v>
      </c>
      <c r="E30" s="525">
        <f>Ins!H50</f>
        <v>56497.673520000004</v>
      </c>
      <c r="F30" s="525">
        <f>Ins!I50</f>
        <v>57627.6269904</v>
      </c>
      <c r="G30" s="525">
        <f>Ins!J50</f>
        <v>58780.179530207999</v>
      </c>
      <c r="H30" s="525">
        <f>Ins!K50</f>
        <v>59955.783120812164</v>
      </c>
      <c r="I30" s="525">
        <f>Ins!L50</f>
        <v>61154.898783228411</v>
      </c>
    </row>
    <row r="31" spans="1:9">
      <c r="A31" t="s">
        <v>1210</v>
      </c>
      <c r="B31" s="526">
        <f>IFERROR(B30/B9,0)</f>
        <v>75.678154200703617</v>
      </c>
      <c r="C31" s="526"/>
      <c r="D31" s="526">
        <f t="shared" ref="D31:I31" si="14">IFERROR(D30/D9,0)</f>
        <v>102.57384444444445</v>
      </c>
      <c r="E31" s="526">
        <f t="shared" si="14"/>
        <v>87.187767777777779</v>
      </c>
      <c r="F31" s="526">
        <f t="shared" si="14"/>
        <v>76.227019828571429</v>
      </c>
      <c r="G31" s="526">
        <f t="shared" si="14"/>
        <v>68.032615196999998</v>
      </c>
      <c r="H31" s="526">
        <f t="shared" si="14"/>
        <v>67.290441213032736</v>
      </c>
      <c r="I31" s="526">
        <f t="shared" si="14"/>
        <v>66.617536800902414</v>
      </c>
    </row>
    <row r="32" spans="1:9">
      <c r="A32" t="s">
        <v>1211</v>
      </c>
      <c r="B32" s="526">
        <f>SUM(C32:I32)</f>
        <v>205000</v>
      </c>
      <c r="C32" s="525">
        <f>Marketing!H44</f>
        <v>65000</v>
      </c>
      <c r="D32" s="525">
        <f>Marketing!I44</f>
        <v>25000</v>
      </c>
      <c r="E32" s="525">
        <f>Marketing!J44</f>
        <v>25000</v>
      </c>
      <c r="F32" s="525">
        <f>Marketing!K44</f>
        <v>25000</v>
      </c>
      <c r="G32" s="525">
        <f>Marketing!L44</f>
        <v>25000</v>
      </c>
      <c r="H32" s="525">
        <f>Marketing!M44</f>
        <v>20000</v>
      </c>
      <c r="I32" s="525">
        <f>Marketing!N44</f>
        <v>20000</v>
      </c>
    </row>
    <row r="33" spans="1:9">
      <c r="A33" t="s">
        <v>1212</v>
      </c>
      <c r="B33" s="526">
        <f>IFERROR(B32/B9,0)</f>
        <v>44.401126272471302</v>
      </c>
      <c r="C33" s="526"/>
      <c r="D33" s="526">
        <f t="shared" ref="D33:I33" si="15">IFERROR(D32/D9,0)</f>
        <v>46.296296296296298</v>
      </c>
      <c r="E33" s="526">
        <f t="shared" si="15"/>
        <v>38.580246913580247</v>
      </c>
      <c r="F33" s="526">
        <f t="shared" si="15"/>
        <v>33.06878306878307</v>
      </c>
      <c r="G33" s="526">
        <f t="shared" si="15"/>
        <v>28.935185185185187</v>
      </c>
      <c r="H33" s="526">
        <f t="shared" si="15"/>
        <v>22.446689113355781</v>
      </c>
      <c r="I33" s="526">
        <f t="shared" si="15"/>
        <v>21.786492374727668</v>
      </c>
    </row>
    <row r="34" spans="1:9">
      <c r="A34" t="s">
        <v>1213</v>
      </c>
      <c r="B34" s="526">
        <f>B32+B30+B28</f>
        <v>554406.03794464865</v>
      </c>
      <c r="C34" s="526">
        <f t="shared" ref="C34:I34" si="16">C32+C30+C28</f>
        <v>65000</v>
      </c>
      <c r="D34" s="526">
        <f t="shared" si="16"/>
        <v>80389.876000000004</v>
      </c>
      <c r="E34" s="526">
        <f t="shared" si="16"/>
        <v>81497.673520000011</v>
      </c>
      <c r="F34" s="526">
        <f t="shared" si="16"/>
        <v>82627.626990399993</v>
      </c>
      <c r="G34" s="526">
        <f t="shared" si="16"/>
        <v>83780.179530207999</v>
      </c>
      <c r="H34" s="526">
        <f t="shared" si="16"/>
        <v>79955.783120812164</v>
      </c>
      <c r="I34" s="526">
        <f t="shared" si="16"/>
        <v>81154.898783228418</v>
      </c>
    </row>
    <row r="35" spans="1:9">
      <c r="A35" t="s">
        <v>1214</v>
      </c>
      <c r="B35" s="526">
        <f>IFERROR(B34/B9,0)</f>
        <v>120.07928047317493</v>
      </c>
      <c r="C35" s="526"/>
      <c r="D35" s="526">
        <f t="shared" ref="D35:I35" si="17">IFERROR(D34/D9,0)</f>
        <v>148.87014074074074</v>
      </c>
      <c r="E35" s="526">
        <f t="shared" si="17"/>
        <v>125.76801469135805</v>
      </c>
      <c r="F35" s="526">
        <f t="shared" si="17"/>
        <v>109.29580289735449</v>
      </c>
      <c r="G35" s="526">
        <f t="shared" si="17"/>
        <v>96.967800382185189</v>
      </c>
      <c r="H35" s="526">
        <f t="shared" si="17"/>
        <v>89.73713032638851</v>
      </c>
      <c r="I35" s="526">
        <f t="shared" si="17"/>
        <v>88.404029175630086</v>
      </c>
    </row>
    <row r="36" spans="1:9">
      <c r="A36" t="s">
        <v>1215</v>
      </c>
      <c r="B36" s="526">
        <f>B10-B34</f>
        <v>50254329.642126836</v>
      </c>
      <c r="C36" s="526">
        <f t="shared" ref="C36:I36" si="18">C10-C34</f>
        <v>85000</v>
      </c>
      <c r="D36" s="526">
        <f t="shared" si="18"/>
        <v>5173344.7740000002</v>
      </c>
      <c r="E36" s="526">
        <f t="shared" si="18"/>
        <v>7114819.9021838661</v>
      </c>
      <c r="F36" s="526">
        <f t="shared" si="18"/>
        <v>8235653.5018542409</v>
      </c>
      <c r="G36" s="526">
        <f t="shared" si="18"/>
        <v>9456464.5024552047</v>
      </c>
      <c r="H36" s="526">
        <f t="shared" si="18"/>
        <v>9942377.5945053753</v>
      </c>
      <c r="I36" s="526">
        <f t="shared" si="18"/>
        <v>10246669.367128151</v>
      </c>
    </row>
    <row r="37" spans="1:9" ht="30" customHeight="1">
      <c r="A37" s="2" t="s">
        <v>1216</v>
      </c>
      <c r="B37" s="526">
        <f>IFERROR(B36/B9,0)</f>
        <v>10884.628469163274</v>
      </c>
      <c r="C37" s="526"/>
      <c r="D37" s="526">
        <f t="shared" ref="D37:I37" si="19">IFERROR(D36/D9,0)</f>
        <v>9580.2681000000011</v>
      </c>
      <c r="E37" s="526">
        <f t="shared" si="19"/>
        <v>10979.660342876337</v>
      </c>
      <c r="F37" s="526">
        <f t="shared" si="19"/>
        <v>10893.721563299261</v>
      </c>
      <c r="G37" s="526">
        <f t="shared" si="19"/>
        <v>10944.982063026857</v>
      </c>
      <c r="H37" s="526">
        <f t="shared" si="19"/>
        <v>11158.672945572811</v>
      </c>
      <c r="I37" s="526">
        <f t="shared" si="19"/>
        <v>11161.949201664653</v>
      </c>
    </row>
    <row r="38" spans="1:9">
      <c r="A38" t="s">
        <v>416</v>
      </c>
      <c r="B38" s="526">
        <f t="shared" ref="B38:I38" si="20">B10-B12-B16-B28-B20-B24-B30-B32</f>
        <v>7701988.8619042775</v>
      </c>
      <c r="C38" s="526">
        <f t="shared" si="20"/>
        <v>1495.195000000007</v>
      </c>
      <c r="D38" s="526">
        <f t="shared" si="20"/>
        <v>408864.40679680783</v>
      </c>
      <c r="E38" s="526">
        <f t="shared" si="20"/>
        <v>1018956.9745006727</v>
      </c>
      <c r="F38" s="526">
        <f t="shared" si="20"/>
        <v>1035416.9928292485</v>
      </c>
      <c r="G38" s="526">
        <f t="shared" si="20"/>
        <v>1589581.608885807</v>
      </c>
      <c r="H38" s="526">
        <f t="shared" si="20"/>
        <v>1877911.2805726153</v>
      </c>
      <c r="I38" s="526">
        <f t="shared" si="20"/>
        <v>1769762.4033191246</v>
      </c>
    </row>
    <row r="39" spans="1:9">
      <c r="A39" t="s">
        <v>417</v>
      </c>
      <c r="B39" s="526">
        <f>IFERROR(B38/B9,0)</f>
        <v>1668.1803902759968</v>
      </c>
      <c r="C39" s="526"/>
      <c r="D39" s="526">
        <f t="shared" ref="D39:I39" si="21">IFERROR(D38/D9,0)</f>
        <v>757.15630888297744</v>
      </c>
      <c r="E39" s="526">
        <f t="shared" si="21"/>
        <v>1572.4644668220258</v>
      </c>
      <c r="F39" s="526">
        <f t="shared" si="21"/>
        <v>1369.5991968640853</v>
      </c>
      <c r="G39" s="526">
        <f t="shared" si="21"/>
        <v>1839.7935288030174</v>
      </c>
      <c r="H39" s="526">
        <f t="shared" si="21"/>
        <v>2107.6445348738666</v>
      </c>
      <c r="I39" s="526">
        <f t="shared" si="21"/>
        <v>1927.8457552495911</v>
      </c>
    </row>
  </sheetData>
  <sheetProtection algorithmName="SHA-512" hashValue="jlS1+hQfynZ+KZ1d58iCIq/Rdh7TXRFVGvui5WnXl0tRlvcDGIOTGlliafdYYl5N1OgtoSuFQVRoAP9zrHfYGA==" saltValue="c2RNBvxiKfOPZ2MHKFrs6w==" spinCount="100000" sheet="1" objects="1" scenarios="1"/>
  <conditionalFormatting sqref="I1">
    <cfRule type="expression" dxfId="551" priority="1" stopIfTrue="1">
      <formula>MOD(ROW(),2)=0</formula>
    </cfRule>
  </conditionalFormatting>
  <hyperlinks>
    <hyperlink ref="I1" location="HypLink1" display="HypLink1" xr:uid="{02FD0511-F737-42FA-9006-EB9148511053}"/>
  </hyperlinks>
  <pageMargins left="0.25" right="0.25" top="0.5" bottom="0.45" header="0.25" footer="0.25"/>
  <pageSetup scale="88" orientation="landscape" r:id="rId1"/>
  <headerFooter>
    <oddHeader xml:space="preserve">&amp;L &amp;C &amp;R </oddHeader>
    <oddFooter>&amp;L&amp;7&amp;D  at &amp;T Mike 702.486.8879&amp;C&amp;7&amp;F  &amp;A&amp;R&amp;7Page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2EFA-0E70-4ACB-9106-1EB9A4C28635}">
  <sheetPr codeName="Sheet24"/>
  <dimension ref="A1:R81"/>
  <sheetViews>
    <sheetView showGridLines="0" view="pageBreakPreview" zoomScale="85" zoomScaleNormal="115" zoomScaleSheetLayoutView="85" workbookViewId="0">
      <selection activeCell="B1" sqref="B1"/>
    </sheetView>
  </sheetViews>
  <sheetFormatPr defaultColWidth="8.88671875" defaultRowHeight="13.2"/>
  <cols>
    <col min="1" max="1" width="1.109375" style="6" customWidth="1"/>
    <col min="2" max="2" width="2.6640625" style="6" customWidth="1"/>
    <col min="3" max="5" width="8.88671875" style="6"/>
    <col min="6" max="6" width="16.33203125" style="6" customWidth="1"/>
    <col min="7" max="17" width="8.88671875" style="1582"/>
    <col min="18" max="16384" width="8.88671875" style="6"/>
  </cols>
  <sheetData>
    <row r="1" spans="1:18" ht="15.6">
      <c r="A1" s="21" t="s">
        <v>1430</v>
      </c>
      <c r="B1" s="21"/>
      <c r="C1" s="21"/>
      <c r="D1" s="21"/>
    </row>
    <row r="2" spans="1:18" ht="15.6">
      <c r="A2" s="22" t="str">
        <f>SchoolName</f>
        <v>Eagle Charter Schools of Nevada</v>
      </c>
      <c r="B2" s="22"/>
      <c r="C2" s="22"/>
      <c r="D2" s="22"/>
    </row>
    <row r="3" spans="1:18">
      <c r="A3" s="10" t="s">
        <v>815</v>
      </c>
    </row>
    <row r="4" spans="1:18">
      <c r="A4" s="9" t="s">
        <v>72</v>
      </c>
    </row>
    <row r="5" spans="1:18">
      <c r="A5" s="8" t="str">
        <f ca="1">CELL("filename")</f>
        <v>C:\Users\Nicho\Desktop\[Attachment 2.  Eagle NV RFA 12.16.22.xlsx]CF Y1 Mo</v>
      </c>
    </row>
    <row r="6" spans="1:18">
      <c r="A6" s="1581"/>
      <c r="B6" s="1582"/>
      <c r="C6" s="1582"/>
      <c r="D6" s="1582"/>
      <c r="E6" s="1582"/>
      <c r="F6" s="1582"/>
      <c r="R6" s="1582"/>
    </row>
    <row r="7" spans="1:18">
      <c r="A7" s="1581"/>
      <c r="B7" s="1582"/>
      <c r="C7" s="1582"/>
      <c r="D7" s="1582"/>
      <c r="E7" s="1582"/>
      <c r="F7" s="1582"/>
      <c r="R7" s="1582"/>
    </row>
    <row r="8" spans="1:18">
      <c r="A8" s="1581"/>
      <c r="B8" s="1582"/>
      <c r="C8" s="1582"/>
      <c r="D8" s="1582"/>
      <c r="E8" s="1582"/>
      <c r="F8" s="1582"/>
      <c r="R8" s="1582"/>
    </row>
    <row r="9" spans="1:18">
      <c r="A9" s="1581"/>
      <c r="B9" s="1582"/>
      <c r="C9" s="1582"/>
      <c r="D9" s="1582"/>
      <c r="E9" s="1582"/>
      <c r="F9" s="1582"/>
      <c r="R9" s="1582"/>
    </row>
    <row r="10" spans="1:18">
      <c r="A10" s="1581"/>
      <c r="B10" s="1582"/>
      <c r="C10" s="1582"/>
      <c r="D10" s="1582"/>
      <c r="E10" s="1582"/>
      <c r="F10" s="1582"/>
      <c r="R10" s="1582"/>
    </row>
    <row r="11" spans="1:18">
      <c r="A11" s="1581"/>
      <c r="B11" s="1582"/>
      <c r="C11" s="1582"/>
      <c r="D11" s="1582"/>
      <c r="E11" s="1582"/>
      <c r="F11" s="1582"/>
      <c r="R11" s="1582"/>
    </row>
    <row r="12" spans="1:18">
      <c r="A12" s="1581"/>
      <c r="B12" s="1582"/>
      <c r="C12" s="1582"/>
      <c r="D12" s="1582"/>
      <c r="E12" s="1582"/>
      <c r="F12" s="1582"/>
      <c r="R12" s="1582"/>
    </row>
    <row r="13" spans="1:18">
      <c r="A13" s="1581"/>
      <c r="B13" s="1582"/>
      <c r="C13" s="1582"/>
      <c r="D13" s="1582"/>
      <c r="E13" s="1582"/>
      <c r="F13" s="1582"/>
      <c r="R13" s="1582"/>
    </row>
    <row r="14" spans="1:18">
      <c r="A14" s="1581"/>
      <c r="B14" s="1582"/>
      <c r="C14" s="1582"/>
      <c r="D14" s="1582"/>
      <c r="E14" s="1582"/>
      <c r="F14" s="1582"/>
      <c r="R14" s="1582"/>
    </row>
    <row r="15" spans="1:18">
      <c r="A15" s="1581"/>
      <c r="B15" s="1582"/>
      <c r="C15" s="1582"/>
      <c r="D15" s="1582"/>
      <c r="E15" s="1582"/>
      <c r="F15" s="1582"/>
      <c r="R15" s="1582"/>
    </row>
    <row r="16" spans="1:18">
      <c r="A16" s="1581"/>
      <c r="B16" s="1582"/>
      <c r="C16" s="1582"/>
      <c r="D16" s="1582"/>
      <c r="E16" s="1582"/>
      <c r="F16" s="1582"/>
      <c r="R16" s="1582"/>
    </row>
    <row r="17" spans="1:18">
      <c r="A17" s="1581"/>
      <c r="B17" s="1582"/>
      <c r="C17" s="1582"/>
      <c r="D17" s="1582"/>
      <c r="E17" s="1582"/>
      <c r="F17" s="1582"/>
      <c r="R17" s="1582"/>
    </row>
    <row r="18" spans="1:18">
      <c r="A18" s="1581"/>
      <c r="B18" s="1582"/>
      <c r="C18" s="1582"/>
      <c r="D18" s="1582"/>
      <c r="E18" s="1582"/>
      <c r="F18" s="1582"/>
      <c r="R18" s="1582"/>
    </row>
    <row r="19" spans="1:18">
      <c r="A19" s="1581"/>
      <c r="B19" s="1582"/>
      <c r="C19" s="1582"/>
      <c r="D19" s="1582"/>
      <c r="E19" s="1582"/>
      <c r="F19" s="1582"/>
      <c r="R19" s="1582"/>
    </row>
    <row r="20" spans="1:18">
      <c r="A20" s="1581"/>
      <c r="B20" s="1582"/>
      <c r="C20" s="1582"/>
      <c r="D20" s="1582"/>
      <c r="E20" s="1582"/>
      <c r="F20" s="1582"/>
      <c r="R20" s="1582"/>
    </row>
    <row r="21" spans="1:18">
      <c r="A21" s="1581"/>
      <c r="B21" s="1582"/>
      <c r="C21" s="1582"/>
      <c r="D21" s="1582"/>
      <c r="E21" s="1582"/>
      <c r="F21" s="1582"/>
      <c r="R21" s="1582"/>
    </row>
    <row r="22" spans="1:18">
      <c r="A22" s="1581"/>
      <c r="B22" s="1582"/>
      <c r="C22" s="1582"/>
      <c r="D22" s="1582"/>
      <c r="E22" s="1582"/>
      <c r="F22" s="1582"/>
      <c r="R22" s="1582"/>
    </row>
    <row r="23" spans="1:18">
      <c r="A23" s="1581"/>
      <c r="B23" s="1582"/>
      <c r="C23" s="1582"/>
      <c r="D23" s="1582"/>
      <c r="E23" s="1582"/>
      <c r="F23" s="1582"/>
      <c r="R23" s="1582"/>
    </row>
    <row r="24" spans="1:18">
      <c r="A24" s="1581"/>
      <c r="B24" s="1582"/>
      <c r="C24" s="1582"/>
      <c r="D24" s="1582"/>
      <c r="E24" s="1582"/>
      <c r="F24" s="1582"/>
      <c r="R24" s="1582"/>
    </row>
    <row r="25" spans="1:18">
      <c r="A25" s="1581"/>
      <c r="B25" s="1582"/>
      <c r="C25" s="1582"/>
      <c r="D25" s="1582"/>
      <c r="E25" s="1582"/>
      <c r="F25" s="1582"/>
      <c r="R25" s="1582"/>
    </row>
    <row r="26" spans="1:18">
      <c r="A26" s="1581"/>
      <c r="B26" s="1582"/>
      <c r="C26" s="1582"/>
      <c r="D26" s="1582"/>
      <c r="E26" s="1582"/>
      <c r="F26" s="1582"/>
      <c r="R26" s="1582"/>
    </row>
    <row r="27" spans="1:18">
      <c r="A27" s="1581"/>
      <c r="B27" s="1582"/>
      <c r="C27" s="1582"/>
      <c r="D27" s="1582"/>
      <c r="E27" s="1582"/>
      <c r="F27" s="1582"/>
      <c r="R27" s="1582"/>
    </row>
    <row r="28" spans="1:18">
      <c r="A28" s="1581"/>
      <c r="B28" s="1582"/>
      <c r="C28" s="1582"/>
      <c r="D28" s="1582"/>
      <c r="E28" s="1582"/>
      <c r="F28" s="1582"/>
      <c r="R28" s="1582"/>
    </row>
    <row r="29" spans="1:18">
      <c r="A29" s="1581"/>
      <c r="B29" s="1582"/>
      <c r="C29" s="1582"/>
      <c r="D29" s="1582"/>
      <c r="E29" s="1582"/>
      <c r="F29" s="1582"/>
      <c r="R29" s="1582"/>
    </row>
    <row r="30" spans="1:18">
      <c r="A30" s="1581"/>
      <c r="B30" s="1581"/>
      <c r="C30" s="1581"/>
      <c r="D30" s="1581"/>
      <c r="E30" s="1581"/>
      <c r="F30" s="1582"/>
      <c r="R30" s="1582"/>
    </row>
    <row r="31" spans="1:18">
      <c r="A31" s="1581"/>
      <c r="B31" s="1581"/>
      <c r="C31" s="1581"/>
      <c r="D31" s="1581"/>
      <c r="E31" s="1581"/>
      <c r="F31" s="1582"/>
      <c r="R31" s="1582"/>
    </row>
    <row r="32" spans="1:18">
      <c r="A32" s="1581"/>
      <c r="B32" s="1581"/>
      <c r="C32" s="1581"/>
      <c r="D32" s="1581"/>
      <c r="E32" s="1581"/>
      <c r="F32" s="1582"/>
      <c r="R32" s="1582"/>
    </row>
    <row r="33" spans="1:18">
      <c r="A33" s="1581"/>
      <c r="B33" s="1581"/>
      <c r="C33" s="1581"/>
      <c r="D33" s="1581"/>
      <c r="E33" s="1581"/>
      <c r="F33" s="1582"/>
      <c r="R33" s="1582"/>
    </row>
    <row r="34" spans="1:18">
      <c r="A34" s="1581"/>
      <c r="B34" s="1581"/>
      <c r="C34" s="1581"/>
      <c r="D34" s="1581"/>
      <c r="E34" s="1581"/>
      <c r="F34" s="1582"/>
      <c r="R34" s="1582"/>
    </row>
    <row r="35" spans="1:18">
      <c r="A35" s="1581"/>
      <c r="B35" s="1581"/>
      <c r="C35" s="1581"/>
      <c r="D35" s="1581"/>
      <c r="E35" s="1581"/>
      <c r="F35" s="1582"/>
      <c r="R35" s="1582"/>
    </row>
    <row r="36" spans="1:18">
      <c r="A36" s="1581"/>
      <c r="B36" s="1581"/>
      <c r="C36" s="1581"/>
      <c r="D36" s="1581"/>
      <c r="E36" s="1581"/>
      <c r="F36" s="1582"/>
      <c r="R36" s="1582"/>
    </row>
    <row r="37" spans="1:18">
      <c r="A37" s="1581"/>
      <c r="B37" s="1581"/>
      <c r="C37" s="1581"/>
      <c r="D37" s="1581"/>
      <c r="E37" s="1581"/>
      <c r="F37" s="1582"/>
      <c r="R37" s="1582"/>
    </row>
    <row r="38" spans="1:18">
      <c r="A38" s="1581"/>
      <c r="B38" s="1581"/>
      <c r="C38" s="1581"/>
      <c r="D38" s="1581"/>
      <c r="E38" s="1581"/>
      <c r="F38" s="1582"/>
      <c r="R38" s="1582"/>
    </row>
    <row r="39" spans="1:18">
      <c r="A39" s="1581"/>
      <c r="B39" s="1581"/>
      <c r="C39" s="1581"/>
      <c r="D39" s="1581"/>
      <c r="E39" s="1581"/>
      <c r="F39" s="1582"/>
      <c r="R39" s="1582"/>
    </row>
    <row r="40" spans="1:18">
      <c r="A40" s="1581"/>
      <c r="B40" s="1581"/>
      <c r="C40" s="1581"/>
      <c r="D40" s="1581"/>
      <c r="E40" s="1581"/>
      <c r="F40" s="1582"/>
      <c r="R40" s="1582"/>
    </row>
    <row r="41" spans="1:18">
      <c r="A41" s="1581"/>
      <c r="B41" s="1581"/>
      <c r="C41" s="1581"/>
      <c r="D41" s="1581"/>
      <c r="E41" s="1581"/>
      <c r="F41" s="1582"/>
      <c r="R41" s="1582"/>
    </row>
    <row r="42" spans="1:18">
      <c r="A42" s="1581"/>
      <c r="B42" s="1581"/>
      <c r="C42" s="1581"/>
      <c r="D42" s="1581"/>
      <c r="E42" s="1581"/>
      <c r="F42" s="1582"/>
      <c r="R42" s="1582"/>
    </row>
    <row r="43" spans="1:18">
      <c r="A43" s="1581"/>
      <c r="B43" s="1581"/>
      <c r="C43" s="1581"/>
      <c r="D43" s="1581"/>
      <c r="E43" s="1581"/>
      <c r="F43" s="1582"/>
      <c r="R43" s="1582"/>
    </row>
    <row r="44" spans="1:18">
      <c r="A44" s="1581"/>
      <c r="B44" s="1581"/>
      <c r="C44" s="1581"/>
      <c r="D44" s="1581"/>
      <c r="E44" s="1581"/>
      <c r="F44" s="1582"/>
      <c r="R44" s="1582"/>
    </row>
    <row r="45" spans="1:18">
      <c r="A45" s="1581"/>
      <c r="B45" s="1581"/>
      <c r="C45" s="1581"/>
      <c r="D45" s="1581"/>
      <c r="E45" s="1581"/>
      <c r="F45" s="1582"/>
      <c r="R45" s="1582"/>
    </row>
    <row r="46" spans="1:18">
      <c r="A46" s="1581"/>
      <c r="B46" s="1581"/>
      <c r="C46" s="1581"/>
      <c r="D46" s="1581"/>
      <c r="E46" s="1581"/>
      <c r="F46" s="1582"/>
      <c r="R46" s="1582"/>
    </row>
    <row r="47" spans="1:18">
      <c r="A47" s="1581"/>
      <c r="B47" s="1581"/>
      <c r="C47" s="1581"/>
      <c r="D47" s="1581"/>
      <c r="E47" s="1581"/>
      <c r="F47" s="1582"/>
      <c r="R47" s="1582"/>
    </row>
    <row r="48" spans="1:18">
      <c r="A48" s="1581"/>
      <c r="B48" s="1581"/>
      <c r="C48" s="1581"/>
      <c r="D48" s="1581"/>
      <c r="E48" s="1581"/>
      <c r="F48" s="1582"/>
      <c r="R48" s="1582"/>
    </row>
    <row r="49" spans="1:18">
      <c r="A49" s="1581"/>
      <c r="B49" s="1581"/>
      <c r="C49" s="1581"/>
      <c r="D49" s="1581"/>
      <c r="E49" s="1581"/>
      <c r="F49" s="1582"/>
      <c r="R49" s="1582"/>
    </row>
    <row r="50" spans="1:18">
      <c r="A50" s="1581"/>
      <c r="B50" s="1581"/>
      <c r="C50" s="1581"/>
      <c r="D50" s="1581"/>
      <c r="E50" s="1581"/>
      <c r="F50" s="1582"/>
      <c r="R50" s="1582"/>
    </row>
    <row r="51" spans="1:18">
      <c r="A51" s="1581"/>
      <c r="B51" s="1581"/>
      <c r="C51" s="1581"/>
      <c r="D51" s="1581"/>
      <c r="E51" s="1581"/>
      <c r="F51" s="1582"/>
      <c r="R51" s="1582"/>
    </row>
    <row r="52" spans="1:18">
      <c r="A52" s="1581"/>
      <c r="B52" s="1581"/>
      <c r="C52" s="1581"/>
      <c r="D52" s="1581"/>
      <c r="E52" s="1581"/>
      <c r="F52" s="1582"/>
      <c r="R52" s="1582"/>
    </row>
    <row r="53" spans="1:18">
      <c r="A53" s="1581"/>
      <c r="B53" s="1581"/>
      <c r="C53" s="1581"/>
      <c r="D53" s="1581"/>
      <c r="E53" s="1581"/>
      <c r="F53" s="1582"/>
      <c r="R53" s="1582"/>
    </row>
    <row r="54" spans="1:18">
      <c r="A54" s="1581"/>
      <c r="B54" s="1581"/>
      <c r="C54" s="1581"/>
      <c r="D54" s="1581"/>
      <c r="E54" s="1581"/>
      <c r="F54" s="1582"/>
      <c r="R54" s="1582"/>
    </row>
    <row r="55" spans="1:18">
      <c r="A55" s="1581"/>
      <c r="B55" s="1581"/>
      <c r="C55" s="1581"/>
      <c r="D55" s="1581"/>
      <c r="E55" s="1581"/>
      <c r="F55" s="1582"/>
      <c r="R55" s="1582"/>
    </row>
    <row r="56" spans="1:18">
      <c r="A56" s="1581"/>
      <c r="B56" s="1581"/>
      <c r="C56" s="1581"/>
      <c r="D56" s="1581"/>
      <c r="E56" s="1581"/>
      <c r="F56" s="1582"/>
      <c r="R56" s="1582"/>
    </row>
    <row r="57" spans="1:18">
      <c r="A57" s="1581"/>
      <c r="B57" s="1581"/>
      <c r="C57" s="1581"/>
      <c r="D57" s="1581"/>
      <c r="E57" s="1581"/>
      <c r="F57" s="1582"/>
      <c r="R57" s="1582"/>
    </row>
    <row r="58" spans="1:18">
      <c r="A58" s="1581"/>
      <c r="B58" s="1581"/>
      <c r="C58" s="1581"/>
      <c r="D58" s="1581"/>
      <c r="E58" s="1581"/>
      <c r="F58" s="1582"/>
      <c r="R58" s="1582"/>
    </row>
    <row r="59" spans="1:18">
      <c r="A59" s="1581"/>
      <c r="B59" s="1581"/>
      <c r="C59" s="1581"/>
      <c r="D59" s="1581"/>
      <c r="E59" s="1581"/>
      <c r="F59" s="1582"/>
      <c r="R59" s="1582"/>
    </row>
    <row r="60" spans="1:18">
      <c r="A60" s="1581"/>
      <c r="B60" s="1581"/>
      <c r="C60" s="1581"/>
      <c r="D60" s="1581"/>
      <c r="E60" s="1581"/>
      <c r="F60" s="1582"/>
      <c r="R60" s="1582"/>
    </row>
    <row r="61" spans="1:18">
      <c r="A61" s="1581"/>
      <c r="B61" s="1581"/>
      <c r="C61" s="1581"/>
      <c r="D61" s="1581"/>
      <c r="E61" s="1581"/>
      <c r="F61" s="1582"/>
      <c r="R61" s="1582"/>
    </row>
    <row r="62" spans="1:18">
      <c r="A62" s="1581"/>
      <c r="B62" s="1581"/>
      <c r="C62" s="1581"/>
      <c r="D62" s="1581"/>
      <c r="E62" s="1581"/>
      <c r="F62" s="1582"/>
      <c r="R62" s="1582"/>
    </row>
    <row r="63" spans="1:18">
      <c r="A63" s="1581"/>
      <c r="B63" s="1581"/>
      <c r="C63" s="1581"/>
      <c r="D63" s="1581"/>
      <c r="E63" s="1581"/>
      <c r="F63" s="1582"/>
      <c r="R63" s="1582"/>
    </row>
    <row r="64" spans="1:18">
      <c r="A64" s="1581"/>
      <c r="B64" s="1581"/>
      <c r="C64" s="1581"/>
      <c r="D64" s="1581"/>
      <c r="E64" s="1581"/>
      <c r="F64" s="1582"/>
      <c r="R64" s="1582"/>
    </row>
    <row r="65" spans="1:18">
      <c r="A65" s="1581"/>
      <c r="B65" s="1581"/>
      <c r="C65" s="1581"/>
      <c r="D65" s="1581"/>
      <c r="E65" s="1581"/>
      <c r="F65" s="1582"/>
      <c r="R65" s="1582"/>
    </row>
    <row r="66" spans="1:18">
      <c r="A66" s="1581"/>
      <c r="B66" s="1581"/>
      <c r="C66" s="1581"/>
      <c r="D66" s="1581"/>
      <c r="E66" s="1581"/>
      <c r="F66" s="1582"/>
      <c r="R66" s="1582"/>
    </row>
    <row r="67" spans="1:18">
      <c r="A67" s="1581"/>
      <c r="B67" s="1581"/>
      <c r="C67" s="1581"/>
      <c r="D67" s="1581"/>
      <c r="E67" s="1581"/>
      <c r="F67" s="1582"/>
    </row>
    <row r="68" spans="1:18">
      <c r="A68" s="1581"/>
      <c r="B68" s="1581"/>
      <c r="C68" s="1581"/>
      <c r="D68" s="1581"/>
      <c r="E68" s="1581"/>
      <c r="F68" s="1582"/>
    </row>
    <row r="69" spans="1:18">
      <c r="A69" s="1581"/>
      <c r="B69" s="1581"/>
      <c r="C69" s="1581"/>
      <c r="D69" s="1581"/>
      <c r="E69" s="1581"/>
      <c r="F69" s="1582"/>
    </row>
    <row r="70" spans="1:18">
      <c r="A70" s="7"/>
      <c r="B70" s="7"/>
      <c r="C70" s="7"/>
      <c r="D70" s="7"/>
      <c r="E70" s="7"/>
    </row>
    <row r="71" spans="1:18">
      <c r="A71" s="7"/>
      <c r="B71" s="7"/>
      <c r="C71" s="7"/>
      <c r="D71" s="7"/>
      <c r="E71" s="7"/>
    </row>
    <row r="72" spans="1:18">
      <c r="A72" s="7"/>
      <c r="B72" s="7"/>
      <c r="C72" s="7"/>
      <c r="D72" s="7"/>
      <c r="E72" s="7"/>
    </row>
    <row r="73" spans="1:18">
      <c r="A73" s="7"/>
      <c r="B73" s="7"/>
      <c r="C73" s="7"/>
      <c r="D73" s="7"/>
      <c r="E73" s="7"/>
    </row>
    <row r="74" spans="1:18">
      <c r="A74" s="7"/>
      <c r="B74" s="7"/>
      <c r="C74" s="7"/>
      <c r="D74" s="7"/>
      <c r="E74" s="7"/>
    </row>
    <row r="75" spans="1:18">
      <c r="A75" s="7"/>
      <c r="B75" s="7"/>
      <c r="C75" s="7"/>
      <c r="D75" s="7"/>
      <c r="E75" s="7"/>
    </row>
    <row r="76" spans="1:18">
      <c r="A76" s="7"/>
      <c r="B76" s="7"/>
      <c r="C76" s="7"/>
      <c r="D76" s="7"/>
      <c r="E76" s="7"/>
    </row>
    <row r="77" spans="1:18">
      <c r="A77" s="7"/>
      <c r="B77" s="7"/>
      <c r="C77" s="7"/>
      <c r="D77" s="7"/>
      <c r="E77" s="7"/>
    </row>
    <row r="78" spans="1:18">
      <c r="A78" s="7"/>
      <c r="B78" s="7"/>
      <c r="C78" s="7"/>
      <c r="D78" s="7"/>
      <c r="E78" s="7"/>
    </row>
    <row r="79" spans="1:18">
      <c r="A79" s="7"/>
      <c r="B79" s="7"/>
      <c r="C79" s="7"/>
      <c r="D79" s="7"/>
      <c r="E79" s="7"/>
    </row>
    <row r="80" spans="1:18">
      <c r="A80" s="7"/>
      <c r="B80" s="7"/>
      <c r="C80" s="7"/>
      <c r="D80" s="7"/>
      <c r="E80" s="7"/>
    </row>
    <row r="81" spans="1:5">
      <c r="A81" s="7"/>
      <c r="B81" s="7"/>
      <c r="C81" s="7"/>
      <c r="D81" s="7"/>
      <c r="E81" s="7"/>
    </row>
  </sheetData>
  <sheetProtection algorithmName="SHA-512" hashValue="pkuurECShHTK3ZEq4uNA9xjt0QhsNUjtaZyq1ZVbpx5SXUlEr+mVEHf94rBslRKBhwAO1MePUUGxm6athFSX+A==" saltValue="5whEutc1FFH19J7cZzqQzQ=="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DB14-B6C2-4ACD-A0AB-EB38D9558526}">
  <sheetPr>
    <tabColor theme="9" tint="0.59999389629810485"/>
  </sheetPr>
  <dimension ref="A1:H23"/>
  <sheetViews>
    <sheetView workbookViewId="0">
      <selection activeCell="A2" sqref="A2"/>
    </sheetView>
  </sheetViews>
  <sheetFormatPr defaultRowHeight="14.4"/>
  <cols>
    <col min="1" max="1" width="3.44140625" customWidth="1"/>
    <col min="2" max="2" width="35.33203125" bestFit="1" customWidth="1"/>
    <col min="3" max="3" width="11.109375" bestFit="1" customWidth="1"/>
    <col min="4" max="4" width="12.6640625" bestFit="1" customWidth="1"/>
    <col min="5" max="5" width="11.109375" bestFit="1" customWidth="1"/>
    <col min="6" max="8" width="12.6640625" bestFit="1" customWidth="1"/>
    <col min="10" max="10" width="4" bestFit="1" customWidth="1"/>
    <col min="11" max="11" width="12" bestFit="1" customWidth="1"/>
  </cols>
  <sheetData>
    <row r="1" spans="1:8" ht="15.6">
      <c r="A1" s="2227" t="s">
        <v>2064</v>
      </c>
      <c r="B1" s="2227"/>
      <c r="C1" s="2227"/>
      <c r="D1" s="2227"/>
      <c r="E1" s="2227"/>
      <c r="F1" s="2227"/>
      <c r="G1" s="2227"/>
      <c r="H1" s="2227"/>
    </row>
    <row r="2" spans="1:8" ht="15.6">
      <c r="A2" s="1412"/>
      <c r="B2" s="1412"/>
      <c r="C2" s="1412"/>
      <c r="D2" s="1412"/>
      <c r="E2" s="1412"/>
      <c r="G2" s="1283" t="s">
        <v>1549</v>
      </c>
      <c r="H2" s="1412"/>
    </row>
    <row r="3" spans="1:8" ht="15.6">
      <c r="A3" s="1412"/>
      <c r="B3" s="1412"/>
      <c r="C3" s="1412"/>
      <c r="D3" s="1412"/>
      <c r="E3" s="1412"/>
      <c r="F3" s="1283"/>
      <c r="G3" s="1412"/>
      <c r="H3" s="1412"/>
    </row>
    <row r="4" spans="1:8">
      <c r="A4" s="2231" t="s">
        <v>2062</v>
      </c>
      <c r="B4" s="2232"/>
      <c r="C4" s="2232"/>
      <c r="D4" s="2232"/>
      <c r="E4" s="2232"/>
      <c r="F4" s="2232"/>
      <c r="G4" s="2232"/>
      <c r="H4" s="2233"/>
    </row>
    <row r="5" spans="1:8">
      <c r="A5" s="1833" t="s">
        <v>1511</v>
      </c>
      <c r="B5" s="1829"/>
      <c r="C5" s="1829"/>
      <c r="D5" s="1829"/>
      <c r="E5" s="1829"/>
      <c r="F5" s="1829"/>
      <c r="G5" s="1829"/>
      <c r="H5" s="1834"/>
    </row>
    <row r="6" spans="1:8">
      <c r="A6" s="1833"/>
      <c r="B6" s="1829" t="s">
        <v>1512</v>
      </c>
      <c r="C6" s="1829">
        <v>35000</v>
      </c>
      <c r="D6" s="1829">
        <v>35000</v>
      </c>
      <c r="E6" s="1829">
        <v>35000</v>
      </c>
      <c r="F6" s="1829">
        <v>35000</v>
      </c>
      <c r="G6" s="1829">
        <v>35000</v>
      </c>
      <c r="H6" s="1829">
        <v>35000</v>
      </c>
    </row>
    <row r="7" spans="1:8">
      <c r="A7" s="1833"/>
      <c r="B7" s="1829" t="s">
        <v>1513</v>
      </c>
      <c r="C7" s="1830">
        <f>80207*7</f>
        <v>561449</v>
      </c>
      <c r="D7" s="1830">
        <f>122717*10</f>
        <v>1227170</v>
      </c>
      <c r="E7" s="1830">
        <f>125172*12</f>
        <v>1502064</v>
      </c>
      <c r="F7" s="1830">
        <f>E7*1.02</f>
        <v>1532105.28</v>
      </c>
      <c r="G7" s="1830">
        <f t="shared" ref="G7:H7" si="0">F7*1.02</f>
        <v>1562747.3856000002</v>
      </c>
      <c r="H7" s="1830">
        <f t="shared" si="0"/>
        <v>1594002.3333120001</v>
      </c>
    </row>
    <row r="8" spans="1:8">
      <c r="A8" s="1833"/>
      <c r="B8" s="1829" t="s">
        <v>1514</v>
      </c>
      <c r="C8" s="1831">
        <f>C7/C6</f>
        <v>16.041399999999999</v>
      </c>
      <c r="D8" s="1831">
        <f t="shared" ref="D8:H8" si="1">D7/D6</f>
        <v>35.061999999999998</v>
      </c>
      <c r="E8" s="1831">
        <f t="shared" si="1"/>
        <v>42.916114285714286</v>
      </c>
      <c r="F8" s="1831">
        <f t="shared" si="1"/>
        <v>43.774436571428573</v>
      </c>
      <c r="G8" s="1831">
        <f t="shared" si="1"/>
        <v>44.649925302857149</v>
      </c>
      <c r="H8" s="1835">
        <f t="shared" si="1"/>
        <v>45.542923808914288</v>
      </c>
    </row>
    <row r="9" spans="1:8">
      <c r="A9" s="1833" t="s">
        <v>1515</v>
      </c>
      <c r="B9" s="1829"/>
      <c r="C9" s="1829"/>
      <c r="D9" s="1829"/>
      <c r="E9" s="1829"/>
      <c r="F9" s="1829"/>
      <c r="G9" s="1829"/>
      <c r="H9" s="1834"/>
    </row>
    <row r="10" spans="1:8">
      <c r="A10" s="1833"/>
      <c r="B10" s="1829" t="s">
        <v>1516</v>
      </c>
      <c r="C10" s="1829">
        <v>0</v>
      </c>
      <c r="D10" s="1829">
        <v>0</v>
      </c>
      <c r="E10" s="1829">
        <v>4</v>
      </c>
      <c r="F10" s="1829">
        <v>8</v>
      </c>
      <c r="G10" s="1829">
        <v>8</v>
      </c>
      <c r="H10" s="1834">
        <v>8</v>
      </c>
    </row>
    <row r="11" spans="1:8">
      <c r="A11" s="1833"/>
      <c r="B11" s="1829" t="s">
        <v>1517</v>
      </c>
      <c r="C11" s="1829">
        <f>36*24</f>
        <v>864</v>
      </c>
      <c r="D11" s="1829">
        <f t="shared" ref="D11:H11" si="2">36*24</f>
        <v>864</v>
      </c>
      <c r="E11" s="1829">
        <f t="shared" si="2"/>
        <v>864</v>
      </c>
      <c r="F11" s="1829">
        <f t="shared" si="2"/>
        <v>864</v>
      </c>
      <c r="G11" s="1829">
        <f t="shared" si="2"/>
        <v>864</v>
      </c>
      <c r="H11" s="1834">
        <f t="shared" si="2"/>
        <v>864</v>
      </c>
    </row>
    <row r="12" spans="1:8">
      <c r="A12" s="1833"/>
      <c r="B12" s="1829" t="s">
        <v>1518</v>
      </c>
      <c r="C12" s="1829">
        <f>C10*C11</f>
        <v>0</v>
      </c>
      <c r="D12" s="1829">
        <f t="shared" ref="D12:H12" si="3">D10*D11</f>
        <v>0</v>
      </c>
      <c r="E12" s="1829">
        <f t="shared" si="3"/>
        <v>3456</v>
      </c>
      <c r="F12" s="1829">
        <f t="shared" si="3"/>
        <v>6912</v>
      </c>
      <c r="G12" s="1829">
        <f t="shared" si="3"/>
        <v>6912</v>
      </c>
      <c r="H12" s="1834">
        <f t="shared" si="3"/>
        <v>6912</v>
      </c>
    </row>
    <row r="13" spans="1:8">
      <c r="A13" s="1833"/>
      <c r="B13" s="1829" t="s">
        <v>1523</v>
      </c>
      <c r="C13" s="1832">
        <f>1750*12</f>
        <v>21000</v>
      </c>
      <c r="D13" s="1832">
        <f>C13*1.03</f>
        <v>21630</v>
      </c>
      <c r="E13" s="1832">
        <f t="shared" ref="E13:H13" si="4">D13*1.03</f>
        <v>22278.9</v>
      </c>
      <c r="F13" s="1832">
        <f t="shared" si="4"/>
        <v>22947.267000000003</v>
      </c>
      <c r="G13" s="1832">
        <f t="shared" si="4"/>
        <v>23635.685010000005</v>
      </c>
      <c r="H13" s="1836">
        <f t="shared" si="4"/>
        <v>24344.755560300004</v>
      </c>
    </row>
    <row r="14" spans="1:8">
      <c r="A14" s="1833"/>
      <c r="B14" s="1829" t="s">
        <v>1519</v>
      </c>
      <c r="C14" s="1832">
        <f>C13*C10</f>
        <v>0</v>
      </c>
      <c r="D14" s="1832">
        <f t="shared" ref="D14:H14" si="5">D13*D10</f>
        <v>0</v>
      </c>
      <c r="E14" s="1832">
        <f t="shared" si="5"/>
        <v>89115.6</v>
      </c>
      <c r="F14" s="1832">
        <f t="shared" si="5"/>
        <v>183578.13600000003</v>
      </c>
      <c r="G14" s="1832">
        <f t="shared" si="5"/>
        <v>189085.48008000004</v>
      </c>
      <c r="H14" s="1836">
        <f t="shared" si="5"/>
        <v>194758.04448240003</v>
      </c>
    </row>
    <row r="15" spans="1:8">
      <c r="A15" s="1833"/>
      <c r="B15" s="1829" t="s">
        <v>1514</v>
      </c>
      <c r="C15" s="1832"/>
      <c r="D15" s="1832"/>
      <c r="E15" s="1832">
        <f t="shared" ref="E15:H15" si="6">E14/E12</f>
        <v>25.785763888888891</v>
      </c>
      <c r="F15" s="1832">
        <f t="shared" si="6"/>
        <v>26.55933680555556</v>
      </c>
      <c r="G15" s="1832">
        <f t="shared" si="6"/>
        <v>27.356116909722228</v>
      </c>
      <c r="H15" s="1836">
        <f t="shared" si="6"/>
        <v>28.176800417013894</v>
      </c>
    </row>
    <row r="16" spans="1:8">
      <c r="A16" s="1837"/>
      <c r="B16" s="1838"/>
      <c r="C16" s="1838"/>
      <c r="D16" s="1838"/>
      <c r="E16" s="1838"/>
      <c r="F16" s="1838"/>
      <c r="G16" s="1838"/>
      <c r="H16" s="1839"/>
    </row>
    <row r="17" spans="1:8">
      <c r="A17" s="1840" t="s">
        <v>123</v>
      </c>
      <c r="B17" s="1827"/>
      <c r="C17" s="1827"/>
      <c r="D17" s="1827"/>
      <c r="E17" s="1827"/>
      <c r="F17" s="1827"/>
      <c r="G17" s="1827"/>
      <c r="H17" s="1827"/>
    </row>
    <row r="18" spans="1:8">
      <c r="A18" s="1827"/>
      <c r="B18" s="1827" t="s">
        <v>1512</v>
      </c>
      <c r="C18" s="1827">
        <f>C12+C6</f>
        <v>35000</v>
      </c>
      <c r="D18" s="1827">
        <f t="shared" ref="D18:H18" si="7">D12+D6</f>
        <v>35000</v>
      </c>
      <c r="E18" s="1827">
        <f t="shared" si="7"/>
        <v>38456</v>
      </c>
      <c r="F18" s="1827">
        <f t="shared" si="7"/>
        <v>41912</v>
      </c>
      <c r="G18" s="1827">
        <f t="shared" si="7"/>
        <v>41912</v>
      </c>
      <c r="H18" s="1827">
        <f t="shared" si="7"/>
        <v>41912</v>
      </c>
    </row>
    <row r="19" spans="1:8">
      <c r="A19" s="1827"/>
      <c r="B19" s="1840" t="s">
        <v>1520</v>
      </c>
      <c r="C19" s="1841">
        <f>C14+C7</f>
        <v>561449</v>
      </c>
      <c r="D19" s="1841">
        <f t="shared" ref="D19:H19" si="8">D14+D7</f>
        <v>1227170</v>
      </c>
      <c r="E19" s="1841">
        <f t="shared" si="8"/>
        <v>1591179.6</v>
      </c>
      <c r="F19" s="1841">
        <f t="shared" si="8"/>
        <v>1715683.416</v>
      </c>
      <c r="G19" s="1841">
        <f t="shared" si="8"/>
        <v>1751832.8656800003</v>
      </c>
      <c r="H19" s="1841">
        <f t="shared" si="8"/>
        <v>1788760.3777944001</v>
      </c>
    </row>
    <row r="20" spans="1:8">
      <c r="A20" s="1827"/>
      <c r="B20" s="1827" t="s">
        <v>1514</v>
      </c>
      <c r="C20" s="1828">
        <f>C19/C18</f>
        <v>16.041399999999999</v>
      </c>
      <c r="D20" s="1828">
        <f t="shared" ref="D20:H20" si="9">D19/D18</f>
        <v>35.061999999999998</v>
      </c>
      <c r="E20" s="1828">
        <f t="shared" si="9"/>
        <v>41.376627834408154</v>
      </c>
      <c r="F20" s="1828">
        <f t="shared" si="9"/>
        <v>40.935374498950182</v>
      </c>
      <c r="G20" s="1828">
        <f t="shared" si="9"/>
        <v>41.797882842145455</v>
      </c>
      <c r="H20" s="1828">
        <f t="shared" si="9"/>
        <v>42.67895537780111</v>
      </c>
    </row>
    <row r="23" spans="1:8">
      <c r="C23" s="1826"/>
      <c r="D23" s="1826"/>
      <c r="E23" s="1826"/>
      <c r="F23" s="1826"/>
      <c r="G23" s="1826"/>
      <c r="H23" s="1826"/>
    </row>
  </sheetData>
  <mergeCells count="2">
    <mergeCell ref="A4:H4"/>
    <mergeCell ref="A1:H1"/>
  </mergeCells>
  <phoneticPr fontId="188" type="noConversion"/>
  <pageMargins left="0.7" right="0.7" top="0.75" bottom="0.75" header="0.3" footer="0.3"/>
  <pageSetup orientation="landscape"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EC65-E449-4FE4-9F36-CD375E8CFA01}">
  <sheetPr>
    <tabColor theme="9" tint="0.59999389629810485"/>
  </sheetPr>
  <dimension ref="A1:C5"/>
  <sheetViews>
    <sheetView workbookViewId="0">
      <selection activeCell="C15" sqref="C15"/>
    </sheetView>
  </sheetViews>
  <sheetFormatPr defaultRowHeight="14.4"/>
  <cols>
    <col min="1" max="1" width="19.44140625" bestFit="1" customWidth="1"/>
    <col min="2" max="2" width="34" bestFit="1" customWidth="1"/>
    <col min="3" max="3" width="10.6640625" bestFit="1" customWidth="1"/>
  </cols>
  <sheetData>
    <row r="1" spans="1:3">
      <c r="A1" t="s">
        <v>1530</v>
      </c>
      <c r="B1" t="s">
        <v>1531</v>
      </c>
      <c r="C1" t="s">
        <v>91</v>
      </c>
    </row>
    <row r="2" spans="1:3">
      <c r="B2" t="s">
        <v>1535</v>
      </c>
      <c r="C2" t="s">
        <v>1142</v>
      </c>
    </row>
    <row r="3" spans="1:3">
      <c r="A3">
        <v>1</v>
      </c>
      <c r="B3" t="s">
        <v>1533</v>
      </c>
      <c r="C3" t="s">
        <v>1142</v>
      </c>
    </row>
    <row r="4" spans="1:3">
      <c r="A4">
        <v>2</v>
      </c>
      <c r="B4" t="s">
        <v>1534</v>
      </c>
      <c r="C4" t="s">
        <v>1142</v>
      </c>
    </row>
    <row r="5" spans="1:3">
      <c r="A5" s="2191" t="s">
        <v>2065</v>
      </c>
      <c r="B5" t="s">
        <v>2061</v>
      </c>
      <c r="C5" t="s">
        <v>1142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EB29-4874-4399-A6CE-D3EF8ED776BA}">
  <sheetPr>
    <tabColor rgb="FF00FF00"/>
  </sheetPr>
  <dimension ref="A1:AT830"/>
  <sheetViews>
    <sheetView showGridLines="0" topLeftCell="A3" zoomScale="85" zoomScaleNormal="85" zoomScaleSheetLayoutView="130" workbookViewId="0">
      <pane xSplit="4" ySplit="4" topLeftCell="E7" activePane="bottomRight" state="frozen"/>
      <selection activeCell="A3" sqref="A3"/>
      <selection pane="topRight" activeCell="E3" sqref="E3"/>
      <selection pane="bottomLeft" activeCell="A7" sqref="A7"/>
      <selection pane="bottomRight" activeCell="C7" sqref="C7"/>
    </sheetView>
  </sheetViews>
  <sheetFormatPr defaultColWidth="3.88671875" defaultRowHeight="13.2" outlineLevelRow="2"/>
  <cols>
    <col min="1" max="1" width="4" style="1844" bestFit="1" customWidth="1"/>
    <col min="2" max="2" width="5.44140625" style="1843" customWidth="1"/>
    <col min="3" max="3" width="0.6640625" style="1844" customWidth="1"/>
    <col min="4" max="4" width="27.109375" style="1844" customWidth="1"/>
    <col min="5" max="6" width="13.6640625" style="1860" customWidth="1"/>
    <col min="7" max="7" width="14" style="1844" customWidth="1"/>
    <col min="8" max="8" width="14.44140625" style="1844" customWidth="1"/>
    <col min="9" max="9" width="13.44140625" style="1844" customWidth="1"/>
    <col min="10" max="10" width="13.5546875" style="1844" customWidth="1"/>
    <col min="11" max="11" width="12.6640625" style="1844" customWidth="1"/>
    <col min="12" max="12" width="13.44140625" style="1844" customWidth="1"/>
    <col min="13" max="13" width="11.5546875" style="1844" customWidth="1"/>
    <col min="14" max="14" width="13.44140625" style="1844" customWidth="1"/>
    <col min="15" max="15" width="1.109375" style="1844" customWidth="1"/>
    <col min="16" max="16" width="3.88671875" style="1844"/>
    <col min="17" max="17" width="11.109375" style="1844" customWidth="1"/>
    <col min="18" max="18" width="3.88671875" style="1844" customWidth="1"/>
    <col min="19" max="24" width="7" style="1844" customWidth="1"/>
    <col min="25" max="28" width="3.88671875" style="1844" customWidth="1"/>
    <col min="29" max="33" width="3.88671875" style="1844" hidden="1" customWidth="1"/>
    <col min="34" max="38" width="5" style="1844" hidden="1" customWidth="1"/>
    <col min="39" max="41" width="3.88671875" style="1844" hidden="1" customWidth="1"/>
    <col min="42" max="16384" width="3.88671875" style="1844"/>
  </cols>
  <sheetData>
    <row r="1" spans="1:42" ht="15.6">
      <c r="A1" s="1842">
        <f>ROW()</f>
        <v>1</v>
      </c>
      <c r="D1" s="1845" t="s">
        <v>1550</v>
      </c>
      <c r="E1" s="1846"/>
      <c r="F1" s="1847"/>
      <c r="G1" s="1847"/>
      <c r="H1" s="1848"/>
      <c r="I1" s="1849"/>
      <c r="J1" s="1850"/>
      <c r="K1" s="1850"/>
      <c r="L1" s="1850"/>
      <c r="M1" s="1850"/>
      <c r="N1" s="1850"/>
    </row>
    <row r="2" spans="1:42" ht="17.399999999999999">
      <c r="A2" s="1842">
        <f>ROW()</f>
        <v>2</v>
      </c>
      <c r="D2" s="2251" t="str">
        <f>$E$8</f>
        <v>Select a school below</v>
      </c>
      <c r="E2" s="2251"/>
      <c r="F2" s="2251"/>
      <c r="G2" s="1851"/>
      <c r="H2" s="1852"/>
      <c r="I2" s="1853"/>
      <c r="J2" s="1854"/>
      <c r="K2" s="1854"/>
      <c r="L2" s="1854"/>
      <c r="M2" s="1854"/>
      <c r="N2" s="1854"/>
      <c r="AP2" s="1849" t="s">
        <v>1551</v>
      </c>
    </row>
    <row r="3" spans="1:42" ht="14.4">
      <c r="A3" s="1842">
        <f>ROW()</f>
        <v>3</v>
      </c>
      <c r="D3" s="1855" t="s">
        <v>1552</v>
      </c>
      <c r="E3" s="1856">
        <v>1</v>
      </c>
      <c r="F3" s="1857">
        <f>+E3+1</f>
        <v>2</v>
      </c>
      <c r="G3" s="1857">
        <f t="shared" ref="G3:N4" si="0">+F3+1</f>
        <v>3</v>
      </c>
      <c r="H3" s="1857">
        <f t="shared" si="0"/>
        <v>4</v>
      </c>
      <c r="I3" s="1857">
        <f t="shared" si="0"/>
        <v>5</v>
      </c>
      <c r="J3" s="1857">
        <f t="shared" si="0"/>
        <v>6</v>
      </c>
      <c r="K3" s="1857">
        <f t="shared" si="0"/>
        <v>7</v>
      </c>
      <c r="L3" s="1857">
        <f t="shared" si="0"/>
        <v>8</v>
      </c>
      <c r="M3" s="1857">
        <f t="shared" si="0"/>
        <v>9</v>
      </c>
      <c r="N3" s="1857">
        <f t="shared" si="0"/>
        <v>10</v>
      </c>
      <c r="S3" s="1856">
        <f>+E3</f>
        <v>1</v>
      </c>
      <c r="T3" s="1857">
        <f t="shared" ref="T3:X6" si="1">+F3</f>
        <v>2</v>
      </c>
      <c r="U3" s="1857">
        <f t="shared" si="1"/>
        <v>3</v>
      </c>
      <c r="V3" s="1857">
        <f t="shared" si="1"/>
        <v>4</v>
      </c>
      <c r="W3" s="1857">
        <f t="shared" si="1"/>
        <v>5</v>
      </c>
      <c r="X3" s="1857">
        <f t="shared" si="1"/>
        <v>6</v>
      </c>
    </row>
    <row r="4" spans="1:42">
      <c r="A4" s="1842">
        <f>ROW()</f>
        <v>4</v>
      </c>
      <c r="D4" s="1858" t="s">
        <v>1553</v>
      </c>
      <c r="E4" s="1859">
        <f>+E18</f>
        <v>2022</v>
      </c>
      <c r="F4" s="1859">
        <f>+E4+1</f>
        <v>2023</v>
      </c>
      <c r="G4" s="1859">
        <f t="shared" si="0"/>
        <v>2024</v>
      </c>
      <c r="H4" s="1859">
        <f t="shared" si="0"/>
        <v>2025</v>
      </c>
      <c r="I4" s="1859">
        <f t="shared" si="0"/>
        <v>2026</v>
      </c>
      <c r="J4" s="1859">
        <f t="shared" si="0"/>
        <v>2027</v>
      </c>
      <c r="K4" s="1859">
        <f t="shared" si="0"/>
        <v>2028</v>
      </c>
      <c r="L4" s="1859">
        <f t="shared" si="0"/>
        <v>2029</v>
      </c>
      <c r="M4" s="1859">
        <f t="shared" si="0"/>
        <v>2030</v>
      </c>
      <c r="N4" s="1859">
        <f t="shared" si="0"/>
        <v>2031</v>
      </c>
      <c r="S4" s="1859">
        <f t="shared" ref="S4:S6" si="2">+E4</f>
        <v>2022</v>
      </c>
      <c r="T4" s="1859">
        <f t="shared" si="1"/>
        <v>2023</v>
      </c>
      <c r="U4" s="1859">
        <f t="shared" si="1"/>
        <v>2024</v>
      </c>
      <c r="V4" s="1859">
        <f t="shared" si="1"/>
        <v>2025</v>
      </c>
      <c r="W4" s="1859">
        <f t="shared" si="1"/>
        <v>2026</v>
      </c>
      <c r="X4" s="1859">
        <f t="shared" si="1"/>
        <v>2027</v>
      </c>
      <c r="Z4" s="1860" t="str" cm="1">
        <f t="array" aca="1" ref="Z4" ca="1">CELL("filename")</f>
        <v>C:\Users\Nicho\Desktop\[Attachment 2.  Eagle NV RFA 12.16.22.xlsx]CF Y1 Mo</v>
      </c>
    </row>
    <row r="5" spans="1:42">
      <c r="A5" s="1842">
        <f>ROW()</f>
        <v>5</v>
      </c>
      <c r="D5" s="1861" t="s">
        <v>1554</v>
      </c>
      <c r="E5" s="1862">
        <f>+E4+1</f>
        <v>2023</v>
      </c>
      <c r="F5" s="1862">
        <f t="shared" ref="F5:N5" si="3">1+F4</f>
        <v>2024</v>
      </c>
      <c r="G5" s="1862">
        <f t="shared" si="3"/>
        <v>2025</v>
      </c>
      <c r="H5" s="1862">
        <f t="shared" si="3"/>
        <v>2026</v>
      </c>
      <c r="I5" s="1862">
        <f t="shared" si="3"/>
        <v>2027</v>
      </c>
      <c r="J5" s="1862">
        <f t="shared" si="3"/>
        <v>2028</v>
      </c>
      <c r="K5" s="1862">
        <f t="shared" si="3"/>
        <v>2029</v>
      </c>
      <c r="L5" s="1862">
        <f t="shared" si="3"/>
        <v>2030</v>
      </c>
      <c r="M5" s="1862">
        <f t="shared" si="3"/>
        <v>2031</v>
      </c>
      <c r="N5" s="1862">
        <f t="shared" si="3"/>
        <v>2032</v>
      </c>
      <c r="S5" s="1862">
        <f t="shared" si="2"/>
        <v>2023</v>
      </c>
      <c r="T5" s="1862">
        <f t="shared" si="1"/>
        <v>2024</v>
      </c>
      <c r="U5" s="1862">
        <f t="shared" si="1"/>
        <v>2025</v>
      </c>
      <c r="V5" s="1862">
        <f t="shared" si="1"/>
        <v>2026</v>
      </c>
      <c r="W5" s="1862">
        <f t="shared" si="1"/>
        <v>2027</v>
      </c>
      <c r="X5" s="1862">
        <f t="shared" si="1"/>
        <v>2028</v>
      </c>
    </row>
    <row r="6" spans="1:42">
      <c r="A6" s="1842">
        <f>ROW()</f>
        <v>6</v>
      </c>
      <c r="E6" s="1863" t="s">
        <v>1555</v>
      </c>
      <c r="F6" s="1863" t="s">
        <v>1555</v>
      </c>
      <c r="G6" s="1863" t="s">
        <v>1555</v>
      </c>
      <c r="H6" s="1863" t="s">
        <v>1555</v>
      </c>
      <c r="I6" s="1863" t="s">
        <v>1555</v>
      </c>
      <c r="J6" s="1863" t="s">
        <v>1555</v>
      </c>
      <c r="K6" s="1863" t="s">
        <v>1555</v>
      </c>
      <c r="L6" s="1863" t="s">
        <v>1555</v>
      </c>
      <c r="M6" s="1863" t="s">
        <v>1555</v>
      </c>
      <c r="N6" s="1863" t="s">
        <v>1555</v>
      </c>
      <c r="S6" s="1863" t="str">
        <f t="shared" si="2"/>
        <v>Budget</v>
      </c>
      <c r="T6" s="1863" t="str">
        <f t="shared" si="1"/>
        <v>Budget</v>
      </c>
      <c r="U6" s="1863" t="str">
        <f t="shared" si="1"/>
        <v>Budget</v>
      </c>
      <c r="V6" s="1863" t="str">
        <f t="shared" si="1"/>
        <v>Budget</v>
      </c>
      <c r="W6" s="1863" t="str">
        <f t="shared" si="1"/>
        <v>Budget</v>
      </c>
      <c r="X6" s="1863" t="str">
        <f t="shared" si="1"/>
        <v>Budget</v>
      </c>
    </row>
    <row r="7" spans="1:42">
      <c r="A7" s="1842">
        <f>ROW()</f>
        <v>7</v>
      </c>
    </row>
    <row r="8" spans="1:42" ht="13.8">
      <c r="A8" s="1842">
        <f>ROW()</f>
        <v>8</v>
      </c>
      <c r="D8" s="1864" t="s">
        <v>1556</v>
      </c>
      <c r="E8" s="2252" t="s">
        <v>1557</v>
      </c>
      <c r="F8" s="2253"/>
      <c r="G8" s="2254"/>
      <c r="H8" s="1865" t="s">
        <v>1558</v>
      </c>
      <c r="I8" s="1866"/>
      <c r="J8" s="1866"/>
      <c r="AC8" s="1867">
        <f t="shared" ref="AC8:AO23" ca="1" si="4">CELL("protect",A8)</f>
        <v>1</v>
      </c>
      <c r="AD8" s="1867">
        <f t="shared" ca="1" si="4"/>
        <v>1</v>
      </c>
      <c r="AE8" s="1867">
        <f t="shared" ca="1" si="4"/>
        <v>1</v>
      </c>
      <c r="AF8" s="1867">
        <f t="shared" ca="1" si="4"/>
        <v>1</v>
      </c>
      <c r="AG8" s="1867">
        <f t="shared" ca="1" si="4"/>
        <v>0</v>
      </c>
      <c r="AH8" s="1867">
        <f t="shared" ca="1" si="4"/>
        <v>0</v>
      </c>
      <c r="AI8" s="1867">
        <f t="shared" ca="1" si="4"/>
        <v>0</v>
      </c>
      <c r="AJ8" s="1867">
        <f t="shared" ca="1" si="4"/>
        <v>1</v>
      </c>
      <c r="AK8" s="1867">
        <f t="shared" ca="1" si="4"/>
        <v>1</v>
      </c>
      <c r="AL8" s="1867">
        <f t="shared" ca="1" si="4"/>
        <v>1</v>
      </c>
      <c r="AM8" s="1867">
        <f t="shared" ca="1" si="4"/>
        <v>1</v>
      </c>
      <c r="AN8" s="1868">
        <f t="shared" ca="1" si="4"/>
        <v>1</v>
      </c>
      <c r="AO8" s="1867">
        <f t="shared" ca="1" si="4"/>
        <v>1</v>
      </c>
    </row>
    <row r="9" spans="1:42" ht="13.8">
      <c r="A9" s="1842">
        <f>ROW()</f>
        <v>9</v>
      </c>
      <c r="D9" s="1864"/>
      <c r="E9" s="1869"/>
      <c r="F9" s="1869"/>
      <c r="G9" s="1870"/>
      <c r="H9" s="1865"/>
      <c r="I9" s="1866"/>
      <c r="J9" s="1866"/>
      <c r="AC9" s="1867">
        <f t="shared" ca="1" si="4"/>
        <v>1</v>
      </c>
      <c r="AD9" s="1867">
        <f t="shared" ca="1" si="4"/>
        <v>1</v>
      </c>
      <c r="AE9" s="1867">
        <f t="shared" ca="1" si="4"/>
        <v>1</v>
      </c>
      <c r="AF9" s="1867">
        <f t="shared" ca="1" si="4"/>
        <v>1</v>
      </c>
      <c r="AG9" s="1867">
        <f t="shared" ca="1" si="4"/>
        <v>1</v>
      </c>
      <c r="AH9" s="1867">
        <f t="shared" ca="1" si="4"/>
        <v>1</v>
      </c>
      <c r="AI9" s="1867">
        <f t="shared" ca="1" si="4"/>
        <v>1</v>
      </c>
      <c r="AJ9" s="1867">
        <f t="shared" ca="1" si="4"/>
        <v>1</v>
      </c>
      <c r="AK9" s="1867">
        <f t="shared" ca="1" si="4"/>
        <v>1</v>
      </c>
      <c r="AL9" s="1867">
        <f t="shared" ca="1" si="4"/>
        <v>1</v>
      </c>
      <c r="AM9" s="1867">
        <f t="shared" ca="1" si="4"/>
        <v>1</v>
      </c>
      <c r="AN9" s="1868">
        <f t="shared" ca="1" si="4"/>
        <v>1</v>
      </c>
      <c r="AO9" s="1867">
        <f t="shared" ca="1" si="4"/>
        <v>1</v>
      </c>
    </row>
    <row r="10" spans="1:42" ht="15" customHeight="1">
      <c r="A10" s="1842">
        <f>ROW()</f>
        <v>10</v>
      </c>
      <c r="D10" s="1864" t="s">
        <v>1559</v>
      </c>
      <c r="E10" s="2255"/>
      <c r="F10" s="2249"/>
      <c r="G10" s="2256"/>
      <c r="H10" s="1865" t="s">
        <v>1560</v>
      </c>
      <c r="I10" s="1866"/>
      <c r="J10" s="1866"/>
      <c r="AC10" s="1867">
        <f t="shared" ca="1" si="4"/>
        <v>1</v>
      </c>
      <c r="AD10" s="1867">
        <f t="shared" ca="1" si="4"/>
        <v>1</v>
      </c>
      <c r="AE10" s="1867">
        <f t="shared" ca="1" si="4"/>
        <v>1</v>
      </c>
      <c r="AF10" s="1867">
        <f t="shared" ca="1" si="4"/>
        <v>1</v>
      </c>
      <c r="AG10" s="1867">
        <f t="shared" ca="1" si="4"/>
        <v>0</v>
      </c>
      <c r="AH10" s="1867">
        <f t="shared" ca="1" si="4"/>
        <v>0</v>
      </c>
      <c r="AI10" s="1867">
        <f t="shared" ca="1" si="4"/>
        <v>0</v>
      </c>
      <c r="AJ10" s="1867">
        <f t="shared" ca="1" si="4"/>
        <v>1</v>
      </c>
      <c r="AK10" s="1867">
        <f t="shared" ca="1" si="4"/>
        <v>1</v>
      </c>
      <c r="AL10" s="1867">
        <f t="shared" ca="1" si="4"/>
        <v>1</v>
      </c>
      <c r="AM10" s="1867">
        <f t="shared" ca="1" si="4"/>
        <v>1</v>
      </c>
      <c r="AN10" s="1868">
        <f t="shared" ca="1" si="4"/>
        <v>1</v>
      </c>
      <c r="AO10" s="1867">
        <f t="shared" ca="1" si="4"/>
        <v>1</v>
      </c>
    </row>
    <row r="11" spans="1:42" ht="13.8">
      <c r="A11" s="1842">
        <f>ROW()</f>
        <v>11</v>
      </c>
      <c r="D11" s="1864"/>
      <c r="E11" s="2255"/>
      <c r="F11" s="2249"/>
      <c r="G11" s="2256"/>
      <c r="H11" s="1865" t="s">
        <v>1561</v>
      </c>
      <c r="I11" s="1866"/>
      <c r="J11" s="1866"/>
      <c r="AC11" s="1867">
        <f t="shared" ca="1" si="4"/>
        <v>1</v>
      </c>
      <c r="AD11" s="1867">
        <f t="shared" ca="1" si="4"/>
        <v>1</v>
      </c>
      <c r="AE11" s="1867">
        <f t="shared" ca="1" si="4"/>
        <v>1</v>
      </c>
      <c r="AF11" s="1867">
        <f t="shared" ca="1" si="4"/>
        <v>1</v>
      </c>
      <c r="AG11" s="1867">
        <f t="shared" ca="1" si="4"/>
        <v>0</v>
      </c>
      <c r="AH11" s="1867">
        <f t="shared" ca="1" si="4"/>
        <v>0</v>
      </c>
      <c r="AI11" s="1867">
        <f t="shared" ca="1" si="4"/>
        <v>0</v>
      </c>
      <c r="AJ11" s="1867">
        <f t="shared" ca="1" si="4"/>
        <v>1</v>
      </c>
      <c r="AK11" s="1867">
        <f t="shared" ca="1" si="4"/>
        <v>1</v>
      </c>
      <c r="AL11" s="1867">
        <f t="shared" ca="1" si="4"/>
        <v>1</v>
      </c>
      <c r="AM11" s="1867">
        <f t="shared" ca="1" si="4"/>
        <v>1</v>
      </c>
      <c r="AN11" s="1868">
        <f t="shared" ca="1" si="4"/>
        <v>1</v>
      </c>
      <c r="AO11" s="1867">
        <f t="shared" ca="1" si="4"/>
        <v>1</v>
      </c>
    </row>
    <row r="12" spans="1:42" ht="13.8">
      <c r="A12" s="1842">
        <f>ROW()</f>
        <v>12</v>
      </c>
      <c r="D12" s="1864"/>
      <c r="E12" s="2255"/>
      <c r="F12" s="2249"/>
      <c r="G12" s="2256"/>
      <c r="H12" s="1865" t="s">
        <v>79</v>
      </c>
      <c r="I12" s="1865"/>
      <c r="J12" s="1866"/>
      <c r="AC12" s="1867">
        <f t="shared" ca="1" si="4"/>
        <v>1</v>
      </c>
      <c r="AD12" s="1867">
        <f t="shared" ca="1" si="4"/>
        <v>1</v>
      </c>
      <c r="AE12" s="1867">
        <f t="shared" ca="1" si="4"/>
        <v>1</v>
      </c>
      <c r="AF12" s="1867">
        <f t="shared" ca="1" si="4"/>
        <v>1</v>
      </c>
      <c r="AG12" s="1867">
        <f t="shared" ca="1" si="4"/>
        <v>0</v>
      </c>
      <c r="AH12" s="1867">
        <f t="shared" ca="1" si="4"/>
        <v>0</v>
      </c>
      <c r="AI12" s="1867">
        <f t="shared" ca="1" si="4"/>
        <v>0</v>
      </c>
      <c r="AJ12" s="1867">
        <f t="shared" ca="1" si="4"/>
        <v>1</v>
      </c>
      <c r="AK12" s="1867">
        <f t="shared" ca="1" si="4"/>
        <v>1</v>
      </c>
      <c r="AL12" s="1867">
        <f t="shared" ca="1" si="4"/>
        <v>1</v>
      </c>
      <c r="AM12" s="1867">
        <f t="shared" ca="1" si="4"/>
        <v>1</v>
      </c>
      <c r="AN12" s="1868">
        <f t="shared" ca="1" si="4"/>
        <v>1</v>
      </c>
      <c r="AO12" s="1867">
        <f t="shared" ca="1" si="4"/>
        <v>1</v>
      </c>
    </row>
    <row r="13" spans="1:42" ht="13.8">
      <c r="A13" s="1842">
        <f>ROW()</f>
        <v>13</v>
      </c>
      <c r="D13" s="1864"/>
      <c r="E13" s="2255"/>
      <c r="F13" s="2249"/>
      <c r="G13" s="2256"/>
      <c r="H13" s="1865" t="s">
        <v>1562</v>
      </c>
      <c r="I13" s="1866"/>
      <c r="J13" s="1866"/>
      <c r="AC13" s="1867">
        <f t="shared" ca="1" si="4"/>
        <v>1</v>
      </c>
      <c r="AD13" s="1867">
        <f t="shared" ca="1" si="4"/>
        <v>1</v>
      </c>
      <c r="AE13" s="1867">
        <f t="shared" ca="1" si="4"/>
        <v>1</v>
      </c>
      <c r="AF13" s="1867">
        <f t="shared" ca="1" si="4"/>
        <v>1</v>
      </c>
      <c r="AG13" s="1867">
        <f t="shared" ca="1" si="4"/>
        <v>0</v>
      </c>
      <c r="AH13" s="1867">
        <f t="shared" ca="1" si="4"/>
        <v>0</v>
      </c>
      <c r="AI13" s="1867">
        <f t="shared" ca="1" si="4"/>
        <v>0</v>
      </c>
      <c r="AJ13" s="1867">
        <f t="shared" ca="1" si="4"/>
        <v>1</v>
      </c>
      <c r="AK13" s="1867">
        <f t="shared" ca="1" si="4"/>
        <v>1</v>
      </c>
      <c r="AL13" s="1867">
        <f t="shared" ca="1" si="4"/>
        <v>1</v>
      </c>
      <c r="AM13" s="1867">
        <f t="shared" ca="1" si="4"/>
        <v>1</v>
      </c>
      <c r="AN13" s="1868">
        <f t="shared" ca="1" si="4"/>
        <v>1</v>
      </c>
      <c r="AO13" s="1867">
        <f t="shared" ca="1" si="4"/>
        <v>1</v>
      </c>
    </row>
    <row r="14" spans="1:42" ht="13.8">
      <c r="A14" s="1842">
        <f>ROW()</f>
        <v>14</v>
      </c>
      <c r="D14" s="1864"/>
      <c r="E14" s="2255"/>
      <c r="F14" s="2249"/>
      <c r="G14" s="2256"/>
      <c r="H14" s="1865" t="s">
        <v>1563</v>
      </c>
      <c r="I14" s="1866"/>
      <c r="J14" s="1866"/>
      <c r="AC14" s="1867">
        <f t="shared" ca="1" si="4"/>
        <v>1</v>
      </c>
      <c r="AD14" s="1867">
        <f t="shared" ca="1" si="4"/>
        <v>1</v>
      </c>
      <c r="AE14" s="1867">
        <f t="shared" ca="1" si="4"/>
        <v>1</v>
      </c>
      <c r="AF14" s="1867">
        <f t="shared" ca="1" si="4"/>
        <v>1</v>
      </c>
      <c r="AG14" s="1867">
        <f t="shared" ca="1" si="4"/>
        <v>0</v>
      </c>
      <c r="AH14" s="1867">
        <f t="shared" ca="1" si="4"/>
        <v>0</v>
      </c>
      <c r="AI14" s="1867">
        <f t="shared" ca="1" si="4"/>
        <v>0</v>
      </c>
      <c r="AJ14" s="1867">
        <f t="shared" ca="1" si="4"/>
        <v>1</v>
      </c>
      <c r="AK14" s="1867">
        <f t="shared" ca="1" si="4"/>
        <v>1</v>
      </c>
      <c r="AL14" s="1867">
        <f t="shared" ca="1" si="4"/>
        <v>1</v>
      </c>
      <c r="AM14" s="1867">
        <f t="shared" ca="1" si="4"/>
        <v>1</v>
      </c>
      <c r="AN14" s="1868">
        <f t="shared" ca="1" si="4"/>
        <v>1</v>
      </c>
      <c r="AO14" s="1867">
        <f t="shared" ca="1" si="4"/>
        <v>1</v>
      </c>
    </row>
    <row r="15" spans="1:42">
      <c r="A15" s="1842">
        <f>ROW()</f>
        <v>15</v>
      </c>
      <c r="D15" s="1866"/>
      <c r="E15" s="1869"/>
      <c r="F15" s="1869"/>
      <c r="G15" s="1866"/>
      <c r="H15" s="1866"/>
      <c r="I15" s="1866"/>
      <c r="J15" s="1866"/>
      <c r="AC15" s="1867">
        <f t="shared" ca="1" si="4"/>
        <v>1</v>
      </c>
      <c r="AD15" s="1867">
        <f t="shared" ca="1" si="4"/>
        <v>1</v>
      </c>
      <c r="AE15" s="1867">
        <f t="shared" ca="1" si="4"/>
        <v>1</v>
      </c>
      <c r="AF15" s="1867">
        <f t="shared" ca="1" si="4"/>
        <v>1</v>
      </c>
      <c r="AG15" s="1867">
        <f t="shared" ca="1" si="4"/>
        <v>1</v>
      </c>
      <c r="AH15" s="1867">
        <f t="shared" ca="1" si="4"/>
        <v>1</v>
      </c>
      <c r="AI15" s="1867">
        <f t="shared" ca="1" si="4"/>
        <v>1</v>
      </c>
      <c r="AJ15" s="1867">
        <f t="shared" ca="1" si="4"/>
        <v>1</v>
      </c>
      <c r="AK15" s="1867">
        <f t="shared" ca="1" si="4"/>
        <v>1</v>
      </c>
      <c r="AL15" s="1867">
        <f t="shared" ca="1" si="4"/>
        <v>1</v>
      </c>
      <c r="AM15" s="1867">
        <f t="shared" ca="1" si="4"/>
        <v>1</v>
      </c>
      <c r="AN15" s="1868">
        <f t="shared" ca="1" si="4"/>
        <v>1</v>
      </c>
      <c r="AO15" s="1867">
        <f t="shared" ca="1" si="4"/>
        <v>1</v>
      </c>
    </row>
    <row r="16" spans="1:42" ht="13.8">
      <c r="A16" s="1842">
        <f>ROW()</f>
        <v>16</v>
      </c>
      <c r="D16" s="1871" t="s">
        <v>1564</v>
      </c>
      <c r="E16" s="1872">
        <v>2022</v>
      </c>
      <c r="F16" s="1873" t="s">
        <v>1565</v>
      </c>
      <c r="G16" s="1874"/>
      <c r="H16" s="1874"/>
      <c r="I16" s="1874"/>
      <c r="J16" s="1875"/>
      <c r="AC16" s="1867">
        <f t="shared" ca="1" si="4"/>
        <v>1</v>
      </c>
      <c r="AD16" s="1867">
        <f t="shared" ca="1" si="4"/>
        <v>1</v>
      </c>
      <c r="AE16" s="1867">
        <f t="shared" ca="1" si="4"/>
        <v>1</v>
      </c>
      <c r="AF16" s="1867">
        <f t="shared" ca="1" si="4"/>
        <v>1</v>
      </c>
      <c r="AG16" s="1867">
        <f t="shared" ca="1" si="4"/>
        <v>0</v>
      </c>
      <c r="AH16" s="1867">
        <f t="shared" ca="1" si="4"/>
        <v>1</v>
      </c>
      <c r="AI16" s="1867">
        <f t="shared" ca="1" si="4"/>
        <v>1</v>
      </c>
      <c r="AJ16" s="1867">
        <f t="shared" ca="1" si="4"/>
        <v>1</v>
      </c>
      <c r="AK16" s="1867">
        <f t="shared" ca="1" si="4"/>
        <v>1</v>
      </c>
      <c r="AL16" s="1867">
        <f t="shared" ca="1" si="4"/>
        <v>1</v>
      </c>
      <c r="AM16" s="1867">
        <f t="shared" ca="1" si="4"/>
        <v>1</v>
      </c>
      <c r="AN16" s="1868">
        <f t="shared" ca="1" si="4"/>
        <v>1</v>
      </c>
      <c r="AO16" s="1867">
        <f t="shared" ca="1" si="4"/>
        <v>1</v>
      </c>
    </row>
    <row r="17" spans="1:46" ht="13.8">
      <c r="A17" s="1842">
        <f>ROW()</f>
        <v>17</v>
      </c>
      <c r="D17" s="1876" t="s">
        <v>1566</v>
      </c>
      <c r="E17" s="1877">
        <f>+E16+1</f>
        <v>2023</v>
      </c>
      <c r="F17" s="1878"/>
      <c r="G17" s="1879"/>
      <c r="H17" s="1879"/>
      <c r="I17" s="1879"/>
      <c r="J17" s="1880"/>
      <c r="AC17" s="1867">
        <f t="shared" ca="1" si="4"/>
        <v>1</v>
      </c>
      <c r="AD17" s="1867">
        <f t="shared" ca="1" si="4"/>
        <v>1</v>
      </c>
      <c r="AE17" s="1867">
        <f t="shared" ca="1" si="4"/>
        <v>1</v>
      </c>
      <c r="AF17" s="1867">
        <f t="shared" ca="1" si="4"/>
        <v>1</v>
      </c>
      <c r="AG17" s="1867">
        <f t="shared" ca="1" si="4"/>
        <v>0</v>
      </c>
      <c r="AH17" s="1867">
        <f t="shared" ca="1" si="4"/>
        <v>1</v>
      </c>
      <c r="AI17" s="1867">
        <f t="shared" ca="1" si="4"/>
        <v>1</v>
      </c>
      <c r="AJ17" s="1867">
        <f t="shared" ca="1" si="4"/>
        <v>1</v>
      </c>
      <c r="AK17" s="1867">
        <f t="shared" ca="1" si="4"/>
        <v>1</v>
      </c>
      <c r="AL17" s="1867">
        <f t="shared" ca="1" si="4"/>
        <v>1</v>
      </c>
      <c r="AM17" s="1867">
        <f t="shared" ca="1" si="4"/>
        <v>1</v>
      </c>
      <c r="AN17" s="1868">
        <f t="shared" ca="1" si="4"/>
        <v>1</v>
      </c>
      <c r="AO17" s="1867">
        <f t="shared" ca="1" si="4"/>
        <v>1</v>
      </c>
    </row>
    <row r="18" spans="1:46" ht="13.8">
      <c r="A18" s="1842">
        <f>ROW()</f>
        <v>18</v>
      </c>
      <c r="D18" s="1871" t="s">
        <v>1567</v>
      </c>
      <c r="E18" s="1872">
        <f>+E16</f>
        <v>2022</v>
      </c>
      <c r="F18" s="1881" t="s">
        <v>1568</v>
      </c>
      <c r="G18" s="1882"/>
      <c r="H18" s="1883"/>
      <c r="I18" s="1883"/>
      <c r="J18" s="1884"/>
      <c r="AC18" s="1867">
        <f t="shared" ca="1" si="4"/>
        <v>1</v>
      </c>
      <c r="AD18" s="1867">
        <f t="shared" ca="1" si="4"/>
        <v>1</v>
      </c>
      <c r="AE18" s="1867">
        <f t="shared" ca="1" si="4"/>
        <v>1</v>
      </c>
      <c r="AF18" s="1867">
        <f t="shared" ca="1" si="4"/>
        <v>1</v>
      </c>
      <c r="AG18" s="1867">
        <f t="shared" ca="1" si="4"/>
        <v>0</v>
      </c>
      <c r="AH18" s="1867">
        <f t="shared" ca="1" si="4"/>
        <v>1</v>
      </c>
      <c r="AI18" s="1867">
        <f t="shared" ca="1" si="4"/>
        <v>1</v>
      </c>
      <c r="AJ18" s="1867">
        <f t="shared" ca="1" si="4"/>
        <v>1</v>
      </c>
      <c r="AK18" s="1867">
        <f t="shared" ca="1" si="4"/>
        <v>1</v>
      </c>
      <c r="AL18" s="1867">
        <f t="shared" ca="1" si="4"/>
        <v>1</v>
      </c>
      <c r="AM18" s="1867">
        <f t="shared" ca="1" si="4"/>
        <v>1</v>
      </c>
      <c r="AN18" s="1868">
        <f t="shared" ca="1" si="4"/>
        <v>1</v>
      </c>
      <c r="AO18" s="1867">
        <f t="shared" ca="1" si="4"/>
        <v>1</v>
      </c>
    </row>
    <row r="19" spans="1:46" ht="13.8">
      <c r="A19" s="1842">
        <f>ROW()</f>
        <v>19</v>
      </c>
      <c r="D19" s="1876" t="s">
        <v>1569</v>
      </c>
      <c r="E19" s="1877">
        <f>1+E18</f>
        <v>2023</v>
      </c>
      <c r="F19" s="1878" t="s">
        <v>1570</v>
      </c>
      <c r="G19" s="1885"/>
      <c r="H19" s="1879"/>
      <c r="I19" s="1879"/>
      <c r="J19" s="1880"/>
      <c r="AC19" s="1867">
        <f t="shared" ca="1" si="4"/>
        <v>1</v>
      </c>
      <c r="AD19" s="1867">
        <f t="shared" ca="1" si="4"/>
        <v>1</v>
      </c>
      <c r="AE19" s="1867">
        <f t="shared" ca="1" si="4"/>
        <v>1</v>
      </c>
      <c r="AF19" s="1867">
        <f t="shared" ca="1" si="4"/>
        <v>1</v>
      </c>
      <c r="AG19" s="1867">
        <f t="shared" ca="1" si="4"/>
        <v>0</v>
      </c>
      <c r="AH19" s="1867">
        <f t="shared" ca="1" si="4"/>
        <v>1</v>
      </c>
      <c r="AI19" s="1867">
        <f t="shared" ca="1" si="4"/>
        <v>1</v>
      </c>
      <c r="AJ19" s="1867">
        <f t="shared" ca="1" si="4"/>
        <v>1</v>
      </c>
      <c r="AK19" s="1867">
        <f t="shared" ca="1" si="4"/>
        <v>1</v>
      </c>
      <c r="AL19" s="1867">
        <f t="shared" ca="1" si="4"/>
        <v>1</v>
      </c>
      <c r="AM19" s="1867">
        <f t="shared" ca="1" si="4"/>
        <v>1</v>
      </c>
      <c r="AN19" s="1868">
        <f t="shared" ca="1" si="4"/>
        <v>1</v>
      </c>
      <c r="AO19" s="1867">
        <f t="shared" ca="1" si="4"/>
        <v>1</v>
      </c>
    </row>
    <row r="20" spans="1:46" ht="14.4">
      <c r="A20" s="1842">
        <f>ROW()</f>
        <v>20</v>
      </c>
      <c r="B20" s="1886"/>
      <c r="D20" s="1887" t="s">
        <v>1571</v>
      </c>
      <c r="E20" s="1869"/>
      <c r="F20" s="1869"/>
      <c r="G20" s="1870"/>
      <c r="H20" s="1870"/>
      <c r="I20" s="1870"/>
      <c r="J20" s="1870"/>
      <c r="K20" s="1888"/>
      <c r="L20" s="1888"/>
      <c r="M20" s="1888"/>
      <c r="N20" s="1888"/>
      <c r="O20" s="1888"/>
      <c r="P20" s="1889"/>
      <c r="AC20" s="1867">
        <f t="shared" ca="1" si="4"/>
        <v>1</v>
      </c>
      <c r="AD20" s="1867">
        <f t="shared" ca="1" si="4"/>
        <v>1</v>
      </c>
      <c r="AE20" s="1867">
        <f t="shared" ca="1" si="4"/>
        <v>1</v>
      </c>
      <c r="AF20" s="1867">
        <f t="shared" ca="1" si="4"/>
        <v>1</v>
      </c>
      <c r="AG20" s="1867">
        <f t="shared" ca="1" si="4"/>
        <v>1</v>
      </c>
      <c r="AH20" s="1867">
        <f t="shared" ca="1" si="4"/>
        <v>1</v>
      </c>
      <c r="AI20" s="1867">
        <f t="shared" ca="1" si="4"/>
        <v>1</v>
      </c>
      <c r="AJ20" s="1867">
        <f t="shared" ca="1" si="4"/>
        <v>1</v>
      </c>
      <c r="AK20" s="1867">
        <f t="shared" ca="1" si="4"/>
        <v>1</v>
      </c>
      <c r="AL20" s="1867">
        <f t="shared" ca="1" si="4"/>
        <v>1</v>
      </c>
      <c r="AM20" s="1867">
        <f t="shared" ca="1" si="4"/>
        <v>1</v>
      </c>
      <c r="AN20" s="1868">
        <f t="shared" ca="1" si="4"/>
        <v>1</v>
      </c>
      <c r="AO20" s="1867">
        <f t="shared" ca="1" si="4"/>
        <v>1</v>
      </c>
      <c r="AP20" s="1866"/>
    </row>
    <row r="21" spans="1:46" ht="14.4">
      <c r="A21" s="1842">
        <f>ROW()</f>
        <v>21</v>
      </c>
      <c r="B21" s="1886"/>
      <c r="D21" s="1890" t="s">
        <v>1572</v>
      </c>
      <c r="E21" s="1891"/>
      <c r="F21" s="1882"/>
      <c r="G21" s="1882"/>
      <c r="H21" s="1882"/>
      <c r="I21" s="1882"/>
      <c r="J21" s="1870"/>
      <c r="K21" s="1888"/>
      <c r="L21" s="1888"/>
      <c r="M21" s="1888"/>
      <c r="N21" s="1888"/>
      <c r="O21" s="1888"/>
      <c r="P21" s="1889"/>
      <c r="AC21" s="1867">
        <f t="shared" ca="1" si="4"/>
        <v>1</v>
      </c>
      <c r="AD21" s="1867">
        <f t="shared" ca="1" si="4"/>
        <v>1</v>
      </c>
      <c r="AE21" s="1867">
        <f t="shared" ca="1" si="4"/>
        <v>1</v>
      </c>
      <c r="AF21" s="1867">
        <f t="shared" ca="1" si="4"/>
        <v>1</v>
      </c>
      <c r="AG21" s="1867">
        <f t="shared" ca="1" si="4"/>
        <v>1</v>
      </c>
      <c r="AH21" s="1867">
        <f t="shared" ca="1" si="4"/>
        <v>1</v>
      </c>
      <c r="AI21" s="1867">
        <f t="shared" ca="1" si="4"/>
        <v>1</v>
      </c>
      <c r="AJ21" s="1867">
        <f t="shared" ca="1" si="4"/>
        <v>1</v>
      </c>
      <c r="AK21" s="1867">
        <f t="shared" ca="1" si="4"/>
        <v>1</v>
      </c>
      <c r="AL21" s="1867">
        <f t="shared" ca="1" si="4"/>
        <v>1</v>
      </c>
      <c r="AM21" s="1867">
        <f t="shared" ca="1" si="4"/>
        <v>1</v>
      </c>
      <c r="AN21" s="1868">
        <f t="shared" ca="1" si="4"/>
        <v>1</v>
      </c>
      <c r="AO21" s="1867">
        <f t="shared" ca="1" si="4"/>
        <v>1</v>
      </c>
      <c r="AP21" s="1866"/>
    </row>
    <row r="22" spans="1:46" ht="14.4">
      <c r="A22" s="1842">
        <f>ROW()</f>
        <v>22</v>
      </c>
      <c r="B22" s="1886"/>
      <c r="D22" s="1892" t="s">
        <v>1573</v>
      </c>
      <c r="E22" s="1893"/>
      <c r="F22" s="1894"/>
      <c r="G22" s="1894"/>
      <c r="H22" s="1894"/>
      <c r="I22" s="1894"/>
      <c r="J22" s="1870"/>
      <c r="K22" s="1888"/>
      <c r="L22" s="1888"/>
      <c r="M22" s="1888"/>
      <c r="N22" s="1888"/>
      <c r="O22" s="1888"/>
      <c r="P22" s="1895"/>
      <c r="AC22" s="1867">
        <f t="shared" ca="1" si="4"/>
        <v>1</v>
      </c>
      <c r="AD22" s="1867">
        <f t="shared" ca="1" si="4"/>
        <v>1</v>
      </c>
      <c r="AE22" s="1867">
        <f t="shared" ca="1" si="4"/>
        <v>1</v>
      </c>
      <c r="AF22" s="1867">
        <f t="shared" ca="1" si="4"/>
        <v>1</v>
      </c>
      <c r="AG22" s="1867">
        <f t="shared" ca="1" si="4"/>
        <v>1</v>
      </c>
      <c r="AH22" s="1867">
        <f t="shared" ca="1" si="4"/>
        <v>1</v>
      </c>
      <c r="AI22" s="1867">
        <f t="shared" ca="1" si="4"/>
        <v>1</v>
      </c>
      <c r="AJ22" s="1867">
        <f t="shared" ca="1" si="4"/>
        <v>1</v>
      </c>
      <c r="AK22" s="1867">
        <f t="shared" ca="1" si="4"/>
        <v>1</v>
      </c>
      <c r="AL22" s="1867">
        <f t="shared" ca="1" si="4"/>
        <v>1</v>
      </c>
      <c r="AM22" s="1867">
        <f t="shared" ca="1" si="4"/>
        <v>1</v>
      </c>
      <c r="AN22" s="1868">
        <f t="shared" ca="1" si="4"/>
        <v>1</v>
      </c>
      <c r="AO22" s="1867">
        <f t="shared" ca="1" si="4"/>
        <v>1</v>
      </c>
      <c r="AP22" s="1866"/>
    </row>
    <row r="23" spans="1:46" ht="14.4">
      <c r="A23" s="1842">
        <f>ROW()</f>
        <v>23</v>
      </c>
      <c r="B23" s="1886"/>
      <c r="D23" s="1866"/>
      <c r="E23" s="1869"/>
      <c r="F23" s="1869"/>
      <c r="G23" s="1866"/>
      <c r="H23" s="1866"/>
      <c r="I23" s="1866"/>
      <c r="J23" s="1866"/>
      <c r="O23" s="1888"/>
      <c r="P23" s="1895"/>
      <c r="AC23" s="1867">
        <f t="shared" ca="1" si="4"/>
        <v>1</v>
      </c>
      <c r="AD23" s="1867">
        <f t="shared" ca="1" si="4"/>
        <v>1</v>
      </c>
      <c r="AE23" s="1867">
        <f t="shared" ca="1" si="4"/>
        <v>1</v>
      </c>
      <c r="AF23" s="1867">
        <f t="shared" ca="1" si="4"/>
        <v>1</v>
      </c>
      <c r="AG23" s="1867">
        <f t="shared" ca="1" si="4"/>
        <v>1</v>
      </c>
      <c r="AH23" s="1867">
        <f t="shared" ca="1" si="4"/>
        <v>1</v>
      </c>
      <c r="AI23" s="1867">
        <f t="shared" ca="1" si="4"/>
        <v>1</v>
      </c>
      <c r="AJ23" s="1867">
        <f t="shared" ca="1" si="4"/>
        <v>1</v>
      </c>
      <c r="AK23" s="1867">
        <f t="shared" ca="1" si="4"/>
        <v>1</v>
      </c>
      <c r="AL23" s="1867">
        <f t="shared" ca="1" si="4"/>
        <v>1</v>
      </c>
      <c r="AM23" s="1867">
        <f t="shared" ca="1" si="4"/>
        <v>1</v>
      </c>
      <c r="AN23" s="1868">
        <f t="shared" ca="1" si="4"/>
        <v>1</v>
      </c>
      <c r="AO23" s="1867">
        <f t="shared" ca="1" si="4"/>
        <v>1</v>
      </c>
      <c r="AP23" s="1866"/>
    </row>
    <row r="24" spans="1:46" ht="14.4">
      <c r="A24" s="1842">
        <f>ROW()</f>
        <v>24</v>
      </c>
      <c r="B24" s="1886"/>
      <c r="C24" s="1896" t="s">
        <v>1574</v>
      </c>
      <c r="D24" s="1874"/>
      <c r="E24" s="1897" t="s">
        <v>1575</v>
      </c>
      <c r="F24" s="1898" t="s">
        <v>1576</v>
      </c>
      <c r="G24" s="1899"/>
      <c r="H24" s="1900" t="s">
        <v>1577</v>
      </c>
      <c r="I24" s="1866"/>
      <c r="J24" s="1866"/>
      <c r="O24" s="1888"/>
      <c r="P24" s="1895"/>
      <c r="AC24" s="1867">
        <f t="shared" ref="AC24:AO33" ca="1" si="5">CELL("protect",A24)</f>
        <v>1</v>
      </c>
      <c r="AD24" s="1867">
        <f t="shared" ca="1" si="5"/>
        <v>1</v>
      </c>
      <c r="AE24" s="1867">
        <f t="shared" ca="1" si="5"/>
        <v>1</v>
      </c>
      <c r="AF24" s="1867">
        <f t="shared" ca="1" si="5"/>
        <v>1</v>
      </c>
      <c r="AG24" s="1867">
        <f t="shared" ca="1" si="5"/>
        <v>1</v>
      </c>
      <c r="AH24" s="1867">
        <f t="shared" ca="1" si="5"/>
        <v>1</v>
      </c>
      <c r="AI24" s="1867">
        <f t="shared" ca="1" si="5"/>
        <v>1</v>
      </c>
      <c r="AJ24" s="1867">
        <f t="shared" ca="1" si="5"/>
        <v>1</v>
      </c>
      <c r="AK24" s="1867">
        <f t="shared" ca="1" si="5"/>
        <v>1</v>
      </c>
      <c r="AL24" s="1867">
        <f t="shared" ca="1" si="5"/>
        <v>1</v>
      </c>
      <c r="AM24" s="1867">
        <f t="shared" ca="1" si="5"/>
        <v>1</v>
      </c>
      <c r="AN24" s="1868">
        <f t="shared" ca="1" si="5"/>
        <v>1</v>
      </c>
      <c r="AO24" s="1867">
        <f t="shared" ca="1" si="5"/>
        <v>1</v>
      </c>
      <c r="AP24" s="1866"/>
    </row>
    <row r="25" spans="1:46" ht="14.4">
      <c r="A25" s="1842">
        <f>ROW()</f>
        <v>25</v>
      </c>
      <c r="B25" s="1886"/>
      <c r="C25" s="1901" t="s">
        <v>1578</v>
      </c>
      <c r="D25" s="1902"/>
      <c r="E25" s="1903" t="s">
        <v>1579</v>
      </c>
      <c r="F25" s="1904"/>
      <c r="G25" s="1904"/>
      <c r="H25" s="1866"/>
      <c r="I25" s="1866"/>
      <c r="J25" s="1866"/>
      <c r="O25" s="1888"/>
      <c r="P25" s="1895"/>
      <c r="AC25" s="1867">
        <f t="shared" ca="1" si="5"/>
        <v>1</v>
      </c>
      <c r="AD25" s="1867">
        <f t="shared" ca="1" si="5"/>
        <v>1</v>
      </c>
      <c r="AE25" s="1867">
        <f t="shared" ca="1" si="5"/>
        <v>1</v>
      </c>
      <c r="AF25" s="1867">
        <f t="shared" ca="1" si="5"/>
        <v>1</v>
      </c>
      <c r="AG25" s="1867">
        <f t="shared" ca="1" si="5"/>
        <v>1</v>
      </c>
      <c r="AH25" s="1867">
        <f t="shared" ca="1" si="5"/>
        <v>1</v>
      </c>
      <c r="AI25" s="1867">
        <f t="shared" ca="1" si="5"/>
        <v>1</v>
      </c>
      <c r="AJ25" s="1867">
        <f t="shared" ca="1" si="5"/>
        <v>1</v>
      </c>
      <c r="AK25" s="1867">
        <f t="shared" ca="1" si="5"/>
        <v>1</v>
      </c>
      <c r="AL25" s="1867">
        <f t="shared" ca="1" si="5"/>
        <v>1</v>
      </c>
      <c r="AM25" s="1867">
        <f t="shared" ca="1" si="5"/>
        <v>1</v>
      </c>
      <c r="AN25" s="1868">
        <f t="shared" ca="1" si="5"/>
        <v>1</v>
      </c>
      <c r="AO25" s="1867">
        <f t="shared" ca="1" si="5"/>
        <v>1</v>
      </c>
      <c r="AP25" s="1866"/>
    </row>
    <row r="26" spans="1:46" ht="14.4">
      <c r="A26" s="1842">
        <f>ROW()</f>
        <v>26</v>
      </c>
      <c r="B26" s="1886"/>
      <c r="I26" s="1888"/>
      <c r="J26" s="1888"/>
      <c r="K26" s="1888"/>
      <c r="L26" s="1888"/>
      <c r="M26" s="1888"/>
      <c r="N26" s="1888"/>
      <c r="O26" s="1888"/>
      <c r="P26" s="1895"/>
      <c r="AC26" s="1867">
        <f t="shared" ca="1" si="5"/>
        <v>1</v>
      </c>
      <c r="AD26" s="1867">
        <f t="shared" ca="1" si="5"/>
        <v>1</v>
      </c>
      <c r="AE26" s="1867">
        <f t="shared" ca="1" si="5"/>
        <v>1</v>
      </c>
      <c r="AF26" s="1867">
        <f t="shared" ca="1" si="5"/>
        <v>1</v>
      </c>
      <c r="AG26" s="1867">
        <f t="shared" ca="1" si="5"/>
        <v>1</v>
      </c>
      <c r="AH26" s="1867">
        <f t="shared" ca="1" si="5"/>
        <v>1</v>
      </c>
      <c r="AI26" s="1867">
        <f t="shared" ca="1" si="5"/>
        <v>1</v>
      </c>
      <c r="AJ26" s="1867">
        <f t="shared" ca="1" si="5"/>
        <v>1</v>
      </c>
      <c r="AK26" s="1867">
        <f t="shared" ca="1" si="5"/>
        <v>1</v>
      </c>
      <c r="AL26" s="1867">
        <f t="shared" ca="1" si="5"/>
        <v>1</v>
      </c>
      <c r="AM26" s="1867">
        <f t="shared" ca="1" si="5"/>
        <v>1</v>
      </c>
      <c r="AN26" s="1868">
        <f t="shared" ca="1" si="5"/>
        <v>1</v>
      </c>
      <c r="AO26" s="1867">
        <f t="shared" ca="1" si="5"/>
        <v>1</v>
      </c>
      <c r="AP26" s="1866"/>
    </row>
    <row r="27" spans="1:46" ht="15.6">
      <c r="A27" s="1842">
        <f>ROW()</f>
        <v>27</v>
      </c>
      <c r="B27" s="1886"/>
      <c r="D27" s="1905" t="s">
        <v>1580</v>
      </c>
      <c r="E27" s="1905"/>
      <c r="F27" s="1905"/>
      <c r="G27" s="1905"/>
      <c r="H27" s="1905"/>
      <c r="I27" s="1905"/>
      <c r="J27" s="1905"/>
      <c r="K27" s="1905"/>
      <c r="L27" s="1905"/>
      <c r="M27" s="1905"/>
      <c r="N27" s="1905"/>
      <c r="O27" s="1888"/>
      <c r="P27" s="1895"/>
      <c r="AC27" s="1867">
        <f t="shared" ca="1" si="5"/>
        <v>1</v>
      </c>
      <c r="AD27" s="1867">
        <f t="shared" ca="1" si="5"/>
        <v>1</v>
      </c>
      <c r="AE27" s="1867">
        <f t="shared" ca="1" si="5"/>
        <v>1</v>
      </c>
      <c r="AF27" s="1867">
        <f t="shared" ca="1" si="5"/>
        <v>1</v>
      </c>
      <c r="AG27" s="1867">
        <f t="shared" ca="1" si="5"/>
        <v>1</v>
      </c>
      <c r="AH27" s="1867">
        <f t="shared" ca="1" si="5"/>
        <v>1</v>
      </c>
      <c r="AI27" s="1867">
        <f t="shared" ca="1" si="5"/>
        <v>1</v>
      </c>
      <c r="AJ27" s="1867">
        <f t="shared" ca="1" si="5"/>
        <v>1</v>
      </c>
      <c r="AK27" s="1867">
        <f t="shared" ca="1" si="5"/>
        <v>1</v>
      </c>
      <c r="AL27" s="1867">
        <f t="shared" ca="1" si="5"/>
        <v>1</v>
      </c>
      <c r="AM27" s="1867">
        <f t="shared" ca="1" si="5"/>
        <v>1</v>
      </c>
      <c r="AN27" s="1868">
        <f t="shared" ca="1" si="5"/>
        <v>1</v>
      </c>
      <c r="AO27" s="1867">
        <f t="shared" ca="1" si="5"/>
        <v>1</v>
      </c>
      <c r="AP27" s="1866"/>
    </row>
    <row r="28" spans="1:46" ht="14.4">
      <c r="A28" s="1842">
        <f>ROW()</f>
        <v>28</v>
      </c>
      <c r="B28" s="1886"/>
      <c r="I28" s="1888"/>
      <c r="J28" s="1888"/>
      <c r="K28" s="1888"/>
      <c r="L28" s="1888"/>
      <c r="M28" s="1888"/>
      <c r="N28" s="1888"/>
      <c r="O28" s="1888"/>
      <c r="P28" s="1895"/>
      <c r="AC28" s="1867">
        <f t="shared" ca="1" si="5"/>
        <v>1</v>
      </c>
      <c r="AD28" s="1867">
        <f t="shared" ca="1" si="5"/>
        <v>1</v>
      </c>
      <c r="AE28" s="1867">
        <f t="shared" ca="1" si="5"/>
        <v>1</v>
      </c>
      <c r="AF28" s="1867">
        <f t="shared" ca="1" si="5"/>
        <v>1</v>
      </c>
      <c r="AG28" s="1867">
        <f t="shared" ca="1" si="5"/>
        <v>1</v>
      </c>
      <c r="AH28" s="1867">
        <f t="shared" ca="1" si="5"/>
        <v>1</v>
      </c>
      <c r="AI28" s="1867">
        <f t="shared" ca="1" si="5"/>
        <v>1</v>
      </c>
      <c r="AJ28" s="1867">
        <f t="shared" ca="1" si="5"/>
        <v>1</v>
      </c>
      <c r="AK28" s="1867">
        <f t="shared" ca="1" si="5"/>
        <v>1</v>
      </c>
      <c r="AL28" s="1867">
        <f t="shared" ca="1" si="5"/>
        <v>1</v>
      </c>
      <c r="AM28" s="1867">
        <f t="shared" ca="1" si="5"/>
        <v>1</v>
      </c>
      <c r="AN28" s="1868">
        <f t="shared" ca="1" si="5"/>
        <v>1</v>
      </c>
      <c r="AO28" s="1867">
        <f t="shared" ca="1" si="5"/>
        <v>1</v>
      </c>
      <c r="AP28" s="1866"/>
    </row>
    <row r="29" spans="1:46" ht="13.8">
      <c r="A29" s="1842">
        <f>ROW()</f>
        <v>29</v>
      </c>
      <c r="B29" s="1906"/>
      <c r="C29" s="1906"/>
      <c r="D29" s="1907" t="s">
        <v>208</v>
      </c>
      <c r="E29" s="1869" t="s">
        <v>1581</v>
      </c>
      <c r="F29" s="1908">
        <f>IF(F30&gt;0,IFERROR((F30-E30)/E30,0),0)</f>
        <v>0.2</v>
      </c>
      <c r="G29" s="1908">
        <f>IF(G30&gt;0,IFERROR((G30-F30)/F30,0),0)</f>
        <v>0.16666666666666666</v>
      </c>
      <c r="H29" s="1908">
        <f>IF(H30&gt;0,IFERROR((H30-G30)/G30,0),0)</f>
        <v>0.14285714285714285</v>
      </c>
      <c r="I29" s="1908">
        <f>IF(I30&gt;0,IFERROR((I30-H30)/H30,0),0)</f>
        <v>3.125E-2</v>
      </c>
      <c r="J29" s="1908">
        <f>IF(J30&gt;0,IFERROR((J30-I30)/I30,0),0)</f>
        <v>3.0303030303030304E-2</v>
      </c>
      <c r="K29" s="1908">
        <f t="shared" ref="K29:N29" si="6">IF(K30&gt;0,IFERROR((K30-J30)/J30,0),0)</f>
        <v>0</v>
      </c>
      <c r="L29" s="1908">
        <f t="shared" si="6"/>
        <v>0</v>
      </c>
      <c r="M29" s="1908">
        <f t="shared" si="6"/>
        <v>0</v>
      </c>
      <c r="N29" s="1908">
        <f t="shared" si="6"/>
        <v>0</v>
      </c>
      <c r="O29" s="1909"/>
      <c r="P29" s="1910" t="s">
        <v>1582</v>
      </c>
      <c r="Q29" s="1852"/>
      <c r="R29" s="1911"/>
      <c r="S29" s="1911"/>
      <c r="T29" s="1911"/>
      <c r="U29" s="1911"/>
      <c r="V29" s="1911"/>
      <c r="W29" s="1911"/>
      <c r="X29" s="1911"/>
      <c r="Y29" s="1852"/>
      <c r="Z29" s="1852"/>
      <c r="AA29" s="1852"/>
      <c r="AB29" s="1852"/>
      <c r="AC29" s="1867">
        <f t="shared" ca="1" si="5"/>
        <v>1</v>
      </c>
      <c r="AD29" s="1867">
        <f t="shared" ca="1" si="5"/>
        <v>1</v>
      </c>
      <c r="AE29" s="1867">
        <f t="shared" ca="1" si="5"/>
        <v>1</v>
      </c>
      <c r="AF29" s="1867">
        <f t="shared" ca="1" si="5"/>
        <v>1</v>
      </c>
      <c r="AG29" s="1867">
        <f t="shared" ca="1" si="5"/>
        <v>1</v>
      </c>
      <c r="AH29" s="1867">
        <f t="shared" ca="1" si="5"/>
        <v>1</v>
      </c>
      <c r="AI29" s="1867">
        <f t="shared" ca="1" si="5"/>
        <v>1</v>
      </c>
      <c r="AJ29" s="1867">
        <f t="shared" ca="1" si="5"/>
        <v>1</v>
      </c>
      <c r="AK29" s="1867">
        <f t="shared" ca="1" si="5"/>
        <v>1</v>
      </c>
      <c r="AL29" s="1867">
        <f t="shared" ca="1" si="5"/>
        <v>1</v>
      </c>
      <c r="AM29" s="1867">
        <f t="shared" ca="1" si="5"/>
        <v>1</v>
      </c>
      <c r="AN29" s="1868">
        <f t="shared" ca="1" si="5"/>
        <v>1</v>
      </c>
      <c r="AO29" s="1867">
        <f t="shared" ca="1" si="5"/>
        <v>1</v>
      </c>
      <c r="AP29" s="1866"/>
      <c r="AQ29" s="1852"/>
      <c r="AR29" s="1852"/>
      <c r="AS29" s="1852"/>
      <c r="AT29" s="1852"/>
    </row>
    <row r="30" spans="1:46" ht="12.75" customHeight="1">
      <c r="A30" s="1842">
        <f>ROW()</f>
        <v>30</v>
      </c>
      <c r="B30" s="1906"/>
      <c r="C30" s="1906"/>
      <c r="D30" s="1866" t="s">
        <v>1583</v>
      </c>
      <c r="E30" s="1912">
        <f>' Enrol &amp; Rev'!G35</f>
        <v>540</v>
      </c>
      <c r="F30" s="1912">
        <f>' Enrol &amp; Rev'!H35</f>
        <v>648</v>
      </c>
      <c r="G30" s="1912">
        <f>' Enrol &amp; Rev'!I35</f>
        <v>756</v>
      </c>
      <c r="H30" s="1912">
        <f>' Enrol &amp; Rev'!J35</f>
        <v>864</v>
      </c>
      <c r="I30" s="1912">
        <f>' Enrol &amp; Rev'!K35</f>
        <v>891</v>
      </c>
      <c r="J30" s="1912">
        <f>' Enrol &amp; Rev'!L35</f>
        <v>918</v>
      </c>
      <c r="K30" s="1912"/>
      <c r="L30" s="1912"/>
      <c r="M30" s="1912"/>
      <c r="N30" s="1912"/>
      <c r="O30" s="1909"/>
      <c r="P30" s="1913"/>
      <c r="Q30" s="1866" t="s">
        <v>1584</v>
      </c>
      <c r="S30" s="1914"/>
      <c r="AC30" s="1867">
        <f t="shared" ca="1" si="5"/>
        <v>1</v>
      </c>
      <c r="AD30" s="1867">
        <f t="shared" ca="1" si="5"/>
        <v>1</v>
      </c>
      <c r="AE30" s="1867">
        <f t="shared" ca="1" si="5"/>
        <v>1</v>
      </c>
      <c r="AF30" s="1867">
        <f t="shared" ca="1" si="5"/>
        <v>1</v>
      </c>
      <c r="AG30" s="1867">
        <f t="shared" ca="1" si="5"/>
        <v>0</v>
      </c>
      <c r="AH30" s="1867">
        <f t="shared" ca="1" si="5"/>
        <v>0</v>
      </c>
      <c r="AI30" s="1867">
        <f t="shared" ca="1" si="5"/>
        <v>0</v>
      </c>
      <c r="AJ30" s="1867">
        <f t="shared" ca="1" si="5"/>
        <v>0</v>
      </c>
      <c r="AK30" s="1867">
        <f t="shared" ca="1" si="5"/>
        <v>0</v>
      </c>
      <c r="AL30" s="1867">
        <f t="shared" ca="1" si="5"/>
        <v>0</v>
      </c>
      <c r="AM30" s="1867">
        <f t="shared" ref="AM30:AM49" ca="1" si="7">CELL("protect",O30)</f>
        <v>1</v>
      </c>
      <c r="AN30" s="1868" t="s">
        <v>1585</v>
      </c>
      <c r="AO30" s="1867">
        <f t="shared" ref="AO30:AO49" ca="1" si="8">CELL("protect",P30)</f>
        <v>1</v>
      </c>
    </row>
    <row r="31" spans="1:46">
      <c r="A31" s="1842">
        <f>ROW()</f>
        <v>31</v>
      </c>
      <c r="B31" s="1906"/>
      <c r="C31" s="1906"/>
      <c r="D31" s="1866" t="s">
        <v>1586</v>
      </c>
      <c r="E31" s="1915">
        <f>E30</f>
        <v>540</v>
      </c>
      <c r="F31" s="1915">
        <f t="shared" ref="F31:J31" si="9">F30</f>
        <v>648</v>
      </c>
      <c r="G31" s="1915">
        <f t="shared" si="9"/>
        <v>756</v>
      </c>
      <c r="H31" s="1915">
        <f t="shared" si="9"/>
        <v>864</v>
      </c>
      <c r="I31" s="1915">
        <f t="shared" si="9"/>
        <v>891</v>
      </c>
      <c r="J31" s="1915">
        <f t="shared" si="9"/>
        <v>918</v>
      </c>
      <c r="K31" s="1915"/>
      <c r="L31" s="1915"/>
      <c r="M31" s="1915"/>
      <c r="N31" s="1915"/>
      <c r="O31" s="1909"/>
      <c r="P31" s="1913"/>
      <c r="Q31" s="1866" t="s">
        <v>1587</v>
      </c>
      <c r="AC31" s="1867">
        <f t="shared" ca="1" si="5"/>
        <v>1</v>
      </c>
      <c r="AD31" s="1867">
        <f t="shared" ca="1" si="5"/>
        <v>1</v>
      </c>
      <c r="AE31" s="1867">
        <f t="shared" ca="1" si="5"/>
        <v>1</v>
      </c>
      <c r="AF31" s="1867">
        <f t="shared" ca="1" si="5"/>
        <v>1</v>
      </c>
      <c r="AG31" s="1867">
        <f t="shared" ca="1" si="5"/>
        <v>0</v>
      </c>
      <c r="AH31" s="1867">
        <f t="shared" ca="1" si="5"/>
        <v>0</v>
      </c>
      <c r="AI31" s="1867">
        <f t="shared" ca="1" si="5"/>
        <v>0</v>
      </c>
      <c r="AJ31" s="1867">
        <f t="shared" ca="1" si="5"/>
        <v>0</v>
      </c>
      <c r="AK31" s="1867">
        <f t="shared" ca="1" si="5"/>
        <v>0</v>
      </c>
      <c r="AL31" s="1867">
        <f t="shared" ca="1" si="5"/>
        <v>0</v>
      </c>
      <c r="AM31" s="1867">
        <f t="shared" ca="1" si="7"/>
        <v>1</v>
      </c>
      <c r="AN31" s="1868" t="s">
        <v>1585</v>
      </c>
      <c r="AO31" s="1867">
        <f t="shared" ca="1" si="8"/>
        <v>1</v>
      </c>
    </row>
    <row r="32" spans="1:46">
      <c r="A32" s="1842">
        <f>ROW()</f>
        <v>32</v>
      </c>
      <c r="B32" s="1906"/>
      <c r="C32" s="1906"/>
      <c r="D32" s="1916" t="s">
        <v>1588</v>
      </c>
      <c r="E32" s="1917">
        <f>IFERROR(E30/E31,0)</f>
        <v>1</v>
      </c>
      <c r="F32" s="1917">
        <f t="shared" ref="F32:N32" si="10">IFERROR(F30/F31,0)</f>
        <v>1</v>
      </c>
      <c r="G32" s="1917">
        <f t="shared" si="10"/>
        <v>1</v>
      </c>
      <c r="H32" s="1917">
        <f t="shared" si="10"/>
        <v>1</v>
      </c>
      <c r="I32" s="1917">
        <f t="shared" si="10"/>
        <v>1</v>
      </c>
      <c r="J32" s="1917">
        <f t="shared" si="10"/>
        <v>1</v>
      </c>
      <c r="K32" s="1917">
        <f t="shared" si="10"/>
        <v>0</v>
      </c>
      <c r="L32" s="1917">
        <f t="shared" si="10"/>
        <v>0</v>
      </c>
      <c r="M32" s="1917">
        <f t="shared" si="10"/>
        <v>0</v>
      </c>
      <c r="N32" s="1917">
        <f t="shared" si="10"/>
        <v>0</v>
      </c>
      <c r="O32" s="1909"/>
      <c r="P32" s="1913"/>
      <c r="Q32" s="1866"/>
      <c r="AC32" s="1867">
        <f t="shared" ca="1" si="5"/>
        <v>1</v>
      </c>
      <c r="AD32" s="1867">
        <f t="shared" ca="1" si="5"/>
        <v>1</v>
      </c>
      <c r="AE32" s="1867">
        <f t="shared" ca="1" si="5"/>
        <v>1</v>
      </c>
      <c r="AF32" s="1867">
        <f t="shared" ca="1" si="5"/>
        <v>1</v>
      </c>
      <c r="AG32" s="1867">
        <f t="shared" ca="1" si="5"/>
        <v>1</v>
      </c>
      <c r="AH32" s="1867">
        <f t="shared" ca="1" si="5"/>
        <v>1</v>
      </c>
      <c r="AI32" s="1867">
        <f t="shared" ca="1" si="5"/>
        <v>1</v>
      </c>
      <c r="AJ32" s="1867">
        <f t="shared" ca="1" si="5"/>
        <v>1</v>
      </c>
      <c r="AK32" s="1867">
        <f t="shared" ca="1" si="5"/>
        <v>1</v>
      </c>
      <c r="AL32" s="1867">
        <f t="shared" ca="1" si="5"/>
        <v>1</v>
      </c>
      <c r="AM32" s="1867">
        <f t="shared" ca="1" si="7"/>
        <v>1</v>
      </c>
      <c r="AN32" s="1868" t="s">
        <v>1585</v>
      </c>
      <c r="AO32" s="1867">
        <f t="shared" ca="1" si="8"/>
        <v>1</v>
      </c>
    </row>
    <row r="33" spans="1:41">
      <c r="A33" s="1842">
        <f>ROW()</f>
        <v>33</v>
      </c>
      <c r="B33" s="1906"/>
      <c r="C33" s="1906"/>
      <c r="D33" s="1918" t="s">
        <v>1589</v>
      </c>
      <c r="E33" s="2248"/>
      <c r="F33" s="2248"/>
      <c r="G33" s="2248"/>
      <c r="H33" s="2248"/>
      <c r="I33" s="2248"/>
      <c r="J33" s="2248"/>
      <c r="K33" s="2248"/>
      <c r="L33" s="2248"/>
      <c r="M33" s="2248"/>
      <c r="N33" s="2248"/>
      <c r="O33" s="1909"/>
      <c r="P33" s="1913"/>
      <c r="Q33" s="1866"/>
      <c r="AC33" s="1867">
        <f t="shared" ca="1" si="5"/>
        <v>1</v>
      </c>
      <c r="AD33" s="1867">
        <f t="shared" ca="1" si="5"/>
        <v>1</v>
      </c>
      <c r="AE33" s="1867">
        <f t="shared" ca="1" si="5"/>
        <v>1</v>
      </c>
      <c r="AF33" s="1867">
        <f t="shared" ca="1" si="5"/>
        <v>1</v>
      </c>
      <c r="AG33" s="1867">
        <f t="shared" ca="1" si="5"/>
        <v>0</v>
      </c>
      <c r="AH33" s="1867">
        <f t="shared" ca="1" si="5"/>
        <v>0</v>
      </c>
      <c r="AI33" s="1867">
        <f t="shared" ca="1" si="5"/>
        <v>0</v>
      </c>
      <c r="AJ33" s="1867">
        <f t="shared" ca="1" si="5"/>
        <v>0</v>
      </c>
      <c r="AK33" s="1867">
        <f t="shared" ca="1" si="5"/>
        <v>0</v>
      </c>
      <c r="AL33" s="1867">
        <f t="shared" ca="1" si="5"/>
        <v>0</v>
      </c>
      <c r="AM33" s="1867">
        <f t="shared" ca="1" si="7"/>
        <v>1</v>
      </c>
      <c r="AN33" s="1868" t="s">
        <v>1585</v>
      </c>
      <c r="AO33" s="1867">
        <f t="shared" ca="1" si="8"/>
        <v>1</v>
      </c>
    </row>
    <row r="34" spans="1:41" outlineLevel="1">
      <c r="A34" s="1842">
        <f>ROW()</f>
        <v>34</v>
      </c>
      <c r="B34" s="1906"/>
      <c r="C34" s="1906"/>
      <c r="D34" s="1918"/>
      <c r="E34" s="1918"/>
      <c r="F34" s="1918"/>
      <c r="G34" s="1918"/>
      <c r="H34" s="1918"/>
      <c r="I34" s="1918"/>
      <c r="J34" s="1918"/>
      <c r="K34" s="1918"/>
      <c r="L34" s="1918"/>
      <c r="M34" s="1918"/>
      <c r="N34" s="1918"/>
      <c r="O34" s="1909"/>
      <c r="P34" s="1913"/>
      <c r="Q34" s="1866"/>
      <c r="AC34" s="1867"/>
      <c r="AD34" s="1867"/>
      <c r="AE34" s="1867"/>
      <c r="AF34" s="1867"/>
      <c r="AG34" s="1867"/>
      <c r="AH34" s="1867"/>
      <c r="AI34" s="1867"/>
      <c r="AJ34" s="1867"/>
      <c r="AK34" s="1867"/>
      <c r="AL34" s="1867"/>
      <c r="AM34" s="1867"/>
      <c r="AN34" s="1868"/>
      <c r="AO34" s="1867"/>
    </row>
    <row r="35" spans="1:41" outlineLevel="1">
      <c r="A35" s="1842">
        <f>ROW()</f>
        <v>35</v>
      </c>
      <c r="B35" s="1906"/>
      <c r="C35" s="1906"/>
      <c r="D35" s="1919" t="s">
        <v>1590</v>
      </c>
      <c r="E35" s="1918"/>
      <c r="F35" s="1908">
        <f>IF(F36&gt;0,IFERROR((F36-E36)/E36,0),0)</f>
        <v>0.2</v>
      </c>
      <c r="G35" s="1908">
        <f>IF(G36&gt;0,IFERROR((G36-F36)/F36,0),0)</f>
        <v>0.16666666666666666</v>
      </c>
      <c r="H35" s="1908">
        <f>IF(H36&gt;0,IFERROR((H36-G36)/G36,0),0)</f>
        <v>0.14285714285714285</v>
      </c>
      <c r="I35" s="1908">
        <f>IF(I36&gt;0,IFERROR((I36-H36)/H36,0),0)</f>
        <v>3.1250000000000069E-2</v>
      </c>
      <c r="J35" s="1908">
        <f>IF(J36&gt;0,IFERROR((J36-I36)/I36,0),0)</f>
        <v>3.0303030303030234E-2</v>
      </c>
      <c r="K35" s="1908">
        <f t="shared" ref="K35:N35" si="11">IF(K36&gt;0,IFERROR((K36-J36)/J36,0),0)</f>
        <v>0</v>
      </c>
      <c r="L35" s="1908">
        <f t="shared" si="11"/>
        <v>0</v>
      </c>
      <c r="M35" s="1908">
        <f t="shared" si="11"/>
        <v>0</v>
      </c>
      <c r="N35" s="1908">
        <f t="shared" si="11"/>
        <v>0</v>
      </c>
      <c r="O35" s="1909"/>
      <c r="P35" s="1913"/>
      <c r="Q35" s="1866"/>
      <c r="AC35" s="1867"/>
      <c r="AD35" s="1867"/>
      <c r="AE35" s="1867"/>
      <c r="AF35" s="1867"/>
      <c r="AG35" s="1867"/>
      <c r="AH35" s="1867"/>
      <c r="AI35" s="1867"/>
      <c r="AJ35" s="1867"/>
      <c r="AK35" s="1867"/>
      <c r="AL35" s="1867"/>
      <c r="AM35" s="1867"/>
      <c r="AN35" s="1868"/>
      <c r="AO35" s="1867"/>
    </row>
    <row r="36" spans="1:41" outlineLevel="1">
      <c r="A36" s="1842">
        <f>ROW()</f>
        <v>36</v>
      </c>
      <c r="B36" s="1906"/>
      <c r="C36" s="1906"/>
      <c r="D36" s="1918" t="s">
        <v>1591</v>
      </c>
      <c r="E36" s="1912">
        <f>E31*0.97</f>
        <v>523.79999999999995</v>
      </c>
      <c r="F36" s="1912">
        <f t="shared" ref="F36:J36" si="12">F31*0.97</f>
        <v>628.55999999999995</v>
      </c>
      <c r="G36" s="1912">
        <f t="shared" si="12"/>
        <v>733.31999999999994</v>
      </c>
      <c r="H36" s="1912">
        <f t="shared" si="12"/>
        <v>838.07999999999993</v>
      </c>
      <c r="I36" s="1912">
        <f t="shared" si="12"/>
        <v>864.27</v>
      </c>
      <c r="J36" s="1912">
        <f t="shared" si="12"/>
        <v>890.45999999999992</v>
      </c>
      <c r="K36" s="1912">
        <v>0</v>
      </c>
      <c r="L36" s="1912">
        <v>0</v>
      </c>
      <c r="M36" s="1912">
        <v>0</v>
      </c>
      <c r="N36" s="1912">
        <v>0</v>
      </c>
      <c r="O36" s="1909"/>
      <c r="P36" s="1913"/>
      <c r="Q36" s="1866"/>
      <c r="AC36" s="1867"/>
      <c r="AD36" s="1867"/>
      <c r="AE36" s="1867"/>
      <c r="AF36" s="1867"/>
      <c r="AG36" s="1867"/>
      <c r="AH36" s="1867"/>
      <c r="AI36" s="1867"/>
      <c r="AJ36" s="1867"/>
      <c r="AK36" s="1867"/>
      <c r="AL36" s="1867"/>
      <c r="AM36" s="1867"/>
      <c r="AN36" s="1868"/>
      <c r="AO36" s="1867"/>
    </row>
    <row r="37" spans="1:41" outlineLevel="1">
      <c r="A37" s="1842">
        <f>ROW()</f>
        <v>37</v>
      </c>
      <c r="B37" s="1906"/>
      <c r="C37" s="1906"/>
      <c r="D37" s="1918" t="s">
        <v>1592</v>
      </c>
      <c r="E37" s="1920">
        <f>IFERROR(E36/E30,0)</f>
        <v>0.96999999999999986</v>
      </c>
      <c r="F37" s="1920">
        <f t="shared" ref="F37:N37" si="13">IFERROR(F36/F30,0)</f>
        <v>0.96999999999999986</v>
      </c>
      <c r="G37" s="1920">
        <f t="shared" si="13"/>
        <v>0.96999999999999986</v>
      </c>
      <c r="H37" s="1920">
        <f t="shared" si="13"/>
        <v>0.96999999999999986</v>
      </c>
      <c r="I37" s="1920">
        <f t="shared" si="13"/>
        <v>0.97</v>
      </c>
      <c r="J37" s="1920">
        <f t="shared" si="13"/>
        <v>0.96999999999999986</v>
      </c>
      <c r="K37" s="1920">
        <f t="shared" si="13"/>
        <v>0</v>
      </c>
      <c r="L37" s="1920">
        <f t="shared" si="13"/>
        <v>0</v>
      </c>
      <c r="M37" s="1920">
        <f t="shared" si="13"/>
        <v>0</v>
      </c>
      <c r="N37" s="1920">
        <f t="shared" si="13"/>
        <v>0</v>
      </c>
      <c r="O37" s="1909"/>
      <c r="P37" s="1913"/>
      <c r="Q37" s="1866"/>
      <c r="AC37" s="1867"/>
      <c r="AD37" s="1867"/>
      <c r="AE37" s="1867"/>
      <c r="AF37" s="1867"/>
      <c r="AG37" s="1867"/>
      <c r="AH37" s="1867"/>
      <c r="AI37" s="1867"/>
      <c r="AJ37" s="1867"/>
      <c r="AK37" s="1867"/>
      <c r="AL37" s="1867"/>
      <c r="AM37" s="1867"/>
      <c r="AN37" s="1868"/>
      <c r="AO37" s="1867"/>
    </row>
    <row r="38" spans="1:41" outlineLevel="1">
      <c r="A38" s="1842">
        <f>ROW()</f>
        <v>38</v>
      </c>
      <c r="B38" s="1906"/>
      <c r="C38" s="1906"/>
      <c r="D38" s="1918" t="s">
        <v>1593</v>
      </c>
      <c r="E38" s="1915">
        <f>E31</f>
        <v>540</v>
      </c>
      <c r="F38" s="1915">
        <f t="shared" ref="F38:J38" si="14">F31</f>
        <v>648</v>
      </c>
      <c r="G38" s="1915">
        <f t="shared" si="14"/>
        <v>756</v>
      </c>
      <c r="H38" s="1915">
        <f t="shared" si="14"/>
        <v>864</v>
      </c>
      <c r="I38" s="1915">
        <f t="shared" si="14"/>
        <v>891</v>
      </c>
      <c r="J38" s="1915">
        <f t="shared" si="14"/>
        <v>918</v>
      </c>
      <c r="K38" s="1921">
        <v>0</v>
      </c>
      <c r="L38" s="1921">
        <v>0</v>
      </c>
      <c r="M38" s="1921">
        <v>0</v>
      </c>
      <c r="N38" s="1921">
        <v>0</v>
      </c>
      <c r="O38" s="1909"/>
      <c r="P38" s="1913"/>
      <c r="Q38" s="1866"/>
      <c r="AC38" s="1867"/>
      <c r="AD38" s="1867"/>
      <c r="AE38" s="1867"/>
      <c r="AF38" s="1867"/>
      <c r="AG38" s="1867"/>
      <c r="AH38" s="1867"/>
      <c r="AI38" s="1867"/>
      <c r="AJ38" s="1867"/>
      <c r="AK38" s="1867"/>
      <c r="AL38" s="1867"/>
      <c r="AM38" s="1867"/>
      <c r="AN38" s="1868"/>
      <c r="AO38" s="1867"/>
    </row>
    <row r="39" spans="1:41" outlineLevel="1">
      <c r="A39" s="1842">
        <f>ROW()</f>
        <v>39</v>
      </c>
      <c r="B39" s="1906"/>
      <c r="C39" s="1906"/>
      <c r="D39" s="1918" t="s">
        <v>1594</v>
      </c>
      <c r="E39" s="1917">
        <f>IFERROR(E31/E38,0)</f>
        <v>1</v>
      </c>
      <c r="F39" s="1917">
        <f t="shared" ref="F39:N39" si="15">IFERROR(F31/F38,0)</f>
        <v>1</v>
      </c>
      <c r="G39" s="1917">
        <f t="shared" si="15"/>
        <v>1</v>
      </c>
      <c r="H39" s="1917">
        <f t="shared" si="15"/>
        <v>1</v>
      </c>
      <c r="I39" s="1917">
        <f t="shared" si="15"/>
        <v>1</v>
      </c>
      <c r="J39" s="1917">
        <f t="shared" si="15"/>
        <v>1</v>
      </c>
      <c r="K39" s="1917">
        <f t="shared" si="15"/>
        <v>0</v>
      </c>
      <c r="L39" s="1917">
        <f t="shared" si="15"/>
        <v>0</v>
      </c>
      <c r="M39" s="1917">
        <f t="shared" si="15"/>
        <v>0</v>
      </c>
      <c r="N39" s="1917">
        <f t="shared" si="15"/>
        <v>0</v>
      </c>
      <c r="O39" s="1909"/>
      <c r="P39" s="1913"/>
      <c r="Q39" s="1866"/>
      <c r="AC39" s="1867"/>
      <c r="AD39" s="1867"/>
      <c r="AE39" s="1867"/>
      <c r="AF39" s="1867"/>
      <c r="AG39" s="1867"/>
      <c r="AH39" s="1867"/>
      <c r="AI39" s="1867"/>
      <c r="AJ39" s="1867"/>
      <c r="AK39" s="1867"/>
      <c r="AL39" s="1867"/>
      <c r="AM39" s="1867"/>
      <c r="AN39" s="1868"/>
      <c r="AO39" s="1867"/>
    </row>
    <row r="40" spans="1:41" outlineLevel="1">
      <c r="A40" s="1842">
        <f>ROW()</f>
        <v>40</v>
      </c>
      <c r="B40" s="1906"/>
      <c r="C40" s="1906"/>
      <c r="D40" s="1916" t="s">
        <v>940</v>
      </c>
      <c r="E40" s="1908"/>
      <c r="F40" s="1908"/>
      <c r="G40" s="1908"/>
      <c r="H40" s="1908"/>
      <c r="I40" s="1908"/>
      <c r="J40" s="1908"/>
      <c r="K40" s="1908"/>
      <c r="L40" s="1908"/>
      <c r="M40" s="1908"/>
      <c r="N40" s="1908"/>
      <c r="O40" s="1909"/>
      <c r="P40" s="1913"/>
      <c r="Q40" s="1866"/>
      <c r="AC40" s="1867"/>
      <c r="AD40" s="1867"/>
      <c r="AE40" s="1867"/>
      <c r="AF40" s="1867"/>
      <c r="AG40" s="1867"/>
      <c r="AH40" s="1867"/>
      <c r="AI40" s="1867"/>
      <c r="AJ40" s="1867"/>
      <c r="AK40" s="1867"/>
      <c r="AL40" s="1867"/>
      <c r="AM40" s="1867"/>
      <c r="AN40" s="1868"/>
      <c r="AO40" s="1867"/>
    </row>
    <row r="41" spans="1:41" outlineLevel="1">
      <c r="A41" s="1842">
        <f>ROW()</f>
        <v>41</v>
      </c>
      <c r="B41" s="1906"/>
      <c r="C41" s="1906"/>
      <c r="D41" s="1918" t="s">
        <v>1595</v>
      </c>
      <c r="E41" s="1915">
        <f>E38*0.15</f>
        <v>81</v>
      </c>
      <c r="F41" s="1915">
        <f t="shared" ref="F41:J41" si="16">F38*0.15</f>
        <v>97.2</v>
      </c>
      <c r="G41" s="1915">
        <f t="shared" si="16"/>
        <v>113.39999999999999</v>
      </c>
      <c r="H41" s="1915">
        <f t="shared" si="16"/>
        <v>129.6</v>
      </c>
      <c r="I41" s="1915">
        <f t="shared" si="16"/>
        <v>133.65</v>
      </c>
      <c r="J41" s="1915">
        <f t="shared" si="16"/>
        <v>137.69999999999999</v>
      </c>
      <c r="K41" s="1915">
        <v>0</v>
      </c>
      <c r="L41" s="1915">
        <v>0</v>
      </c>
      <c r="M41" s="1915">
        <v>0</v>
      </c>
      <c r="N41" s="1915">
        <v>0</v>
      </c>
      <c r="O41" s="1909"/>
      <c r="P41" s="1913"/>
      <c r="Q41" s="1866" t="s">
        <v>1596</v>
      </c>
      <c r="AC41" s="1867"/>
      <c r="AD41" s="1867"/>
      <c r="AE41" s="1867"/>
      <c r="AF41" s="1867"/>
      <c r="AG41" s="1867"/>
      <c r="AH41" s="1867"/>
      <c r="AI41" s="1867"/>
      <c r="AJ41" s="1867"/>
      <c r="AK41" s="1867"/>
      <c r="AL41" s="1867"/>
      <c r="AM41" s="1867"/>
      <c r="AN41" s="1868"/>
      <c r="AO41" s="1867"/>
    </row>
    <row r="42" spans="1:41" outlineLevel="1">
      <c r="A42" s="1842">
        <f>ROW()</f>
        <v>42</v>
      </c>
      <c r="B42" s="1906"/>
      <c r="C42" s="1906"/>
      <c r="D42" s="1918" t="s">
        <v>1597</v>
      </c>
      <c r="E42" s="1915">
        <f>E38*0.3</f>
        <v>162</v>
      </c>
      <c r="F42" s="1915">
        <f t="shared" ref="F42:J42" si="17">F38*0.3</f>
        <v>194.4</v>
      </c>
      <c r="G42" s="1915">
        <f t="shared" si="17"/>
        <v>226.79999999999998</v>
      </c>
      <c r="H42" s="1915">
        <f t="shared" si="17"/>
        <v>259.2</v>
      </c>
      <c r="I42" s="1915">
        <f t="shared" si="17"/>
        <v>267.3</v>
      </c>
      <c r="J42" s="1915">
        <f t="shared" si="17"/>
        <v>275.39999999999998</v>
      </c>
      <c r="K42" s="1915">
        <v>0</v>
      </c>
      <c r="L42" s="1915">
        <v>0</v>
      </c>
      <c r="M42" s="1915">
        <v>0</v>
      </c>
      <c r="N42" s="1915">
        <v>0</v>
      </c>
      <c r="O42" s="1909"/>
      <c r="P42" s="1913"/>
      <c r="Q42" s="1866" t="s">
        <v>1596</v>
      </c>
      <c r="AC42" s="1867"/>
      <c r="AD42" s="1867"/>
      <c r="AE42" s="1867"/>
      <c r="AF42" s="1867"/>
      <c r="AG42" s="1867"/>
      <c r="AH42" s="1867"/>
      <c r="AI42" s="1867"/>
      <c r="AJ42" s="1867"/>
      <c r="AK42" s="1867"/>
      <c r="AL42" s="1867"/>
      <c r="AM42" s="1867"/>
      <c r="AN42" s="1868"/>
      <c r="AO42" s="1867"/>
    </row>
    <row r="43" spans="1:41" outlineLevel="1">
      <c r="A43" s="1842">
        <f>ROW()</f>
        <v>43</v>
      </c>
      <c r="B43" s="1906"/>
      <c r="C43" s="1906"/>
      <c r="D43" s="1918" t="s">
        <v>1598</v>
      </c>
      <c r="E43" s="1915">
        <f>E38*0.9</f>
        <v>486</v>
      </c>
      <c r="F43" s="1915">
        <f t="shared" ref="F43:J43" si="18">F38*0.9</f>
        <v>583.20000000000005</v>
      </c>
      <c r="G43" s="1915">
        <f t="shared" si="18"/>
        <v>680.4</v>
      </c>
      <c r="H43" s="1915">
        <f t="shared" si="18"/>
        <v>777.6</v>
      </c>
      <c r="I43" s="1915">
        <f t="shared" si="18"/>
        <v>801.9</v>
      </c>
      <c r="J43" s="1915">
        <f t="shared" si="18"/>
        <v>826.2</v>
      </c>
      <c r="K43" s="1915">
        <v>0</v>
      </c>
      <c r="L43" s="1915">
        <v>0</v>
      </c>
      <c r="M43" s="1915">
        <v>0</v>
      </c>
      <c r="N43" s="1915">
        <v>0</v>
      </c>
      <c r="O43" s="1909"/>
      <c r="P43" s="1913"/>
      <c r="Q43" s="1866" t="s">
        <v>1596</v>
      </c>
      <c r="AC43" s="1867"/>
      <c r="AD43" s="1867"/>
      <c r="AE43" s="1867"/>
      <c r="AF43" s="1867"/>
      <c r="AG43" s="1867"/>
      <c r="AH43" s="1867"/>
      <c r="AI43" s="1867"/>
      <c r="AJ43" s="1867"/>
      <c r="AK43" s="1867"/>
      <c r="AL43" s="1867"/>
      <c r="AM43" s="1867"/>
      <c r="AN43" s="1868"/>
      <c r="AO43" s="1867"/>
    </row>
    <row r="44" spans="1:41" outlineLevel="1">
      <c r="A44" s="1842">
        <f>ROW()</f>
        <v>44</v>
      </c>
      <c r="B44" s="1906"/>
      <c r="C44" s="1906"/>
      <c r="D44" s="1918" t="s">
        <v>1599</v>
      </c>
      <c r="E44" s="1915"/>
      <c r="F44" s="1915">
        <v>0</v>
      </c>
      <c r="G44" s="1915">
        <v>0</v>
      </c>
      <c r="H44" s="1915">
        <v>0</v>
      </c>
      <c r="I44" s="1915">
        <v>0</v>
      </c>
      <c r="J44" s="1915">
        <v>0</v>
      </c>
      <c r="K44" s="1915">
        <v>0</v>
      </c>
      <c r="L44" s="1915">
        <v>0</v>
      </c>
      <c r="M44" s="1915">
        <v>0</v>
      </c>
      <c r="N44" s="1915">
        <v>0</v>
      </c>
      <c r="O44" s="1909"/>
      <c r="P44" s="1913"/>
      <c r="Q44" s="1866" t="s">
        <v>1596</v>
      </c>
      <c r="AC44" s="1867"/>
      <c r="AD44" s="1867"/>
      <c r="AE44" s="1867"/>
      <c r="AF44" s="1867"/>
      <c r="AG44" s="1867"/>
      <c r="AH44" s="1867"/>
      <c r="AI44" s="1867"/>
      <c r="AJ44" s="1867"/>
      <c r="AK44" s="1867"/>
      <c r="AL44" s="1867"/>
      <c r="AM44" s="1867"/>
      <c r="AN44" s="1868"/>
      <c r="AO44" s="1867"/>
    </row>
    <row r="45" spans="1:41">
      <c r="A45" s="1842">
        <f>ROW()</f>
        <v>45</v>
      </c>
      <c r="B45" s="1906"/>
      <c r="C45" s="1906"/>
      <c r="D45" s="1922"/>
      <c r="E45" s="1922"/>
      <c r="F45" s="1922"/>
      <c r="G45" s="1922"/>
      <c r="H45" s="1922"/>
      <c r="I45" s="1922"/>
      <c r="J45" s="1922"/>
      <c r="K45" s="1922"/>
      <c r="L45" s="1922"/>
      <c r="M45" s="1922"/>
      <c r="N45" s="1922"/>
      <c r="O45" s="1909"/>
      <c r="P45" s="1913"/>
      <c r="Q45" s="1866"/>
      <c r="AC45" s="1867">
        <f t="shared" ref="AC45:AL61" ca="1" si="19">CELL("protect",A45)</f>
        <v>1</v>
      </c>
      <c r="AD45" s="1867">
        <f t="shared" ca="1" si="19"/>
        <v>1</v>
      </c>
      <c r="AE45" s="1867">
        <f t="shared" ca="1" si="19"/>
        <v>1</v>
      </c>
      <c r="AF45" s="1867">
        <f t="shared" ca="1" si="19"/>
        <v>1</v>
      </c>
      <c r="AG45" s="1867">
        <f t="shared" ca="1" si="19"/>
        <v>1</v>
      </c>
      <c r="AH45" s="1867">
        <f t="shared" ca="1" si="19"/>
        <v>1</v>
      </c>
      <c r="AI45" s="1867">
        <f t="shared" ca="1" si="19"/>
        <v>1</v>
      </c>
      <c r="AJ45" s="1867">
        <f t="shared" ca="1" si="19"/>
        <v>1</v>
      </c>
      <c r="AK45" s="1867">
        <f t="shared" ca="1" si="19"/>
        <v>1</v>
      </c>
      <c r="AL45" s="1867">
        <f t="shared" ca="1" si="19"/>
        <v>1</v>
      </c>
      <c r="AM45" s="1867">
        <f t="shared" ca="1" si="7"/>
        <v>1</v>
      </c>
      <c r="AN45" s="1868" t="s">
        <v>1585</v>
      </c>
      <c r="AO45" s="1867">
        <f t="shared" ca="1" si="8"/>
        <v>1</v>
      </c>
    </row>
    <row r="46" spans="1:41">
      <c r="A46" s="1842">
        <f>ROW()</f>
        <v>46</v>
      </c>
      <c r="B46" s="1906"/>
      <c r="C46" s="1906"/>
      <c r="D46" s="1918" t="s">
        <v>1589</v>
      </c>
      <c r="E46" s="2248"/>
      <c r="F46" s="2248"/>
      <c r="G46" s="2248"/>
      <c r="H46" s="2248"/>
      <c r="I46" s="2248"/>
      <c r="J46" s="2248"/>
      <c r="K46" s="2248"/>
      <c r="L46" s="2248"/>
      <c r="M46" s="2248"/>
      <c r="N46" s="2248"/>
      <c r="O46" s="1909"/>
      <c r="P46" s="1913"/>
      <c r="Q46" s="1866"/>
      <c r="AC46" s="1867">
        <f t="shared" ca="1" si="19"/>
        <v>1</v>
      </c>
      <c r="AD46" s="1867">
        <f t="shared" ca="1" si="19"/>
        <v>1</v>
      </c>
      <c r="AE46" s="1867">
        <f t="shared" ca="1" si="19"/>
        <v>1</v>
      </c>
      <c r="AF46" s="1867">
        <f t="shared" ca="1" si="19"/>
        <v>1</v>
      </c>
      <c r="AG46" s="1867">
        <f t="shared" ca="1" si="19"/>
        <v>0</v>
      </c>
      <c r="AH46" s="1867">
        <f t="shared" ca="1" si="19"/>
        <v>0</v>
      </c>
      <c r="AI46" s="1867">
        <f t="shared" ca="1" si="19"/>
        <v>0</v>
      </c>
      <c r="AJ46" s="1867">
        <f t="shared" ca="1" si="19"/>
        <v>0</v>
      </c>
      <c r="AK46" s="1867">
        <f t="shared" ca="1" si="19"/>
        <v>0</v>
      </c>
      <c r="AL46" s="1867">
        <f t="shared" ca="1" si="19"/>
        <v>0</v>
      </c>
      <c r="AM46" s="1867">
        <f t="shared" ca="1" si="7"/>
        <v>1</v>
      </c>
      <c r="AN46" s="1868" t="s">
        <v>1585</v>
      </c>
      <c r="AO46" s="1867">
        <f t="shared" ca="1" si="8"/>
        <v>1</v>
      </c>
    </row>
    <row r="47" spans="1:41">
      <c r="A47" s="1842">
        <f>ROW()</f>
        <v>47</v>
      </c>
      <c r="B47" s="1906"/>
      <c r="C47" s="1906"/>
      <c r="D47" s="1918" t="s">
        <v>1600</v>
      </c>
      <c r="E47" s="2248"/>
      <c r="F47" s="2248"/>
      <c r="G47" s="2248"/>
      <c r="H47" s="2248"/>
      <c r="I47" s="2248"/>
      <c r="J47" s="2248"/>
      <c r="K47" s="2248"/>
      <c r="L47" s="2248"/>
      <c r="M47" s="2248"/>
      <c r="N47" s="2248"/>
      <c r="O47" s="1909"/>
      <c r="P47" s="1913"/>
      <c r="Q47" s="1866"/>
      <c r="AC47" s="1867">
        <f t="shared" ca="1" si="19"/>
        <v>1</v>
      </c>
      <c r="AD47" s="1867">
        <f t="shared" ca="1" si="19"/>
        <v>1</v>
      </c>
      <c r="AE47" s="1867">
        <f t="shared" ca="1" si="19"/>
        <v>1</v>
      </c>
      <c r="AF47" s="1867">
        <f t="shared" ca="1" si="19"/>
        <v>1</v>
      </c>
      <c r="AG47" s="1867">
        <f t="shared" ca="1" si="19"/>
        <v>0</v>
      </c>
      <c r="AH47" s="1867">
        <f t="shared" ca="1" si="19"/>
        <v>0</v>
      </c>
      <c r="AI47" s="1867">
        <f t="shared" ca="1" si="19"/>
        <v>0</v>
      </c>
      <c r="AJ47" s="1867">
        <f t="shared" ca="1" si="19"/>
        <v>0</v>
      </c>
      <c r="AK47" s="1867">
        <f t="shared" ca="1" si="19"/>
        <v>0</v>
      </c>
      <c r="AL47" s="1867">
        <f t="shared" ca="1" si="19"/>
        <v>0</v>
      </c>
      <c r="AM47" s="1867">
        <f t="shared" ca="1" si="7"/>
        <v>1</v>
      </c>
      <c r="AN47" s="1868" t="s">
        <v>1585</v>
      </c>
      <c r="AO47" s="1867">
        <f t="shared" ca="1" si="8"/>
        <v>1</v>
      </c>
    </row>
    <row r="48" spans="1:41">
      <c r="A48" s="1842">
        <f>ROW()</f>
        <v>48</v>
      </c>
      <c r="B48" s="1906"/>
      <c r="C48" s="1906"/>
      <c r="D48" s="1922"/>
      <c r="E48" s="1922"/>
      <c r="F48" s="1922"/>
      <c r="G48" s="1922"/>
      <c r="H48" s="1922"/>
      <c r="I48" s="1922"/>
      <c r="J48" s="1922"/>
      <c r="K48" s="1922"/>
      <c r="L48" s="1922"/>
      <c r="M48" s="1922"/>
      <c r="N48" s="1922"/>
      <c r="O48" s="1909"/>
      <c r="P48" s="1913"/>
      <c r="Q48" s="1866"/>
      <c r="AC48" s="1867"/>
      <c r="AD48" s="1867"/>
      <c r="AE48" s="1867"/>
      <c r="AF48" s="1867"/>
      <c r="AG48" s="1867"/>
      <c r="AH48" s="1867"/>
      <c r="AI48" s="1867"/>
      <c r="AJ48" s="1867"/>
      <c r="AK48" s="1867"/>
      <c r="AL48" s="1867"/>
      <c r="AM48" s="1867"/>
      <c r="AN48" s="1868"/>
      <c r="AO48" s="1867"/>
    </row>
    <row r="49" spans="1:41" ht="15.6" outlineLevel="1">
      <c r="A49" s="1842">
        <f>ROW()</f>
        <v>49</v>
      </c>
      <c r="B49" s="1906"/>
      <c r="C49" s="1906"/>
      <c r="D49" s="1923" t="s">
        <v>1601</v>
      </c>
      <c r="E49" s="1924"/>
      <c r="F49" s="1924"/>
      <c r="G49" s="1924"/>
      <c r="H49" s="1924"/>
      <c r="I49" s="1924"/>
      <c r="J49" s="1924"/>
      <c r="K49" s="1924"/>
      <c r="L49" s="1924"/>
      <c r="M49" s="1924"/>
      <c r="N49" s="1924"/>
      <c r="O49" s="1909"/>
      <c r="P49" s="1913"/>
      <c r="Q49" s="1866"/>
      <c r="AC49" s="1867">
        <f t="shared" ca="1" si="19"/>
        <v>1</v>
      </c>
      <c r="AD49" s="1867">
        <f t="shared" ca="1" si="19"/>
        <v>1</v>
      </c>
      <c r="AE49" s="1867">
        <f t="shared" ca="1" si="19"/>
        <v>1</v>
      </c>
      <c r="AF49" s="1867">
        <f t="shared" ca="1" si="19"/>
        <v>1</v>
      </c>
      <c r="AG49" s="1867">
        <f t="shared" ca="1" si="19"/>
        <v>1</v>
      </c>
      <c r="AH49" s="1867">
        <f t="shared" ca="1" si="19"/>
        <v>1</v>
      </c>
      <c r="AI49" s="1867">
        <f t="shared" ca="1" si="19"/>
        <v>1</v>
      </c>
      <c r="AJ49" s="1867">
        <f t="shared" ca="1" si="19"/>
        <v>1</v>
      </c>
      <c r="AK49" s="1867">
        <f t="shared" ca="1" si="19"/>
        <v>1</v>
      </c>
      <c r="AL49" s="1867">
        <f t="shared" ca="1" si="19"/>
        <v>1</v>
      </c>
      <c r="AM49" s="1867">
        <f t="shared" ca="1" si="7"/>
        <v>1</v>
      </c>
      <c r="AN49" s="1868" t="s">
        <v>1585</v>
      </c>
      <c r="AO49" s="1867">
        <f t="shared" ca="1" si="8"/>
        <v>1</v>
      </c>
    </row>
    <row r="50" spans="1:41" ht="14.4" outlineLevel="1">
      <c r="A50" s="1842">
        <f>ROW()</f>
        <v>50</v>
      </c>
      <c r="B50" s="1925"/>
      <c r="C50" s="1843"/>
      <c r="D50" s="1926" t="s">
        <v>1602</v>
      </c>
      <c r="E50" s="1869" t="s">
        <v>1603</v>
      </c>
      <c r="F50" s="1908">
        <f>IF(F51=0,0,(F51-E51)/E51)</f>
        <v>0.52480835183364849</v>
      </c>
      <c r="G50" s="1908">
        <f t="shared" ref="G50:N50" si="20">IF(G51=0,0,(G51-F51)/F51)</f>
        <v>0.17324253900437006</v>
      </c>
      <c r="H50" s="1908">
        <f t="shared" si="20"/>
        <v>0.14766131745562669</v>
      </c>
      <c r="I50" s="1908">
        <f t="shared" si="20"/>
        <v>5.4142494010084745E-2</v>
      </c>
      <c r="J50" s="1908">
        <f t="shared" si="20"/>
        <v>3.0513616463786745E-2</v>
      </c>
      <c r="K50" s="1908">
        <f t="shared" si="20"/>
        <v>0</v>
      </c>
      <c r="L50" s="1908">
        <f t="shared" si="20"/>
        <v>0</v>
      </c>
      <c r="M50" s="1908">
        <f t="shared" si="20"/>
        <v>0</v>
      </c>
      <c r="N50" s="1908">
        <f t="shared" si="20"/>
        <v>0</v>
      </c>
      <c r="O50" s="1927"/>
      <c r="P50" s="1913"/>
      <c r="Q50" s="1866"/>
      <c r="S50" s="1928" t="s">
        <v>1604</v>
      </c>
      <c r="T50" s="1929"/>
      <c r="U50" s="1929"/>
      <c r="V50" s="1929"/>
      <c r="W50" s="1929"/>
      <c r="X50" s="1929"/>
      <c r="AC50" s="1867">
        <f t="shared" ca="1" si="19"/>
        <v>1</v>
      </c>
      <c r="AD50" s="1867">
        <f t="shared" ca="1" si="19"/>
        <v>1</v>
      </c>
      <c r="AE50" s="1867">
        <f t="shared" ca="1" si="19"/>
        <v>1</v>
      </c>
      <c r="AF50" s="1867">
        <f t="shared" ca="1" si="19"/>
        <v>1</v>
      </c>
      <c r="AG50" s="1867">
        <f t="shared" ca="1" si="19"/>
        <v>1</v>
      </c>
      <c r="AH50" s="1867">
        <f t="shared" ca="1" si="19"/>
        <v>1</v>
      </c>
      <c r="AI50" s="1867">
        <f t="shared" ca="1" si="19"/>
        <v>1</v>
      </c>
      <c r="AJ50" s="1867">
        <f t="shared" ca="1" si="19"/>
        <v>1</v>
      </c>
      <c r="AK50" s="1867">
        <f t="shared" ca="1" si="19"/>
        <v>1</v>
      </c>
      <c r="AL50" s="1867">
        <f t="shared" ca="1" si="19"/>
        <v>1</v>
      </c>
      <c r="AM50" s="1867">
        <f ca="1">CELL("protect",O50)</f>
        <v>1</v>
      </c>
      <c r="AN50" s="1868" t="s">
        <v>1585</v>
      </c>
      <c r="AO50" s="1867">
        <f ca="1">CELL("protect",P50)</f>
        <v>1</v>
      </c>
    </row>
    <row r="51" spans="1:41" ht="13.8" outlineLevel="1">
      <c r="A51" s="1842">
        <f>ROW()</f>
        <v>51</v>
      </c>
      <c r="B51" s="1925"/>
      <c r="D51" s="1870" t="s">
        <v>1168</v>
      </c>
      <c r="E51" s="1930">
        <f>SUM(' Enrol &amp; Rev'!G109:G113)</f>
        <v>3938220</v>
      </c>
      <c r="F51" s="1930">
        <f>SUM(' Enrol &amp; Rev'!H109:H113)</f>
        <v>6005030.747358311</v>
      </c>
      <c r="G51" s="1930">
        <f>SUM(' Enrol &amp; Rev'!I109:I113)</f>
        <v>7045357.5208299747</v>
      </c>
      <c r="H51" s="1930">
        <f>SUM(' Enrol &amp; Rev'!J109:J113)</f>
        <v>8085684.2943016365</v>
      </c>
      <c r="I51" s="1930">
        <f>SUM(' Enrol &amp; Rev'!K109:K113)</f>
        <v>8523463.4077732991</v>
      </c>
      <c r="J51" s="1930">
        <f>SUM(' Enrol &amp; Rev'!L109:L113)</f>
        <v>8783545.1011412144</v>
      </c>
      <c r="K51" s="1930">
        <v>0</v>
      </c>
      <c r="L51" s="1930">
        <v>0</v>
      </c>
      <c r="M51" s="1930">
        <v>0</v>
      </c>
      <c r="N51" s="1930">
        <v>0</v>
      </c>
      <c r="O51" s="1927"/>
      <c r="P51" s="1913"/>
      <c r="Q51" s="1866"/>
      <c r="S51" s="1931">
        <f>IFERROR(E51/E$57,0)</f>
        <v>0.74264528068311397</v>
      </c>
      <c r="T51" s="1931">
        <f t="shared" ref="T51:X53" si="21">IFERROR(F51/F$57,0)</f>
        <v>0.82682925981049016</v>
      </c>
      <c r="U51" s="1931">
        <f t="shared" si="21"/>
        <v>0.83913293690189117</v>
      </c>
      <c r="V51" s="1931">
        <f t="shared" si="21"/>
        <v>0.83969838857275703</v>
      </c>
      <c r="W51" s="1931">
        <f t="shared" si="21"/>
        <v>0.84263177656195565</v>
      </c>
      <c r="X51" s="1931">
        <f t="shared" si="21"/>
        <v>0.84265887504210035</v>
      </c>
      <c r="AC51" s="1867">
        <f t="shared" ca="1" si="19"/>
        <v>1</v>
      </c>
      <c r="AD51" s="1867">
        <f t="shared" ca="1" si="19"/>
        <v>1</v>
      </c>
      <c r="AE51" s="1867">
        <f t="shared" ca="1" si="19"/>
        <v>1</v>
      </c>
      <c r="AF51" s="1867">
        <f t="shared" ca="1" si="19"/>
        <v>1</v>
      </c>
      <c r="AG51" s="1867">
        <f t="shared" ca="1" si="19"/>
        <v>0</v>
      </c>
      <c r="AH51" s="1867">
        <f t="shared" ca="1" si="19"/>
        <v>0</v>
      </c>
      <c r="AI51" s="1867">
        <f t="shared" ca="1" si="19"/>
        <v>0</v>
      </c>
      <c r="AJ51" s="1867">
        <f t="shared" ca="1" si="19"/>
        <v>0</v>
      </c>
      <c r="AK51" s="1867">
        <f t="shared" ca="1" si="19"/>
        <v>0</v>
      </c>
      <c r="AL51" s="1867">
        <f t="shared" ca="1" si="19"/>
        <v>0</v>
      </c>
      <c r="AM51" s="1867">
        <f t="shared" ref="AM51:AM132" ca="1" si="22">CELL("protect",O51)</f>
        <v>1</v>
      </c>
      <c r="AN51" s="1868" t="s">
        <v>1585</v>
      </c>
      <c r="AO51" s="1867">
        <f t="shared" ref="AO51:AO132" ca="1" si="23">CELL("protect",P51)</f>
        <v>1</v>
      </c>
    </row>
    <row r="52" spans="1:41" ht="13.8" outlineLevel="1">
      <c r="A52" s="1842">
        <f>ROW()</f>
        <v>52</v>
      </c>
      <c r="B52" s="1925"/>
      <c r="D52" s="1870" t="s">
        <v>1167</v>
      </c>
      <c r="E52" s="1932">
        <f>SUM(' Enrol &amp; Rev'!G122:G129)</f>
        <v>964742.4</v>
      </c>
      <c r="F52" s="1932">
        <f>SUM(' Enrol &amp; Rev'!H122:H129)</f>
        <v>1157690.8800000001</v>
      </c>
      <c r="G52" s="1932">
        <f>SUM(' Enrol &amp; Rev'!I122:I129)</f>
        <v>1350639.36</v>
      </c>
      <c r="H52" s="1932">
        <f>SUM(' Enrol &amp; Rev'!J122:J129)</f>
        <v>1543587.8400000001</v>
      </c>
      <c r="I52" s="1932">
        <f>SUM(' Enrol &amp; Rev'!K122:K129)</f>
        <v>1591824.96</v>
      </c>
      <c r="J52" s="1932">
        <f>SUM(' Enrol &amp; Rev'!L122:L129)</f>
        <v>1640062.08</v>
      </c>
      <c r="K52" s="1932">
        <v>0</v>
      </c>
      <c r="L52" s="1932">
        <v>0</v>
      </c>
      <c r="M52" s="1932">
        <v>0</v>
      </c>
      <c r="N52" s="1932">
        <v>0</v>
      </c>
      <c r="O52" s="1927"/>
      <c r="P52" s="1913"/>
      <c r="Q52" s="1866"/>
      <c r="S52" s="1931">
        <f>IFERROR(E52/E$57,0)</f>
        <v>0.18192518204541672</v>
      </c>
      <c r="T52" s="1931">
        <f t="shared" si="21"/>
        <v>0.15940179720492606</v>
      </c>
      <c r="U52" s="1931">
        <f t="shared" si="21"/>
        <v>0.16086706309810878</v>
      </c>
      <c r="V52" s="1931">
        <f t="shared" si="21"/>
        <v>0.16030161142724303</v>
      </c>
      <c r="W52" s="1931">
        <f t="shared" si="21"/>
        <v>0.15736822343804441</v>
      </c>
      <c r="X52" s="1931">
        <f t="shared" si="21"/>
        <v>0.15734112495789968</v>
      </c>
      <c r="AC52" s="1867">
        <f t="shared" ca="1" si="19"/>
        <v>1</v>
      </c>
      <c r="AD52" s="1867">
        <f t="shared" ca="1" si="19"/>
        <v>1</v>
      </c>
      <c r="AE52" s="1867">
        <f t="shared" ca="1" si="19"/>
        <v>1</v>
      </c>
      <c r="AF52" s="1867">
        <f t="shared" ca="1" si="19"/>
        <v>1</v>
      </c>
      <c r="AG52" s="1867">
        <f t="shared" ca="1" si="19"/>
        <v>0</v>
      </c>
      <c r="AH52" s="1867">
        <f t="shared" ca="1" si="19"/>
        <v>0</v>
      </c>
      <c r="AI52" s="1867">
        <f t="shared" ca="1" si="19"/>
        <v>0</v>
      </c>
      <c r="AJ52" s="1867">
        <f t="shared" ca="1" si="19"/>
        <v>0</v>
      </c>
      <c r="AK52" s="1867">
        <f t="shared" ca="1" si="19"/>
        <v>0</v>
      </c>
      <c r="AL52" s="1867">
        <f t="shared" ca="1" si="19"/>
        <v>0</v>
      </c>
      <c r="AM52" s="1867">
        <f t="shared" ca="1" si="22"/>
        <v>1</v>
      </c>
      <c r="AN52" s="1868" t="s">
        <v>1585</v>
      </c>
      <c r="AO52" s="1867">
        <f t="shared" ca="1" si="23"/>
        <v>1</v>
      </c>
    </row>
    <row r="53" spans="1:41" ht="13.8" outlineLevel="1">
      <c r="A53" s="1842">
        <f>ROW()</f>
        <v>53</v>
      </c>
      <c r="B53" s="1925"/>
      <c r="D53" s="1870" t="s">
        <v>1605</v>
      </c>
      <c r="E53" s="1932">
        <v>0</v>
      </c>
      <c r="F53" s="1932">
        <v>0</v>
      </c>
      <c r="G53" s="1932">
        <v>0</v>
      </c>
      <c r="H53" s="1932">
        <v>0</v>
      </c>
      <c r="I53" s="1932">
        <v>0</v>
      </c>
      <c r="J53" s="1932">
        <v>0</v>
      </c>
      <c r="K53" s="1932">
        <v>0</v>
      </c>
      <c r="L53" s="1932">
        <v>0</v>
      </c>
      <c r="M53" s="1932">
        <v>0</v>
      </c>
      <c r="N53" s="1932">
        <v>0</v>
      </c>
      <c r="O53" s="1927"/>
      <c r="P53" s="1913"/>
      <c r="Q53" s="1866"/>
      <c r="S53" s="1931">
        <f>IFERROR(E53/E$57,0)</f>
        <v>0</v>
      </c>
      <c r="T53" s="1931">
        <f t="shared" si="21"/>
        <v>0</v>
      </c>
      <c r="U53" s="1931">
        <f t="shared" si="21"/>
        <v>0</v>
      </c>
      <c r="V53" s="1931">
        <f t="shared" si="21"/>
        <v>0</v>
      </c>
      <c r="W53" s="1931">
        <f t="shared" si="21"/>
        <v>0</v>
      </c>
      <c r="X53" s="1931">
        <f t="shared" si="21"/>
        <v>0</v>
      </c>
      <c r="AC53" s="1867">
        <f t="shared" ca="1" si="19"/>
        <v>1</v>
      </c>
      <c r="AD53" s="1867">
        <f t="shared" ca="1" si="19"/>
        <v>1</v>
      </c>
      <c r="AE53" s="1867">
        <f t="shared" ca="1" si="19"/>
        <v>1</v>
      </c>
      <c r="AF53" s="1867">
        <f t="shared" ca="1" si="19"/>
        <v>1</v>
      </c>
      <c r="AG53" s="1867">
        <f t="shared" ca="1" si="19"/>
        <v>0</v>
      </c>
      <c r="AH53" s="1867">
        <f t="shared" ca="1" si="19"/>
        <v>0</v>
      </c>
      <c r="AI53" s="1867">
        <f t="shared" ca="1" si="19"/>
        <v>0</v>
      </c>
      <c r="AJ53" s="1867">
        <f t="shared" ca="1" si="19"/>
        <v>0</v>
      </c>
      <c r="AK53" s="1867">
        <f t="shared" ca="1" si="19"/>
        <v>0</v>
      </c>
      <c r="AL53" s="1867">
        <f t="shared" ca="1" si="19"/>
        <v>0</v>
      </c>
      <c r="AM53" s="1867">
        <f t="shared" ca="1" si="22"/>
        <v>1</v>
      </c>
      <c r="AN53" s="1868" t="s">
        <v>1585</v>
      </c>
      <c r="AO53" s="1867">
        <f t="shared" ca="1" si="23"/>
        <v>1</v>
      </c>
    </row>
    <row r="54" spans="1:41" ht="13.8" outlineLevel="1">
      <c r="A54" s="1842">
        <f>ROW()</f>
        <v>54</v>
      </c>
      <c r="B54" s="1925"/>
      <c r="D54" s="1870" t="s">
        <v>1606</v>
      </c>
      <c r="E54" s="1932">
        <v>0</v>
      </c>
      <c r="F54" s="1932">
        <v>0</v>
      </c>
      <c r="G54" s="1932">
        <v>0</v>
      </c>
      <c r="H54" s="1932">
        <v>0</v>
      </c>
      <c r="I54" s="1932">
        <v>0</v>
      </c>
      <c r="J54" s="1932">
        <v>0</v>
      </c>
      <c r="K54" s="1932">
        <v>0</v>
      </c>
      <c r="L54" s="1932">
        <v>0</v>
      </c>
      <c r="M54" s="1932">
        <v>0</v>
      </c>
      <c r="N54" s="1932">
        <v>0</v>
      </c>
      <c r="O54" s="1927"/>
      <c r="P54" s="1913"/>
      <c r="Q54" s="1866"/>
      <c r="S54" s="1931"/>
      <c r="T54" s="1931"/>
      <c r="U54" s="1931"/>
      <c r="V54" s="1931"/>
      <c r="W54" s="1931"/>
      <c r="X54" s="1931"/>
      <c r="AC54" s="1867"/>
      <c r="AD54" s="1867"/>
      <c r="AE54" s="1867"/>
      <c r="AF54" s="1867">
        <f t="shared" ca="1" si="19"/>
        <v>1</v>
      </c>
      <c r="AG54" s="1867"/>
      <c r="AH54" s="1867"/>
      <c r="AI54" s="1867"/>
      <c r="AJ54" s="1867"/>
      <c r="AK54" s="1867"/>
      <c r="AL54" s="1867"/>
      <c r="AM54" s="1867"/>
      <c r="AN54" s="1868"/>
      <c r="AO54" s="1867"/>
    </row>
    <row r="55" spans="1:41" ht="13.8" outlineLevel="1">
      <c r="A55" s="1842">
        <f>ROW()</f>
        <v>55</v>
      </c>
      <c r="B55" s="1925"/>
      <c r="D55" s="1870" t="s">
        <v>1607</v>
      </c>
      <c r="E55" s="1932">
        <f>SUM(' Enrol &amp; Rev'!G130:G139)</f>
        <v>400000</v>
      </c>
      <c r="F55" s="1932">
        <f>SUM(' Enrol &amp; Rev'!H130:H139)</f>
        <v>100000</v>
      </c>
      <c r="G55" s="1932">
        <f>SUM(' Enrol &amp; Rev'!I130:I139)</f>
        <v>0</v>
      </c>
      <c r="H55" s="1932">
        <f>SUM(' Enrol &amp; Rev'!J130:J139)</f>
        <v>0</v>
      </c>
      <c r="I55" s="1932">
        <f>SUM(' Enrol &amp; Rev'!K130:K139)</f>
        <v>0</v>
      </c>
      <c r="J55" s="1932">
        <f>SUM(' Enrol &amp; Rev'!L130:L139)</f>
        <v>0</v>
      </c>
      <c r="K55" s="1932">
        <v>0</v>
      </c>
      <c r="L55" s="1932">
        <v>0</v>
      </c>
      <c r="M55" s="1932">
        <v>0</v>
      </c>
      <c r="N55" s="1932">
        <v>0</v>
      </c>
      <c r="O55" s="1927"/>
      <c r="P55" s="1913"/>
      <c r="Q55" s="1866"/>
      <c r="S55" s="1931">
        <f t="shared" ref="S55:X57" si="24">IFERROR(E55/E$57,0)</f>
        <v>7.5429537271469241E-2</v>
      </c>
      <c r="T55" s="1931">
        <f t="shared" si="24"/>
        <v>1.3768942984583765E-2</v>
      </c>
      <c r="U55" s="1931">
        <f t="shared" si="24"/>
        <v>0</v>
      </c>
      <c r="V55" s="1931">
        <f t="shared" si="24"/>
        <v>0</v>
      </c>
      <c r="W55" s="1931">
        <f t="shared" si="24"/>
        <v>0</v>
      </c>
      <c r="X55" s="1931">
        <f t="shared" si="24"/>
        <v>0</v>
      </c>
      <c r="AC55" s="1867">
        <f t="shared" ca="1" si="19"/>
        <v>1</v>
      </c>
      <c r="AD55" s="1867">
        <f t="shared" ca="1" si="19"/>
        <v>1</v>
      </c>
      <c r="AE55" s="1867">
        <f t="shared" ca="1" si="19"/>
        <v>1</v>
      </c>
      <c r="AF55" s="1867">
        <f t="shared" ca="1" si="19"/>
        <v>1</v>
      </c>
      <c r="AG55" s="1867">
        <f t="shared" ca="1" si="19"/>
        <v>0</v>
      </c>
      <c r="AH55" s="1867">
        <f t="shared" ca="1" si="19"/>
        <v>0</v>
      </c>
      <c r="AI55" s="1867">
        <f t="shared" ca="1" si="19"/>
        <v>0</v>
      </c>
      <c r="AJ55" s="1867">
        <f t="shared" ca="1" si="19"/>
        <v>0</v>
      </c>
      <c r="AK55" s="1867">
        <f t="shared" ca="1" si="19"/>
        <v>0</v>
      </c>
      <c r="AL55" s="1867">
        <f t="shared" ca="1" si="19"/>
        <v>0</v>
      </c>
      <c r="AM55" s="1867">
        <f t="shared" ca="1" si="22"/>
        <v>1</v>
      </c>
      <c r="AN55" s="1868" t="s">
        <v>1585</v>
      </c>
      <c r="AO55" s="1867">
        <f t="shared" ca="1" si="23"/>
        <v>1</v>
      </c>
    </row>
    <row r="56" spans="1:41" ht="13.8" outlineLevel="1">
      <c r="A56" s="1842">
        <f>ROW()</f>
        <v>56</v>
      </c>
      <c r="B56" s="1925"/>
      <c r="D56" s="1870" t="s">
        <v>1608</v>
      </c>
      <c r="E56" s="1932">
        <v>0</v>
      </c>
      <c r="F56" s="1932">
        <v>0</v>
      </c>
      <c r="G56" s="1932">
        <v>0</v>
      </c>
      <c r="H56" s="1932">
        <v>0</v>
      </c>
      <c r="I56" s="1932">
        <v>0</v>
      </c>
      <c r="J56" s="1932">
        <v>0</v>
      </c>
      <c r="K56" s="1932">
        <v>0</v>
      </c>
      <c r="L56" s="1932">
        <v>0</v>
      </c>
      <c r="M56" s="1932">
        <v>0</v>
      </c>
      <c r="N56" s="1932">
        <v>0</v>
      </c>
      <c r="O56" s="1927"/>
      <c r="P56" s="1913"/>
      <c r="Q56" s="1866" t="s">
        <v>1609</v>
      </c>
      <c r="S56" s="1931">
        <f t="shared" si="24"/>
        <v>0</v>
      </c>
      <c r="T56" s="1931">
        <f t="shared" si="24"/>
        <v>0</v>
      </c>
      <c r="U56" s="1931">
        <f t="shared" si="24"/>
        <v>0</v>
      </c>
      <c r="V56" s="1931">
        <f t="shared" si="24"/>
        <v>0</v>
      </c>
      <c r="W56" s="1931">
        <f t="shared" si="24"/>
        <v>0</v>
      </c>
      <c r="X56" s="1931">
        <f t="shared" si="24"/>
        <v>0</v>
      </c>
      <c r="AC56" s="1867">
        <f t="shared" ca="1" si="19"/>
        <v>1</v>
      </c>
      <c r="AD56" s="1867">
        <f t="shared" ca="1" si="19"/>
        <v>1</v>
      </c>
      <c r="AE56" s="1867">
        <f t="shared" ca="1" si="19"/>
        <v>1</v>
      </c>
      <c r="AF56" s="1867">
        <f t="shared" ca="1" si="19"/>
        <v>1</v>
      </c>
      <c r="AG56" s="1867">
        <f t="shared" ca="1" si="19"/>
        <v>0</v>
      </c>
      <c r="AH56" s="1867">
        <f t="shared" ca="1" si="19"/>
        <v>0</v>
      </c>
      <c r="AI56" s="1867">
        <f t="shared" ca="1" si="19"/>
        <v>0</v>
      </c>
      <c r="AJ56" s="1867">
        <f t="shared" ca="1" si="19"/>
        <v>0</v>
      </c>
      <c r="AK56" s="1867">
        <f t="shared" ca="1" si="19"/>
        <v>0</v>
      </c>
      <c r="AL56" s="1867">
        <f t="shared" ca="1" si="19"/>
        <v>0</v>
      </c>
      <c r="AM56" s="1867">
        <f t="shared" ca="1" si="22"/>
        <v>1</v>
      </c>
      <c r="AN56" s="1868" t="s">
        <v>1585</v>
      </c>
      <c r="AO56" s="1867">
        <f t="shared" ca="1" si="23"/>
        <v>1</v>
      </c>
    </row>
    <row r="57" spans="1:41" ht="13.8" outlineLevel="1">
      <c r="A57" s="1842">
        <f>ROW()</f>
        <v>57</v>
      </c>
      <c r="B57" s="1925"/>
      <c r="D57" s="1933" t="s">
        <v>406</v>
      </c>
      <c r="E57" s="1934">
        <f t="shared" ref="E57:N57" si="25">SUM(E51:E56)</f>
        <v>5302962.4000000004</v>
      </c>
      <c r="F57" s="1934">
        <f t="shared" si="25"/>
        <v>7262721.6273583109</v>
      </c>
      <c r="G57" s="1934">
        <f t="shared" si="25"/>
        <v>8395996.880829975</v>
      </c>
      <c r="H57" s="1934">
        <f t="shared" si="25"/>
        <v>9629272.1343016364</v>
      </c>
      <c r="I57" s="1934">
        <f t="shared" si="25"/>
        <v>10115288.367773298</v>
      </c>
      <c r="J57" s="1934">
        <f t="shared" si="25"/>
        <v>10423607.181141214</v>
      </c>
      <c r="K57" s="1934">
        <f t="shared" si="25"/>
        <v>0</v>
      </c>
      <c r="L57" s="1934">
        <f t="shared" si="25"/>
        <v>0</v>
      </c>
      <c r="M57" s="1934">
        <f t="shared" si="25"/>
        <v>0</v>
      </c>
      <c r="N57" s="1934">
        <f t="shared" si="25"/>
        <v>0</v>
      </c>
      <c r="O57" s="1927"/>
      <c r="P57" s="1913"/>
      <c r="Q57" s="1866" t="s">
        <v>1610</v>
      </c>
      <c r="S57" s="1935">
        <f t="shared" si="24"/>
        <v>1</v>
      </c>
      <c r="T57" s="1935">
        <f t="shared" si="24"/>
        <v>1</v>
      </c>
      <c r="U57" s="1935">
        <f t="shared" si="24"/>
        <v>1</v>
      </c>
      <c r="V57" s="1935">
        <f t="shared" si="24"/>
        <v>1</v>
      </c>
      <c r="W57" s="1935">
        <f t="shared" si="24"/>
        <v>1</v>
      </c>
      <c r="X57" s="1935">
        <f t="shared" si="24"/>
        <v>1</v>
      </c>
      <c r="AC57" s="1867">
        <f t="shared" ca="1" si="19"/>
        <v>1</v>
      </c>
      <c r="AD57" s="1867">
        <f t="shared" ca="1" si="19"/>
        <v>1</v>
      </c>
      <c r="AE57" s="1867">
        <f t="shared" ca="1" si="19"/>
        <v>1</v>
      </c>
      <c r="AF57" s="1867">
        <f t="shared" ca="1" si="19"/>
        <v>1</v>
      </c>
      <c r="AG57" s="1867">
        <f t="shared" ca="1" si="19"/>
        <v>1</v>
      </c>
      <c r="AH57" s="1867">
        <f t="shared" ca="1" si="19"/>
        <v>1</v>
      </c>
      <c r="AI57" s="1867">
        <f t="shared" ca="1" si="19"/>
        <v>1</v>
      </c>
      <c r="AJ57" s="1867">
        <f t="shared" ca="1" si="19"/>
        <v>1</v>
      </c>
      <c r="AK57" s="1867">
        <f t="shared" ca="1" si="19"/>
        <v>1</v>
      </c>
      <c r="AL57" s="1867">
        <f t="shared" ca="1" si="19"/>
        <v>1</v>
      </c>
      <c r="AM57" s="1867">
        <f t="shared" ca="1" si="22"/>
        <v>1</v>
      </c>
      <c r="AN57" s="1868" t="s">
        <v>1585</v>
      </c>
      <c r="AO57" s="1867">
        <f t="shared" ca="1" si="23"/>
        <v>1</v>
      </c>
    </row>
    <row r="58" spans="1:41" ht="13.8" outlineLevel="1">
      <c r="A58" s="1842">
        <f>ROW()</f>
        <v>58</v>
      </c>
      <c r="B58" s="1925"/>
      <c r="D58" s="1870" t="s">
        <v>1611</v>
      </c>
      <c r="E58" s="1936">
        <f>IFERROR(E57/E30,0)</f>
        <v>9820.3007407407422</v>
      </c>
      <c r="F58" s="1936">
        <f t="shared" ref="F58:N58" si="26">IFERROR(F57/F30,0)</f>
        <v>11207.903745923319</v>
      </c>
      <c r="G58" s="1936">
        <f t="shared" si="26"/>
        <v>11105.81597993383</v>
      </c>
      <c r="H58" s="1936">
        <f t="shared" si="26"/>
        <v>11144.990896182449</v>
      </c>
      <c r="I58" s="1936">
        <f t="shared" si="26"/>
        <v>11352.736664167562</v>
      </c>
      <c r="J58" s="1936">
        <f t="shared" si="26"/>
        <v>11354.691918454482</v>
      </c>
      <c r="K58" s="1936">
        <f t="shared" si="26"/>
        <v>0</v>
      </c>
      <c r="L58" s="1936">
        <f t="shared" si="26"/>
        <v>0</v>
      </c>
      <c r="M58" s="1936">
        <f t="shared" si="26"/>
        <v>0</v>
      </c>
      <c r="N58" s="1936">
        <f t="shared" si="26"/>
        <v>0</v>
      </c>
      <c r="O58" s="1927"/>
      <c r="P58" s="1913"/>
      <c r="Q58" s="1866"/>
      <c r="S58" s="1937">
        <f>IFERROR(E58/E$57,0)</f>
        <v>1.8518518518518519E-3</v>
      </c>
      <c r="T58" s="1937"/>
      <c r="U58" s="1937"/>
      <c r="V58" s="1937"/>
      <c r="W58" s="1937"/>
      <c r="X58" s="1937"/>
      <c r="AC58" s="1867"/>
      <c r="AD58" s="1867"/>
      <c r="AE58" s="1867"/>
      <c r="AF58" s="1867">
        <f t="shared" ca="1" si="19"/>
        <v>1</v>
      </c>
      <c r="AG58" s="1867">
        <f t="shared" ca="1" si="19"/>
        <v>1</v>
      </c>
      <c r="AH58" s="1867"/>
      <c r="AI58" s="1867"/>
      <c r="AJ58" s="1867"/>
      <c r="AK58" s="1867"/>
      <c r="AL58" s="1867"/>
      <c r="AM58" s="1867"/>
      <c r="AN58" s="1868"/>
      <c r="AO58" s="1867"/>
    </row>
    <row r="59" spans="1:41" outlineLevel="1">
      <c r="A59" s="1842">
        <f>ROW()</f>
        <v>59</v>
      </c>
      <c r="B59" s="1925"/>
      <c r="D59" s="1918" t="s">
        <v>1612</v>
      </c>
      <c r="E59" s="2250"/>
      <c r="F59" s="2250"/>
      <c r="G59" s="2250"/>
      <c r="H59" s="2250"/>
      <c r="I59" s="2250"/>
      <c r="J59" s="2250"/>
      <c r="K59" s="2250"/>
      <c r="L59" s="2250"/>
      <c r="M59" s="2250"/>
      <c r="N59" s="2250"/>
      <c r="O59" s="1927"/>
      <c r="P59" s="1913"/>
      <c r="Q59" s="1866"/>
      <c r="S59" s="1931"/>
      <c r="T59" s="1931"/>
      <c r="U59" s="1931"/>
      <c r="V59" s="1931"/>
      <c r="W59" s="1931"/>
      <c r="X59" s="1931"/>
      <c r="AC59" s="1867">
        <f t="shared" ca="1" si="19"/>
        <v>1</v>
      </c>
      <c r="AD59" s="1867">
        <f t="shared" ca="1" si="19"/>
        <v>1</v>
      </c>
      <c r="AE59" s="1867">
        <f t="shared" ca="1" si="19"/>
        <v>1</v>
      </c>
      <c r="AF59" s="1867">
        <f t="shared" ca="1" si="19"/>
        <v>1</v>
      </c>
      <c r="AG59" s="1867">
        <f t="shared" ca="1" si="19"/>
        <v>0</v>
      </c>
      <c r="AH59" s="1867">
        <f t="shared" ca="1" si="19"/>
        <v>0</v>
      </c>
      <c r="AI59" s="1867">
        <f t="shared" ca="1" si="19"/>
        <v>0</v>
      </c>
      <c r="AJ59" s="1867">
        <f t="shared" ca="1" si="19"/>
        <v>0</v>
      </c>
      <c r="AK59" s="1867">
        <f t="shared" ca="1" si="19"/>
        <v>0</v>
      </c>
      <c r="AL59" s="1867">
        <f t="shared" ca="1" si="19"/>
        <v>0</v>
      </c>
      <c r="AM59" s="1867">
        <f t="shared" ca="1" si="22"/>
        <v>1</v>
      </c>
      <c r="AN59" s="1868" t="s">
        <v>1585</v>
      </c>
      <c r="AO59" s="1867">
        <f t="shared" ca="1" si="23"/>
        <v>1</v>
      </c>
    </row>
    <row r="60" spans="1:41" outlineLevel="1">
      <c r="A60" s="1842">
        <f>ROW()</f>
        <v>60</v>
      </c>
      <c r="B60" s="1925"/>
      <c r="E60" s="1938"/>
      <c r="F60" s="1938"/>
      <c r="G60" s="1938"/>
      <c r="H60" s="1938"/>
      <c r="I60" s="1938"/>
      <c r="J60" s="1938"/>
      <c r="K60" s="1938"/>
      <c r="L60" s="1938"/>
      <c r="M60" s="1938"/>
      <c r="N60" s="1938"/>
      <c r="O60" s="1927"/>
      <c r="P60" s="1913"/>
      <c r="Q60" s="1866"/>
      <c r="S60" s="1931"/>
      <c r="T60" s="1931"/>
      <c r="U60" s="1931"/>
      <c r="V60" s="1931"/>
      <c r="W60" s="1931"/>
      <c r="X60" s="1931"/>
      <c r="AC60" s="1867">
        <f t="shared" ca="1" si="19"/>
        <v>1</v>
      </c>
      <c r="AD60" s="1867">
        <f t="shared" ca="1" si="19"/>
        <v>1</v>
      </c>
      <c r="AE60" s="1867">
        <f t="shared" ca="1" si="19"/>
        <v>1</v>
      </c>
      <c r="AF60" s="1867">
        <f t="shared" ca="1" si="19"/>
        <v>1</v>
      </c>
      <c r="AG60" s="1867">
        <f t="shared" ca="1" si="19"/>
        <v>1</v>
      </c>
      <c r="AH60" s="1867">
        <f t="shared" ca="1" si="19"/>
        <v>1</v>
      </c>
      <c r="AI60" s="1867">
        <f t="shared" ca="1" si="19"/>
        <v>1</v>
      </c>
      <c r="AJ60" s="1867">
        <f t="shared" ca="1" si="19"/>
        <v>1</v>
      </c>
      <c r="AK60" s="1867">
        <f t="shared" ca="1" si="19"/>
        <v>1</v>
      </c>
      <c r="AL60" s="1867">
        <f t="shared" ca="1" si="19"/>
        <v>1</v>
      </c>
      <c r="AM60" s="1867">
        <f t="shared" ca="1" si="22"/>
        <v>1</v>
      </c>
      <c r="AN60" s="1868" t="s">
        <v>1585</v>
      </c>
      <c r="AO60" s="1867">
        <f t="shared" ca="1" si="23"/>
        <v>1</v>
      </c>
    </row>
    <row r="61" spans="1:41" ht="14.25" customHeight="1" outlineLevel="1">
      <c r="A61" s="1842">
        <f>ROW()</f>
        <v>61</v>
      </c>
      <c r="B61" s="1925"/>
      <c r="D61" s="1926" t="s">
        <v>1613</v>
      </c>
      <c r="E61" s="1869" t="s">
        <v>1614</v>
      </c>
      <c r="F61" s="1939">
        <f>IF(F62=0,0,(F62-E62)/E62)</f>
        <v>0.27503117547251837</v>
      </c>
      <c r="G61" s="1908">
        <f>IF(G62=0,0,(G62-F62)/F62)</f>
        <v>0.17896049885721044</v>
      </c>
      <c r="H61" s="1908">
        <f>IF(H62=0,0,(H62-G62)/G62)</f>
        <v>9.1694548272814619E-2</v>
      </c>
      <c r="I61" s="1908">
        <f>IF(I62=0,0,(I62-H62)/H62)</f>
        <v>2.4370171666503151E-2</v>
      </c>
      <c r="J61" s="1908">
        <f>IF(J62=0,0,(J62-I62)/I62)</f>
        <v>5.0788105111635437E-2</v>
      </c>
      <c r="K61" s="1908">
        <f t="shared" ref="K61:N61" si="27">IF(K62=0,0,(K62-J62)/J62)</f>
        <v>0</v>
      </c>
      <c r="L61" s="1908">
        <f t="shared" si="27"/>
        <v>0</v>
      </c>
      <c r="M61" s="1908">
        <f t="shared" si="27"/>
        <v>0</v>
      </c>
      <c r="N61" s="1908">
        <f t="shared" si="27"/>
        <v>0</v>
      </c>
      <c r="O61" s="1927"/>
      <c r="P61" s="1940"/>
      <c r="Q61" s="1866"/>
      <c r="S61" s="1931"/>
      <c r="T61" s="1931"/>
      <c r="U61" s="1931"/>
      <c r="V61" s="1931"/>
      <c r="W61" s="1931"/>
      <c r="X61" s="1931"/>
      <c r="AC61" s="1867">
        <f t="shared" ca="1" si="19"/>
        <v>1</v>
      </c>
      <c r="AD61" s="1867">
        <f t="shared" ca="1" si="19"/>
        <v>1</v>
      </c>
      <c r="AE61" s="1867">
        <f t="shared" ca="1" si="19"/>
        <v>1</v>
      </c>
      <c r="AF61" s="1867">
        <f t="shared" ca="1" si="19"/>
        <v>1</v>
      </c>
      <c r="AG61" s="1867">
        <f t="shared" ca="1" si="19"/>
        <v>1</v>
      </c>
      <c r="AH61" s="1867">
        <f t="shared" ca="1" si="19"/>
        <v>1</v>
      </c>
      <c r="AI61" s="1867">
        <f t="shared" ca="1" si="19"/>
        <v>1</v>
      </c>
      <c r="AJ61" s="1867">
        <f t="shared" ca="1" si="19"/>
        <v>1</v>
      </c>
      <c r="AK61" s="1867">
        <f t="shared" ca="1" si="19"/>
        <v>1</v>
      </c>
      <c r="AL61" s="1867">
        <f t="shared" ca="1" si="19"/>
        <v>1</v>
      </c>
      <c r="AM61" s="1867">
        <f t="shared" ca="1" si="22"/>
        <v>1</v>
      </c>
      <c r="AN61" s="1868" t="s">
        <v>1585</v>
      </c>
      <c r="AO61" s="1867">
        <f t="shared" ca="1" si="23"/>
        <v>1</v>
      </c>
    </row>
    <row r="62" spans="1:41" ht="14.25" customHeight="1" outlineLevel="1">
      <c r="A62" s="1842">
        <f>ROW()</f>
        <v>62</v>
      </c>
      <c r="B62" s="1925"/>
      <c r="D62" s="1870" t="s">
        <v>1615</v>
      </c>
      <c r="E62" s="1941">
        <f>Summary!G50-Summary!G45</f>
        <v>4844870.2432031929</v>
      </c>
      <c r="F62" s="1941">
        <f>Summary!H50-Summary!H45</f>
        <v>6177360.601203193</v>
      </c>
      <c r="G62" s="1941">
        <f>Summary!I50-Summary!I45</f>
        <v>7282864.1360153938</v>
      </c>
      <c r="H62" s="1941">
        <f>Summary!J50-Summary!J45</f>
        <v>7950663.0730996076</v>
      </c>
      <c r="I62" s="1941">
        <f>Summary!K50-Summary!K45</f>
        <v>8144422.0970535725</v>
      </c>
      <c r="J62" s="1941">
        <f>Summary!L50-Summary!L45</f>
        <v>8558061.8625922557</v>
      </c>
      <c r="K62" s="1941">
        <v>0</v>
      </c>
      <c r="L62" s="1941">
        <v>0</v>
      </c>
      <c r="M62" s="1941">
        <v>0</v>
      </c>
      <c r="N62" s="1941">
        <v>0</v>
      </c>
      <c r="O62" s="1927"/>
      <c r="P62" s="1940"/>
      <c r="Q62" s="1866"/>
      <c r="S62" s="1931">
        <f t="shared" ref="S62:X69" si="28">IFERROR(E62/E$57,0)</f>
        <v>0.91361580146281873</v>
      </c>
      <c r="T62" s="1931">
        <f t="shared" si="28"/>
        <v>0.85055725913180857</v>
      </c>
      <c r="U62" s="1931">
        <f t="shared" si="28"/>
        <v>0.8674210149653433</v>
      </c>
      <c r="V62" s="1931">
        <f t="shared" si="28"/>
        <v>0.82567643350503672</v>
      </c>
      <c r="W62" s="1931">
        <f t="shared" si="28"/>
        <v>0.80515965545789214</v>
      </c>
      <c r="X62" s="1931">
        <f t="shared" si="28"/>
        <v>0.82102689729864586</v>
      </c>
      <c r="AC62" s="1867">
        <f t="shared" ref="AC62:AL81" ca="1" si="29">CELL("protect",A62)</f>
        <v>1</v>
      </c>
      <c r="AD62" s="1867">
        <f t="shared" ca="1" si="29"/>
        <v>1</v>
      </c>
      <c r="AE62" s="1867">
        <f t="shared" ca="1" si="29"/>
        <v>1</v>
      </c>
      <c r="AF62" s="1867">
        <f t="shared" ca="1" si="29"/>
        <v>1</v>
      </c>
      <c r="AG62" s="1867">
        <f t="shared" ca="1" si="29"/>
        <v>0</v>
      </c>
      <c r="AH62" s="1867">
        <f t="shared" ca="1" si="29"/>
        <v>0</v>
      </c>
      <c r="AI62" s="1867">
        <f t="shared" ca="1" si="29"/>
        <v>0</v>
      </c>
      <c r="AJ62" s="1867">
        <f t="shared" ca="1" si="29"/>
        <v>0</v>
      </c>
      <c r="AK62" s="1867">
        <f t="shared" ca="1" si="29"/>
        <v>0</v>
      </c>
      <c r="AL62" s="1867">
        <f t="shared" ca="1" si="29"/>
        <v>0</v>
      </c>
      <c r="AM62" s="1867">
        <f t="shared" ca="1" si="22"/>
        <v>1</v>
      </c>
      <c r="AN62" s="1868" t="s">
        <v>1585</v>
      </c>
      <c r="AO62" s="1867">
        <f t="shared" ca="1" si="23"/>
        <v>1</v>
      </c>
    </row>
    <row r="63" spans="1:41" ht="14.25" customHeight="1" outlineLevel="1">
      <c r="A63" s="1842">
        <f>ROW()</f>
        <v>63</v>
      </c>
      <c r="B63" s="1925"/>
      <c r="D63" s="1870" t="s">
        <v>1616</v>
      </c>
      <c r="E63" s="1932">
        <f>Summary!G45</f>
        <v>0</v>
      </c>
      <c r="F63" s="1932">
        <f>Summary!H45</f>
        <v>0</v>
      </c>
      <c r="G63" s="1932">
        <f>Summary!I45</f>
        <v>0</v>
      </c>
      <c r="H63" s="1932">
        <f>Summary!J45</f>
        <v>0</v>
      </c>
      <c r="I63" s="1932">
        <f>Summary!K45</f>
        <v>0</v>
      </c>
      <c r="J63" s="1932">
        <f>Summary!L45</f>
        <v>0</v>
      </c>
      <c r="K63" s="1932">
        <v>0</v>
      </c>
      <c r="L63" s="1932">
        <v>0</v>
      </c>
      <c r="M63" s="1932">
        <v>0</v>
      </c>
      <c r="N63" s="1932">
        <v>0</v>
      </c>
      <c r="O63" s="1927"/>
      <c r="P63" s="1940"/>
      <c r="Q63" s="1866" t="s">
        <v>1617</v>
      </c>
      <c r="S63" s="1931">
        <f t="shared" si="28"/>
        <v>0</v>
      </c>
      <c r="T63" s="1931">
        <f t="shared" si="28"/>
        <v>0</v>
      </c>
      <c r="U63" s="1931">
        <f t="shared" si="28"/>
        <v>0</v>
      </c>
      <c r="V63" s="1931">
        <f t="shared" si="28"/>
        <v>0</v>
      </c>
      <c r="W63" s="1931">
        <f t="shared" si="28"/>
        <v>0</v>
      </c>
      <c r="X63" s="1931">
        <f t="shared" si="28"/>
        <v>0</v>
      </c>
      <c r="AC63" s="1867">
        <f t="shared" ca="1" si="29"/>
        <v>1</v>
      </c>
      <c r="AD63" s="1867">
        <f t="shared" ca="1" si="29"/>
        <v>1</v>
      </c>
      <c r="AE63" s="1867">
        <f t="shared" ca="1" si="29"/>
        <v>1</v>
      </c>
      <c r="AF63" s="1867">
        <f t="shared" ca="1" si="29"/>
        <v>1</v>
      </c>
      <c r="AG63" s="1867">
        <f t="shared" ca="1" si="29"/>
        <v>0</v>
      </c>
      <c r="AH63" s="1867">
        <f t="shared" ca="1" si="29"/>
        <v>0</v>
      </c>
      <c r="AI63" s="1867">
        <f t="shared" ca="1" si="29"/>
        <v>0</v>
      </c>
      <c r="AJ63" s="1867">
        <f t="shared" ca="1" si="29"/>
        <v>0</v>
      </c>
      <c r="AK63" s="1867">
        <f t="shared" ca="1" si="29"/>
        <v>0</v>
      </c>
      <c r="AL63" s="1867">
        <f t="shared" ca="1" si="29"/>
        <v>0</v>
      </c>
      <c r="AM63" s="1867">
        <f t="shared" ca="1" si="22"/>
        <v>1</v>
      </c>
      <c r="AN63" s="1868" t="s">
        <v>1585</v>
      </c>
      <c r="AO63" s="1867">
        <f t="shared" ca="1" si="23"/>
        <v>1</v>
      </c>
    </row>
    <row r="64" spans="1:41" ht="14.25" customHeight="1" outlineLevel="1">
      <c r="A64" s="1842">
        <f>ROW()</f>
        <v>64</v>
      </c>
      <c r="B64" s="1925"/>
      <c r="D64" s="1870" t="s">
        <v>1618</v>
      </c>
      <c r="E64" s="1932">
        <v>0</v>
      </c>
      <c r="F64" s="1932">
        <v>0</v>
      </c>
      <c r="G64" s="1932">
        <v>0</v>
      </c>
      <c r="H64" s="1932">
        <v>0</v>
      </c>
      <c r="I64" s="1932">
        <v>0</v>
      </c>
      <c r="J64" s="1932">
        <v>0</v>
      </c>
      <c r="K64" s="1932">
        <v>0</v>
      </c>
      <c r="L64" s="1932">
        <v>0</v>
      </c>
      <c r="M64" s="1932">
        <v>0</v>
      </c>
      <c r="N64" s="1932">
        <v>0</v>
      </c>
      <c r="O64" s="1927"/>
      <c r="P64" s="1940"/>
      <c r="Q64" s="1866"/>
      <c r="S64" s="1931"/>
      <c r="T64" s="1931"/>
      <c r="U64" s="1931"/>
      <c r="V64" s="1931"/>
      <c r="W64" s="1931"/>
      <c r="X64" s="1931"/>
      <c r="AC64" s="1867"/>
      <c r="AD64" s="1867"/>
      <c r="AE64" s="1867"/>
      <c r="AF64" s="1867"/>
      <c r="AG64" s="1867"/>
      <c r="AH64" s="1867"/>
      <c r="AI64" s="1867"/>
      <c r="AJ64" s="1867"/>
      <c r="AK64" s="1867"/>
      <c r="AL64" s="1867"/>
      <c r="AM64" s="1867"/>
      <c r="AN64" s="1868"/>
      <c r="AO64" s="1867"/>
    </row>
    <row r="65" spans="1:41" ht="14.25" customHeight="1" outlineLevel="1">
      <c r="A65" s="1842">
        <f>ROW()</f>
        <v>65</v>
      </c>
      <c r="B65" s="1925"/>
      <c r="D65" s="1870" t="s">
        <v>1619</v>
      </c>
      <c r="E65" s="1932">
        <v>0</v>
      </c>
      <c r="F65" s="1932">
        <v>0</v>
      </c>
      <c r="G65" s="1932">
        <v>0</v>
      </c>
      <c r="H65" s="1932">
        <v>0</v>
      </c>
      <c r="I65" s="1932">
        <v>0</v>
      </c>
      <c r="J65" s="1932">
        <v>0</v>
      </c>
      <c r="K65" s="1932">
        <v>0</v>
      </c>
      <c r="L65" s="1932">
        <v>0</v>
      </c>
      <c r="M65" s="1932">
        <v>0</v>
      </c>
      <c r="N65" s="1932">
        <v>0</v>
      </c>
      <c r="O65" s="1927"/>
      <c r="P65" s="1940"/>
      <c r="Q65" s="1866" t="s">
        <v>1620</v>
      </c>
      <c r="S65" s="1931">
        <f t="shared" si="28"/>
        <v>0</v>
      </c>
      <c r="T65" s="1931">
        <f t="shared" si="28"/>
        <v>0</v>
      </c>
      <c r="U65" s="1931">
        <f t="shared" si="28"/>
        <v>0</v>
      </c>
      <c r="V65" s="1931">
        <f t="shared" si="28"/>
        <v>0</v>
      </c>
      <c r="W65" s="1931">
        <f t="shared" si="28"/>
        <v>0</v>
      </c>
      <c r="X65" s="1931">
        <f t="shared" si="28"/>
        <v>0</v>
      </c>
      <c r="AC65" s="1867">
        <f t="shared" ca="1" si="29"/>
        <v>1</v>
      </c>
      <c r="AD65" s="1867">
        <f t="shared" ca="1" si="29"/>
        <v>1</v>
      </c>
      <c r="AE65" s="1867">
        <f t="shared" ca="1" si="29"/>
        <v>1</v>
      </c>
      <c r="AF65" s="1867">
        <f t="shared" ca="1" si="29"/>
        <v>1</v>
      </c>
      <c r="AG65" s="1867">
        <f t="shared" ca="1" si="29"/>
        <v>0</v>
      </c>
      <c r="AH65" s="1867">
        <f t="shared" ca="1" si="29"/>
        <v>0</v>
      </c>
      <c r="AI65" s="1867">
        <f t="shared" ca="1" si="29"/>
        <v>0</v>
      </c>
      <c r="AJ65" s="1867">
        <f t="shared" ca="1" si="29"/>
        <v>0</v>
      </c>
      <c r="AK65" s="1867">
        <f t="shared" ca="1" si="29"/>
        <v>0</v>
      </c>
      <c r="AL65" s="1867">
        <f t="shared" ca="1" si="29"/>
        <v>0</v>
      </c>
      <c r="AM65" s="1867">
        <f t="shared" ca="1" si="22"/>
        <v>1</v>
      </c>
      <c r="AN65" s="1868" t="s">
        <v>1585</v>
      </c>
      <c r="AO65" s="1867">
        <f t="shared" ca="1" si="23"/>
        <v>1</v>
      </c>
    </row>
    <row r="66" spans="1:41" ht="14.25" customHeight="1" outlineLevel="1">
      <c r="A66" s="1842">
        <f>ROW()</f>
        <v>66</v>
      </c>
      <c r="B66" s="1925"/>
      <c r="D66" s="1870" t="s">
        <v>1621</v>
      </c>
      <c r="E66" s="1932">
        <v>0</v>
      </c>
      <c r="F66" s="1932">
        <v>0</v>
      </c>
      <c r="G66" s="1932">
        <v>0</v>
      </c>
      <c r="H66" s="1932">
        <v>0</v>
      </c>
      <c r="I66" s="1932">
        <v>0</v>
      </c>
      <c r="J66" s="1932">
        <v>0</v>
      </c>
      <c r="K66" s="1932">
        <v>0</v>
      </c>
      <c r="L66" s="1932">
        <v>0</v>
      </c>
      <c r="M66" s="1932">
        <v>0</v>
      </c>
      <c r="N66" s="1932">
        <v>0</v>
      </c>
      <c r="O66" s="1927"/>
      <c r="P66" s="1940"/>
      <c r="Q66" s="1866" t="s">
        <v>1620</v>
      </c>
      <c r="S66" s="1931">
        <f t="shared" si="28"/>
        <v>0</v>
      </c>
      <c r="T66" s="1931">
        <f t="shared" si="28"/>
        <v>0</v>
      </c>
      <c r="U66" s="1931">
        <f t="shared" si="28"/>
        <v>0</v>
      </c>
      <c r="V66" s="1931">
        <f t="shared" si="28"/>
        <v>0</v>
      </c>
      <c r="W66" s="1931">
        <f t="shared" si="28"/>
        <v>0</v>
      </c>
      <c r="X66" s="1931">
        <f t="shared" si="28"/>
        <v>0</v>
      </c>
      <c r="AC66" s="1867">
        <f t="shared" ca="1" si="29"/>
        <v>1</v>
      </c>
      <c r="AD66" s="1867">
        <f t="shared" ca="1" si="29"/>
        <v>1</v>
      </c>
      <c r="AE66" s="1867">
        <f t="shared" ca="1" si="29"/>
        <v>1</v>
      </c>
      <c r="AF66" s="1867">
        <f t="shared" ca="1" si="29"/>
        <v>1</v>
      </c>
      <c r="AG66" s="1867">
        <f t="shared" ca="1" si="29"/>
        <v>0</v>
      </c>
      <c r="AH66" s="1867">
        <f t="shared" ca="1" si="29"/>
        <v>0</v>
      </c>
      <c r="AI66" s="1867">
        <f t="shared" ca="1" si="29"/>
        <v>0</v>
      </c>
      <c r="AJ66" s="1867">
        <f t="shared" ca="1" si="29"/>
        <v>0</v>
      </c>
      <c r="AK66" s="1867">
        <f t="shared" ca="1" si="29"/>
        <v>0</v>
      </c>
      <c r="AL66" s="1867">
        <f t="shared" ca="1" si="29"/>
        <v>0</v>
      </c>
      <c r="AM66" s="1867">
        <f t="shared" ca="1" si="22"/>
        <v>1</v>
      </c>
      <c r="AN66" s="1868" t="s">
        <v>1585</v>
      </c>
      <c r="AO66" s="1867">
        <f t="shared" ca="1" si="23"/>
        <v>1</v>
      </c>
    </row>
    <row r="67" spans="1:41" ht="14.25" customHeight="1" outlineLevel="1">
      <c r="A67" s="1842">
        <f>ROW()</f>
        <v>67</v>
      </c>
      <c r="B67" s="1925"/>
      <c r="D67" s="1870" t="s">
        <v>1622</v>
      </c>
      <c r="E67" s="1932">
        <v>0</v>
      </c>
      <c r="F67" s="1932">
        <v>0</v>
      </c>
      <c r="G67" s="1932">
        <v>0</v>
      </c>
      <c r="H67" s="1932">
        <v>0</v>
      </c>
      <c r="I67" s="1932">
        <v>0</v>
      </c>
      <c r="J67" s="1932">
        <v>0</v>
      </c>
      <c r="K67" s="1932">
        <v>0</v>
      </c>
      <c r="L67" s="1932">
        <v>0</v>
      </c>
      <c r="M67" s="1932">
        <v>0</v>
      </c>
      <c r="N67" s="1932">
        <v>0</v>
      </c>
      <c r="O67" s="1927"/>
      <c r="P67" s="1940"/>
      <c r="Q67" s="1866"/>
      <c r="S67" s="1931">
        <f t="shared" si="28"/>
        <v>0</v>
      </c>
      <c r="T67" s="1931">
        <f t="shared" si="28"/>
        <v>0</v>
      </c>
      <c r="U67" s="1931">
        <f t="shared" si="28"/>
        <v>0</v>
      </c>
      <c r="V67" s="1931">
        <f t="shared" si="28"/>
        <v>0</v>
      </c>
      <c r="W67" s="1931">
        <f t="shared" si="28"/>
        <v>0</v>
      </c>
      <c r="X67" s="1931">
        <f t="shared" si="28"/>
        <v>0</v>
      </c>
      <c r="AC67" s="1867">
        <f t="shared" ca="1" si="29"/>
        <v>1</v>
      </c>
      <c r="AD67" s="1867">
        <f t="shared" ca="1" si="29"/>
        <v>1</v>
      </c>
      <c r="AE67" s="1867">
        <f t="shared" ca="1" si="29"/>
        <v>1</v>
      </c>
      <c r="AF67" s="1867">
        <f t="shared" ca="1" si="29"/>
        <v>1</v>
      </c>
      <c r="AG67" s="1867">
        <f t="shared" ca="1" si="29"/>
        <v>0</v>
      </c>
      <c r="AH67" s="1867">
        <f t="shared" ca="1" si="29"/>
        <v>0</v>
      </c>
      <c r="AI67" s="1867">
        <f t="shared" ca="1" si="29"/>
        <v>0</v>
      </c>
      <c r="AJ67" s="1867">
        <f t="shared" ca="1" si="29"/>
        <v>0</v>
      </c>
      <c r="AK67" s="1867">
        <f t="shared" ca="1" si="29"/>
        <v>0</v>
      </c>
      <c r="AL67" s="1867">
        <f t="shared" ca="1" si="29"/>
        <v>0</v>
      </c>
      <c r="AM67" s="1867">
        <f t="shared" ca="1" si="22"/>
        <v>1</v>
      </c>
      <c r="AN67" s="1868" t="s">
        <v>1585</v>
      </c>
      <c r="AO67" s="1867">
        <f t="shared" ca="1" si="23"/>
        <v>1</v>
      </c>
    </row>
    <row r="68" spans="1:41" ht="13.8" outlineLevel="1">
      <c r="A68" s="1842">
        <f>ROW()</f>
        <v>68</v>
      </c>
      <c r="B68" s="1925"/>
      <c r="D68" s="1933" t="s">
        <v>1623</v>
      </c>
      <c r="E68" s="1942">
        <f>SUM(E62:E67)</f>
        <v>4844870.2432031929</v>
      </c>
      <c r="F68" s="1942">
        <f t="shared" ref="F68:N68" si="30">SUM(F62:F67)</f>
        <v>6177360.601203193</v>
      </c>
      <c r="G68" s="1942">
        <f t="shared" si="30"/>
        <v>7282864.1360153938</v>
      </c>
      <c r="H68" s="1942">
        <f t="shared" si="30"/>
        <v>7950663.0730996076</v>
      </c>
      <c r="I68" s="1942">
        <f t="shared" si="30"/>
        <v>8144422.0970535725</v>
      </c>
      <c r="J68" s="1942">
        <f t="shared" si="30"/>
        <v>8558061.8625922557</v>
      </c>
      <c r="K68" s="1942">
        <f t="shared" si="30"/>
        <v>0</v>
      </c>
      <c r="L68" s="1942">
        <f t="shared" si="30"/>
        <v>0</v>
      </c>
      <c r="M68" s="1942">
        <f t="shared" si="30"/>
        <v>0</v>
      </c>
      <c r="N68" s="1942">
        <f t="shared" si="30"/>
        <v>0</v>
      </c>
      <c r="O68" s="1927"/>
      <c r="P68" s="1913"/>
      <c r="Q68" s="1866" t="s">
        <v>1624</v>
      </c>
      <c r="S68" s="1943">
        <f t="shared" si="28"/>
        <v>0.91361580146281873</v>
      </c>
      <c r="T68" s="1943">
        <f t="shared" si="28"/>
        <v>0.85055725913180857</v>
      </c>
      <c r="U68" s="1943">
        <f t="shared" si="28"/>
        <v>0.8674210149653433</v>
      </c>
      <c r="V68" s="1943">
        <f t="shared" si="28"/>
        <v>0.82567643350503672</v>
      </c>
      <c r="W68" s="1943">
        <f t="shared" si="28"/>
        <v>0.80515965545789214</v>
      </c>
      <c r="X68" s="1943">
        <f t="shared" si="28"/>
        <v>0.82102689729864586</v>
      </c>
      <c r="AC68" s="1867">
        <f t="shared" ca="1" si="29"/>
        <v>1</v>
      </c>
      <c r="AD68" s="1867">
        <f t="shared" ca="1" si="29"/>
        <v>1</v>
      </c>
      <c r="AE68" s="1867">
        <f t="shared" ca="1" si="29"/>
        <v>1</v>
      </c>
      <c r="AF68" s="1867">
        <f t="shared" ca="1" si="29"/>
        <v>1</v>
      </c>
      <c r="AG68" s="1867">
        <f t="shared" ca="1" si="29"/>
        <v>1</v>
      </c>
      <c r="AH68" s="1867">
        <f t="shared" ca="1" si="29"/>
        <v>1</v>
      </c>
      <c r="AI68" s="1867">
        <f t="shared" ca="1" si="29"/>
        <v>1</v>
      </c>
      <c r="AJ68" s="1867">
        <f t="shared" ca="1" si="29"/>
        <v>1</v>
      </c>
      <c r="AK68" s="1867">
        <f t="shared" ca="1" si="29"/>
        <v>1</v>
      </c>
      <c r="AL68" s="1867">
        <f t="shared" ca="1" si="29"/>
        <v>1</v>
      </c>
      <c r="AM68" s="1867">
        <f t="shared" ca="1" si="22"/>
        <v>1</v>
      </c>
      <c r="AN68" s="1868" t="s">
        <v>1585</v>
      </c>
      <c r="AO68" s="1867">
        <f t="shared" ca="1" si="23"/>
        <v>1</v>
      </c>
    </row>
    <row r="69" spans="1:41" ht="13.8" outlineLevel="1">
      <c r="A69" s="1842">
        <f>ROW()</f>
        <v>69</v>
      </c>
      <c r="B69" s="1925"/>
      <c r="D69" s="1870" t="s">
        <v>1625</v>
      </c>
      <c r="E69" s="1936">
        <f>IFERROR(E68/E30,0)</f>
        <v>8971.9819318577647</v>
      </c>
      <c r="F69" s="1936">
        <f t="shared" ref="F69:N69" si="31">IFERROR(F68/F30,0)</f>
        <v>9532.9638907456683</v>
      </c>
      <c r="G69" s="1936">
        <f t="shared" si="31"/>
        <v>9633.4181693325318</v>
      </c>
      <c r="H69" s="1936">
        <f t="shared" si="31"/>
        <v>9202.1563346060266</v>
      </c>
      <c r="I69" s="1936">
        <f t="shared" si="31"/>
        <v>9140.7655410253337</v>
      </c>
      <c r="J69" s="1936">
        <f t="shared" si="31"/>
        <v>9322.5074755906917</v>
      </c>
      <c r="K69" s="1936">
        <f t="shared" si="31"/>
        <v>0</v>
      </c>
      <c r="L69" s="1936">
        <f t="shared" si="31"/>
        <v>0</v>
      </c>
      <c r="M69" s="1936">
        <f t="shared" si="31"/>
        <v>0</v>
      </c>
      <c r="N69" s="1936">
        <f t="shared" si="31"/>
        <v>0</v>
      </c>
      <c r="O69" s="1927"/>
      <c r="P69" s="1913"/>
      <c r="Q69" s="1866"/>
      <c r="S69" s="1931">
        <f t="shared" si="28"/>
        <v>1.6918811138200347E-3</v>
      </c>
      <c r="T69" s="1931"/>
      <c r="U69" s="1931"/>
      <c r="V69" s="1931"/>
      <c r="W69" s="1931"/>
      <c r="X69" s="1931"/>
      <c r="AC69" s="1867"/>
      <c r="AD69" s="1867"/>
      <c r="AE69" s="1867"/>
      <c r="AF69" s="1867"/>
      <c r="AG69" s="1867">
        <f t="shared" ca="1" si="29"/>
        <v>1</v>
      </c>
      <c r="AH69" s="1867"/>
      <c r="AI69" s="1867"/>
      <c r="AJ69" s="1867"/>
      <c r="AK69" s="1867"/>
      <c r="AL69" s="1867"/>
      <c r="AM69" s="1867"/>
      <c r="AN69" s="1868"/>
      <c r="AO69" s="1867"/>
    </row>
    <row r="70" spans="1:41" outlineLevel="1">
      <c r="A70" s="1842">
        <f>ROW()</f>
        <v>70</v>
      </c>
      <c r="D70" s="1944" t="s">
        <v>1626</v>
      </c>
      <c r="E70" s="1904">
        <f>IF(E68&lt;0,"(A net credit?)",0)</f>
        <v>0</v>
      </c>
      <c r="F70" s="1904">
        <f t="shared" ref="F70:N70" si="32">IF(F68&lt;0,"(A net credit?)",0)</f>
        <v>0</v>
      </c>
      <c r="G70" s="1904">
        <f t="shared" si="32"/>
        <v>0</v>
      </c>
      <c r="H70" s="1904">
        <f t="shared" si="32"/>
        <v>0</v>
      </c>
      <c r="I70" s="1904">
        <f t="shared" si="32"/>
        <v>0</v>
      </c>
      <c r="J70" s="1904">
        <f t="shared" si="32"/>
        <v>0</v>
      </c>
      <c r="K70" s="1904">
        <f t="shared" si="32"/>
        <v>0</v>
      </c>
      <c r="L70" s="1904">
        <f t="shared" si="32"/>
        <v>0</v>
      </c>
      <c r="M70" s="1904">
        <f t="shared" si="32"/>
        <v>0</v>
      </c>
      <c r="N70" s="1904">
        <f t="shared" si="32"/>
        <v>0</v>
      </c>
      <c r="P70" s="1913"/>
      <c r="Q70" s="1866"/>
      <c r="S70" s="1931"/>
      <c r="T70" s="1931"/>
      <c r="U70" s="1931"/>
      <c r="V70" s="1931"/>
      <c r="W70" s="1931"/>
      <c r="X70" s="1931"/>
      <c r="AC70" s="1867">
        <f t="shared" ref="AC70:AL117" ca="1" si="33">CELL("protect",A70)</f>
        <v>1</v>
      </c>
      <c r="AD70" s="1867">
        <f t="shared" ca="1" si="33"/>
        <v>1</v>
      </c>
      <c r="AE70" s="1867">
        <f t="shared" ca="1" si="33"/>
        <v>1</v>
      </c>
      <c r="AF70" s="1867">
        <f t="shared" ca="1" si="33"/>
        <v>1</v>
      </c>
      <c r="AG70" s="1867">
        <f t="shared" ca="1" si="29"/>
        <v>1</v>
      </c>
      <c r="AH70" s="1867">
        <f t="shared" ca="1" si="29"/>
        <v>1</v>
      </c>
      <c r="AI70" s="1867">
        <f t="shared" ca="1" si="29"/>
        <v>1</v>
      </c>
      <c r="AJ70" s="1867">
        <f t="shared" ca="1" si="29"/>
        <v>1</v>
      </c>
      <c r="AK70" s="1867">
        <f t="shared" ca="1" si="29"/>
        <v>1</v>
      </c>
      <c r="AL70" s="1867">
        <f t="shared" ca="1" si="29"/>
        <v>1</v>
      </c>
      <c r="AM70" s="1867">
        <f t="shared" ca="1" si="22"/>
        <v>1</v>
      </c>
      <c r="AN70" s="1868" t="s">
        <v>1585</v>
      </c>
      <c r="AO70" s="1867">
        <f t="shared" ca="1" si="23"/>
        <v>1</v>
      </c>
    </row>
    <row r="71" spans="1:41" outlineLevel="1">
      <c r="A71" s="1842"/>
      <c r="D71" s="1945" t="s">
        <v>1627</v>
      </c>
      <c r="E71" s="1946">
        <f>IFERROR(E54/E64,0)</f>
        <v>0</v>
      </c>
      <c r="F71" s="1946">
        <f t="shared" ref="F71:N71" si="34">IFERROR(F54/F64,0)</f>
        <v>0</v>
      </c>
      <c r="G71" s="1946">
        <f t="shared" si="34"/>
        <v>0</v>
      </c>
      <c r="H71" s="1946">
        <f t="shared" si="34"/>
        <v>0</v>
      </c>
      <c r="I71" s="1946">
        <f t="shared" si="34"/>
        <v>0</v>
      </c>
      <c r="J71" s="1946">
        <f t="shared" si="34"/>
        <v>0</v>
      </c>
      <c r="K71" s="1946">
        <f t="shared" si="34"/>
        <v>0</v>
      </c>
      <c r="L71" s="1946">
        <f t="shared" si="34"/>
        <v>0</v>
      </c>
      <c r="M71" s="1946">
        <f t="shared" si="34"/>
        <v>0</v>
      </c>
      <c r="N71" s="1946">
        <f t="shared" si="34"/>
        <v>0</v>
      </c>
      <c r="P71" s="1913"/>
      <c r="Q71" s="1866"/>
      <c r="S71" s="1931"/>
      <c r="T71" s="1931"/>
      <c r="U71" s="1931"/>
      <c r="V71" s="1931"/>
      <c r="W71" s="1931"/>
      <c r="X71" s="1931"/>
      <c r="AC71" s="1867"/>
      <c r="AD71" s="1867"/>
      <c r="AE71" s="1867"/>
      <c r="AF71" s="1867"/>
      <c r="AG71" s="1867"/>
      <c r="AH71" s="1867"/>
      <c r="AI71" s="1867"/>
      <c r="AJ71" s="1867"/>
      <c r="AK71" s="1867"/>
      <c r="AL71" s="1867"/>
      <c r="AM71" s="1867"/>
      <c r="AN71" s="1868"/>
      <c r="AO71" s="1867"/>
    </row>
    <row r="72" spans="1:41" outlineLevel="1">
      <c r="A72" s="1842">
        <f>ROW()</f>
        <v>72</v>
      </c>
      <c r="B72" s="1925"/>
      <c r="D72" s="1918" t="s">
        <v>1612</v>
      </c>
      <c r="E72" s="2250"/>
      <c r="F72" s="2250"/>
      <c r="G72" s="2250"/>
      <c r="H72" s="2250"/>
      <c r="I72" s="2250"/>
      <c r="J72" s="2250"/>
      <c r="K72" s="2250"/>
      <c r="L72" s="2250"/>
      <c r="M72" s="2250"/>
      <c r="N72" s="2250"/>
      <c r="O72" s="1927"/>
      <c r="P72" s="1913"/>
      <c r="Q72" s="1866"/>
      <c r="S72" s="1931"/>
      <c r="T72" s="1931"/>
      <c r="U72" s="1931"/>
      <c r="V72" s="1931"/>
      <c r="W72" s="1931"/>
      <c r="X72" s="1931"/>
      <c r="AC72" s="1867">
        <f t="shared" ca="1" si="33"/>
        <v>1</v>
      </c>
      <c r="AD72" s="1867">
        <f t="shared" ca="1" si="33"/>
        <v>1</v>
      </c>
      <c r="AE72" s="1867">
        <f t="shared" ca="1" si="33"/>
        <v>1</v>
      </c>
      <c r="AF72" s="1867">
        <f t="shared" ca="1" si="33"/>
        <v>1</v>
      </c>
      <c r="AG72" s="1867">
        <f t="shared" ca="1" si="29"/>
        <v>0</v>
      </c>
      <c r="AH72" s="1867">
        <f t="shared" ca="1" si="29"/>
        <v>0</v>
      </c>
      <c r="AI72" s="1867">
        <f t="shared" ca="1" si="29"/>
        <v>0</v>
      </c>
      <c r="AJ72" s="1867">
        <f t="shared" ca="1" si="29"/>
        <v>0</v>
      </c>
      <c r="AK72" s="1867">
        <f t="shared" ca="1" si="29"/>
        <v>0</v>
      </c>
      <c r="AL72" s="1867">
        <f t="shared" ca="1" si="29"/>
        <v>0</v>
      </c>
      <c r="AM72" s="1867">
        <f t="shared" ref="AM72" ca="1" si="35">CELL("protect",O72)</f>
        <v>1</v>
      </c>
      <c r="AN72" s="1868" t="s">
        <v>1585</v>
      </c>
      <c r="AO72" s="1867">
        <f t="shared" ref="AO72" ca="1" si="36">CELL("protect",P72)</f>
        <v>1</v>
      </c>
    </row>
    <row r="73" spans="1:41" outlineLevel="1">
      <c r="A73" s="1842">
        <f>ROW()</f>
        <v>73</v>
      </c>
      <c r="B73" s="1925"/>
      <c r="D73" s="1918"/>
      <c r="E73" s="1947"/>
      <c r="F73" s="1947"/>
      <c r="G73" s="1947"/>
      <c r="H73" s="1947"/>
      <c r="I73" s="1947"/>
      <c r="J73" s="1947"/>
      <c r="K73" s="1947"/>
      <c r="L73" s="1947"/>
      <c r="M73" s="1947"/>
      <c r="N73" s="1947"/>
      <c r="O73" s="1927"/>
      <c r="P73" s="1913"/>
      <c r="Q73" s="1866"/>
      <c r="S73" s="1931"/>
      <c r="T73" s="1931"/>
      <c r="U73" s="1931"/>
      <c r="V73" s="1931"/>
      <c r="W73" s="1931"/>
      <c r="X73" s="1931"/>
      <c r="AC73" s="1867"/>
      <c r="AD73" s="1867"/>
      <c r="AE73" s="1867"/>
      <c r="AF73" s="1867"/>
      <c r="AG73" s="1867"/>
      <c r="AH73" s="1867"/>
      <c r="AI73" s="1867"/>
      <c r="AJ73" s="1867"/>
      <c r="AK73" s="1867"/>
      <c r="AL73" s="1867"/>
      <c r="AM73" s="1867"/>
      <c r="AN73" s="1868"/>
      <c r="AO73" s="1867"/>
    </row>
    <row r="74" spans="1:41" outlineLevel="1">
      <c r="A74" s="1842">
        <f>ROW()</f>
        <v>74</v>
      </c>
      <c r="D74" s="1948" t="s">
        <v>1628</v>
      </c>
      <c r="E74" s="1869"/>
      <c r="F74" s="1869"/>
      <c r="G74" s="1866"/>
      <c r="H74" s="1866"/>
      <c r="I74" s="1866"/>
      <c r="J74" s="1866"/>
      <c r="K74" s="1866"/>
      <c r="L74" s="1866"/>
      <c r="M74" s="1866"/>
      <c r="N74" s="1866"/>
      <c r="P74" s="1913"/>
      <c r="Q74" s="1866"/>
      <c r="S74" s="1931"/>
      <c r="T74" s="1931"/>
      <c r="U74" s="1931"/>
      <c r="V74" s="1931"/>
      <c r="W74" s="1931"/>
      <c r="X74" s="1931"/>
      <c r="AC74" s="1867">
        <f t="shared" ca="1" si="33"/>
        <v>1</v>
      </c>
      <c r="AD74" s="1867">
        <f t="shared" ca="1" si="33"/>
        <v>1</v>
      </c>
      <c r="AE74" s="1867">
        <f t="shared" ca="1" si="33"/>
        <v>1</v>
      </c>
      <c r="AF74" s="1867">
        <f t="shared" ca="1" si="33"/>
        <v>1</v>
      </c>
      <c r="AG74" s="1867">
        <f t="shared" ca="1" si="29"/>
        <v>1</v>
      </c>
      <c r="AH74" s="1867">
        <f t="shared" ca="1" si="29"/>
        <v>1</v>
      </c>
      <c r="AI74" s="1867">
        <f t="shared" ca="1" si="29"/>
        <v>1</v>
      </c>
      <c r="AJ74" s="1867">
        <f t="shared" ca="1" si="29"/>
        <v>1</v>
      </c>
      <c r="AK74" s="1867">
        <f t="shared" ca="1" si="29"/>
        <v>1</v>
      </c>
      <c r="AL74" s="1867">
        <f t="shared" ca="1" si="29"/>
        <v>1</v>
      </c>
      <c r="AM74" s="1867">
        <f t="shared" ca="1" si="22"/>
        <v>1</v>
      </c>
      <c r="AN74" s="1868" t="s">
        <v>1585</v>
      </c>
      <c r="AO74" s="1867">
        <f t="shared" ca="1" si="23"/>
        <v>1</v>
      </c>
    </row>
    <row r="75" spans="1:41" ht="13.8" outlineLevel="1">
      <c r="A75" s="1842">
        <f>ROW()</f>
        <v>75</v>
      </c>
      <c r="B75" s="1925"/>
      <c r="D75" s="1870" t="s">
        <v>1629</v>
      </c>
      <c r="E75" s="1949">
        <v>0</v>
      </c>
      <c r="F75" s="1949">
        <v>0</v>
      </c>
      <c r="G75" s="1949">
        <v>0</v>
      </c>
      <c r="H75" s="1949">
        <v>0</v>
      </c>
      <c r="I75" s="1949">
        <v>0</v>
      </c>
      <c r="J75" s="1949">
        <v>0</v>
      </c>
      <c r="K75" s="1949">
        <v>0</v>
      </c>
      <c r="L75" s="1949">
        <v>0</v>
      </c>
      <c r="M75" s="1949">
        <v>0</v>
      </c>
      <c r="N75" s="1949">
        <v>0</v>
      </c>
      <c r="O75" s="1927"/>
      <c r="P75" s="1913"/>
      <c r="Q75" s="1866" t="s">
        <v>1630</v>
      </c>
      <c r="S75" s="1931">
        <f t="shared" ref="S75:X77" si="37">IFERROR(E75/E$57,0)</f>
        <v>0</v>
      </c>
      <c r="T75" s="1931">
        <f t="shared" si="37"/>
        <v>0</v>
      </c>
      <c r="U75" s="1931">
        <f t="shared" si="37"/>
        <v>0</v>
      </c>
      <c r="V75" s="1931">
        <f t="shared" si="37"/>
        <v>0</v>
      </c>
      <c r="W75" s="1931">
        <f t="shared" si="37"/>
        <v>0</v>
      </c>
      <c r="X75" s="1931">
        <f t="shared" si="37"/>
        <v>0</v>
      </c>
      <c r="AC75" s="1867">
        <f t="shared" ca="1" si="33"/>
        <v>1</v>
      </c>
      <c r="AD75" s="1867">
        <f t="shared" ca="1" si="33"/>
        <v>1</v>
      </c>
      <c r="AE75" s="1867">
        <f t="shared" ca="1" si="33"/>
        <v>1</v>
      </c>
      <c r="AF75" s="1867">
        <f t="shared" ca="1" si="33"/>
        <v>1</v>
      </c>
      <c r="AG75" s="1867">
        <f t="shared" ca="1" si="29"/>
        <v>0</v>
      </c>
      <c r="AH75" s="1867">
        <f t="shared" ca="1" si="29"/>
        <v>0</v>
      </c>
      <c r="AI75" s="1867">
        <f t="shared" ca="1" si="29"/>
        <v>0</v>
      </c>
      <c r="AJ75" s="1867">
        <f t="shared" ca="1" si="29"/>
        <v>0</v>
      </c>
      <c r="AK75" s="1867">
        <f t="shared" ca="1" si="29"/>
        <v>0</v>
      </c>
      <c r="AL75" s="1867">
        <f t="shared" ca="1" si="29"/>
        <v>0</v>
      </c>
      <c r="AM75" s="1867">
        <f t="shared" ca="1" si="22"/>
        <v>1</v>
      </c>
      <c r="AN75" s="1868" t="s">
        <v>1585</v>
      </c>
      <c r="AO75" s="1867">
        <f t="shared" ca="1" si="23"/>
        <v>1</v>
      </c>
    </row>
    <row r="76" spans="1:41" ht="13.8" outlineLevel="1">
      <c r="A76" s="1842">
        <f>ROW()</f>
        <v>76</v>
      </c>
      <c r="B76" s="1925"/>
      <c r="D76" s="1870" t="s">
        <v>1631</v>
      </c>
      <c r="E76" s="1950">
        <v>0</v>
      </c>
      <c r="F76" s="1950">
        <v>0</v>
      </c>
      <c r="G76" s="1950">
        <v>0</v>
      </c>
      <c r="H76" s="1950">
        <v>0</v>
      </c>
      <c r="I76" s="1950">
        <v>0</v>
      </c>
      <c r="J76" s="1950">
        <v>0</v>
      </c>
      <c r="K76" s="1950">
        <v>0</v>
      </c>
      <c r="L76" s="1950">
        <v>0</v>
      </c>
      <c r="M76" s="1950">
        <v>0</v>
      </c>
      <c r="N76" s="1950">
        <v>0</v>
      </c>
      <c r="O76" s="1927"/>
      <c r="P76" s="1913"/>
      <c r="Q76" s="1866" t="s">
        <v>1632</v>
      </c>
      <c r="S76" s="1931">
        <f t="shared" si="37"/>
        <v>0</v>
      </c>
      <c r="T76" s="1931">
        <f t="shared" si="37"/>
        <v>0</v>
      </c>
      <c r="U76" s="1931">
        <f t="shared" si="37"/>
        <v>0</v>
      </c>
      <c r="V76" s="1931">
        <f t="shared" si="37"/>
        <v>0</v>
      </c>
      <c r="W76" s="1931">
        <f t="shared" si="37"/>
        <v>0</v>
      </c>
      <c r="X76" s="1931">
        <f t="shared" si="37"/>
        <v>0</v>
      </c>
      <c r="AC76" s="1867">
        <f t="shared" ca="1" si="33"/>
        <v>1</v>
      </c>
      <c r="AD76" s="1867">
        <f t="shared" ca="1" si="33"/>
        <v>1</v>
      </c>
      <c r="AE76" s="1867">
        <f t="shared" ca="1" si="33"/>
        <v>1</v>
      </c>
      <c r="AF76" s="1867">
        <f t="shared" ca="1" si="33"/>
        <v>1</v>
      </c>
      <c r="AG76" s="1867">
        <f t="shared" ca="1" si="29"/>
        <v>0</v>
      </c>
      <c r="AH76" s="1867">
        <f t="shared" ca="1" si="29"/>
        <v>0</v>
      </c>
      <c r="AI76" s="1867">
        <f t="shared" ca="1" si="29"/>
        <v>0</v>
      </c>
      <c r="AJ76" s="1867">
        <f t="shared" ca="1" si="29"/>
        <v>0</v>
      </c>
      <c r="AK76" s="1867">
        <f t="shared" ca="1" si="29"/>
        <v>0</v>
      </c>
      <c r="AL76" s="1867">
        <f t="shared" ca="1" si="29"/>
        <v>0</v>
      </c>
      <c r="AM76" s="1867">
        <f t="shared" ca="1" si="22"/>
        <v>1</v>
      </c>
      <c r="AN76" s="1868" t="s">
        <v>1585</v>
      </c>
      <c r="AO76" s="1867">
        <f t="shared" ca="1" si="23"/>
        <v>1</v>
      </c>
    </row>
    <row r="77" spans="1:41" ht="13.8" outlineLevel="1">
      <c r="A77" s="1842">
        <f>ROW()</f>
        <v>77</v>
      </c>
      <c r="B77" s="1925"/>
      <c r="D77" s="1933" t="s">
        <v>1633</v>
      </c>
      <c r="E77" s="1951">
        <f t="shared" ref="E77:J77" si="38">SUM(E75:E76)</f>
        <v>0</v>
      </c>
      <c r="F77" s="1951">
        <f t="shared" si="38"/>
        <v>0</v>
      </c>
      <c r="G77" s="1951">
        <f t="shared" si="38"/>
        <v>0</v>
      </c>
      <c r="H77" s="1951">
        <f t="shared" si="38"/>
        <v>0</v>
      </c>
      <c r="I77" s="1951">
        <f t="shared" si="38"/>
        <v>0</v>
      </c>
      <c r="J77" s="1951">
        <f t="shared" si="38"/>
        <v>0</v>
      </c>
      <c r="K77" s="1951">
        <f t="shared" ref="K77:N77" si="39">SUM(K75:K76)</f>
        <v>0</v>
      </c>
      <c r="L77" s="1951">
        <f t="shared" si="39"/>
        <v>0</v>
      </c>
      <c r="M77" s="1951">
        <f t="shared" si="39"/>
        <v>0</v>
      </c>
      <c r="N77" s="1951">
        <f t="shared" si="39"/>
        <v>0</v>
      </c>
      <c r="O77" s="1927"/>
      <c r="P77" s="1913"/>
      <c r="Q77" s="1866"/>
      <c r="S77" s="1943">
        <f t="shared" si="37"/>
        <v>0</v>
      </c>
      <c r="T77" s="1943">
        <f t="shared" si="37"/>
        <v>0</v>
      </c>
      <c r="U77" s="1943">
        <f t="shared" si="37"/>
        <v>0</v>
      </c>
      <c r="V77" s="1943">
        <f t="shared" si="37"/>
        <v>0</v>
      </c>
      <c r="W77" s="1943">
        <f t="shared" si="37"/>
        <v>0</v>
      </c>
      <c r="X77" s="1943">
        <f t="shared" si="37"/>
        <v>0</v>
      </c>
      <c r="AC77" s="1867">
        <f t="shared" ca="1" si="33"/>
        <v>1</v>
      </c>
      <c r="AD77" s="1867">
        <f t="shared" ca="1" si="33"/>
        <v>1</v>
      </c>
      <c r="AE77" s="1867">
        <f t="shared" ca="1" si="33"/>
        <v>1</v>
      </c>
      <c r="AF77" s="1867">
        <f t="shared" ca="1" si="33"/>
        <v>1</v>
      </c>
      <c r="AG77" s="1867">
        <f t="shared" ca="1" si="29"/>
        <v>1</v>
      </c>
      <c r="AH77" s="1867">
        <f t="shared" ca="1" si="29"/>
        <v>1</v>
      </c>
      <c r="AI77" s="1867">
        <f t="shared" ca="1" si="29"/>
        <v>1</v>
      </c>
      <c r="AJ77" s="1867">
        <f t="shared" ca="1" si="29"/>
        <v>1</v>
      </c>
      <c r="AK77" s="1867">
        <f t="shared" ca="1" si="29"/>
        <v>1</v>
      </c>
      <c r="AL77" s="1867">
        <f t="shared" ca="1" si="29"/>
        <v>1</v>
      </c>
      <c r="AM77" s="1867">
        <f t="shared" ca="1" si="22"/>
        <v>1</v>
      </c>
      <c r="AN77" s="1868" t="s">
        <v>1585</v>
      </c>
      <c r="AO77" s="1867">
        <f t="shared" ca="1" si="23"/>
        <v>1</v>
      </c>
    </row>
    <row r="78" spans="1:41" outlineLevel="1">
      <c r="A78" s="1842">
        <f>ROW()</f>
        <v>78</v>
      </c>
      <c r="B78" s="1925"/>
      <c r="D78" s="1866"/>
      <c r="E78" s="1938"/>
      <c r="F78" s="1938"/>
      <c r="G78" s="1938"/>
      <c r="H78" s="1938"/>
      <c r="I78" s="1938"/>
      <c r="J78" s="1938"/>
      <c r="K78" s="1938"/>
      <c r="L78" s="1938"/>
      <c r="M78" s="1938"/>
      <c r="N78" s="1938"/>
      <c r="O78" s="1927"/>
      <c r="P78" s="1913"/>
      <c r="Q78" s="1866"/>
      <c r="S78" s="1931"/>
      <c r="T78" s="1931"/>
      <c r="U78" s="1931"/>
      <c r="V78" s="1931"/>
      <c r="W78" s="1931"/>
      <c r="X78" s="1931"/>
      <c r="AC78" s="1867">
        <f t="shared" ca="1" si="33"/>
        <v>1</v>
      </c>
      <c r="AD78" s="1867">
        <f t="shared" ca="1" si="33"/>
        <v>1</v>
      </c>
      <c r="AE78" s="1867">
        <f t="shared" ca="1" si="33"/>
        <v>1</v>
      </c>
      <c r="AF78" s="1867">
        <f t="shared" ca="1" si="33"/>
        <v>1</v>
      </c>
      <c r="AG78" s="1867">
        <f t="shared" ca="1" si="29"/>
        <v>1</v>
      </c>
      <c r="AH78" s="1867">
        <f t="shared" ca="1" si="29"/>
        <v>1</v>
      </c>
      <c r="AI78" s="1867">
        <f t="shared" ca="1" si="29"/>
        <v>1</v>
      </c>
      <c r="AJ78" s="1867">
        <f t="shared" ca="1" si="29"/>
        <v>1</v>
      </c>
      <c r="AK78" s="1867">
        <f t="shared" ca="1" si="29"/>
        <v>1</v>
      </c>
      <c r="AL78" s="1867">
        <f t="shared" ca="1" si="29"/>
        <v>1</v>
      </c>
      <c r="AM78" s="1867">
        <f t="shared" ca="1" si="22"/>
        <v>1</v>
      </c>
      <c r="AN78" s="1868" t="s">
        <v>1585</v>
      </c>
      <c r="AO78" s="1867">
        <f t="shared" ca="1" si="23"/>
        <v>1</v>
      </c>
    </row>
    <row r="79" spans="1:41" ht="13.8" outlineLevel="1">
      <c r="A79" s="1842">
        <f>ROW()</f>
        <v>79</v>
      </c>
      <c r="B79" s="1925"/>
      <c r="D79" s="1870" t="s">
        <v>1634</v>
      </c>
      <c r="E79" s="1952">
        <v>0</v>
      </c>
      <c r="F79" s="1952">
        <v>0</v>
      </c>
      <c r="G79" s="1952">
        <v>0</v>
      </c>
      <c r="H79" s="1952">
        <v>0</v>
      </c>
      <c r="I79" s="1952">
        <v>0</v>
      </c>
      <c r="J79" s="1952">
        <v>0</v>
      </c>
      <c r="K79" s="1952">
        <v>0</v>
      </c>
      <c r="L79" s="1952">
        <v>0</v>
      </c>
      <c r="M79" s="1952">
        <v>0</v>
      </c>
      <c r="N79" s="1952">
        <v>0</v>
      </c>
      <c r="O79" s="1927"/>
      <c r="P79" s="1953"/>
      <c r="Q79" s="1866" t="s">
        <v>1635</v>
      </c>
      <c r="S79" s="1931">
        <f t="shared" ref="S79:X85" si="40">IFERROR(E79/E$57,0)</f>
        <v>0</v>
      </c>
      <c r="T79" s="1931">
        <f t="shared" si="40"/>
        <v>0</v>
      </c>
      <c r="U79" s="1931">
        <f t="shared" si="40"/>
        <v>0</v>
      </c>
      <c r="V79" s="1931">
        <f t="shared" si="40"/>
        <v>0</v>
      </c>
      <c r="W79" s="1931">
        <f t="shared" si="40"/>
        <v>0</v>
      </c>
      <c r="X79" s="1931">
        <f t="shared" si="40"/>
        <v>0</v>
      </c>
      <c r="AC79" s="1867">
        <f t="shared" ca="1" si="33"/>
        <v>1</v>
      </c>
      <c r="AD79" s="1867">
        <f t="shared" ca="1" si="33"/>
        <v>1</v>
      </c>
      <c r="AE79" s="1867">
        <f t="shared" ca="1" si="33"/>
        <v>1</v>
      </c>
      <c r="AF79" s="1867">
        <f t="shared" ca="1" si="33"/>
        <v>1</v>
      </c>
      <c r="AG79" s="1867">
        <f t="shared" ca="1" si="29"/>
        <v>0</v>
      </c>
      <c r="AH79" s="1867">
        <f t="shared" ca="1" si="29"/>
        <v>0</v>
      </c>
      <c r="AI79" s="1867">
        <f t="shared" ca="1" si="29"/>
        <v>0</v>
      </c>
      <c r="AJ79" s="1867">
        <f t="shared" ca="1" si="29"/>
        <v>0</v>
      </c>
      <c r="AK79" s="1867">
        <f t="shared" ca="1" si="29"/>
        <v>0</v>
      </c>
      <c r="AL79" s="1867">
        <f t="shared" ca="1" si="29"/>
        <v>0</v>
      </c>
      <c r="AM79" s="1867">
        <f t="shared" ca="1" si="22"/>
        <v>1</v>
      </c>
      <c r="AN79" s="1868" t="s">
        <v>1585</v>
      </c>
      <c r="AO79" s="1867">
        <f t="shared" ca="1" si="23"/>
        <v>1</v>
      </c>
    </row>
    <row r="80" spans="1:41" ht="13.8" outlineLevel="1">
      <c r="A80" s="1842">
        <f>ROW()</f>
        <v>80</v>
      </c>
      <c r="B80" s="1925"/>
      <c r="D80" s="1870" t="s">
        <v>1636</v>
      </c>
      <c r="E80" s="1952">
        <v>0</v>
      </c>
      <c r="F80" s="1952">
        <v>0</v>
      </c>
      <c r="G80" s="1952">
        <v>0</v>
      </c>
      <c r="H80" s="1952">
        <v>0</v>
      </c>
      <c r="I80" s="1952">
        <v>0</v>
      </c>
      <c r="J80" s="1952">
        <v>0</v>
      </c>
      <c r="K80" s="1952">
        <v>0</v>
      </c>
      <c r="L80" s="1952">
        <v>0</v>
      </c>
      <c r="M80" s="1952">
        <v>0</v>
      </c>
      <c r="N80" s="1952">
        <v>0</v>
      </c>
      <c r="O80" s="1927"/>
      <c r="P80" s="1953"/>
      <c r="Q80" s="1866" t="s">
        <v>1637</v>
      </c>
      <c r="S80" s="1931">
        <f t="shared" si="40"/>
        <v>0</v>
      </c>
      <c r="T80" s="1931">
        <f t="shared" si="40"/>
        <v>0</v>
      </c>
      <c r="U80" s="1931">
        <f t="shared" si="40"/>
        <v>0</v>
      </c>
      <c r="V80" s="1931">
        <f t="shared" si="40"/>
        <v>0</v>
      </c>
      <c r="W80" s="1931">
        <f t="shared" si="40"/>
        <v>0</v>
      </c>
      <c r="X80" s="1931">
        <f t="shared" si="40"/>
        <v>0</v>
      </c>
      <c r="AC80" s="1867">
        <f t="shared" ca="1" si="33"/>
        <v>1</v>
      </c>
      <c r="AD80" s="1867">
        <f t="shared" ca="1" si="33"/>
        <v>1</v>
      </c>
      <c r="AE80" s="1867">
        <f t="shared" ca="1" si="33"/>
        <v>1</v>
      </c>
      <c r="AF80" s="1867">
        <f t="shared" ca="1" si="33"/>
        <v>1</v>
      </c>
      <c r="AG80" s="1867">
        <f t="shared" ca="1" si="29"/>
        <v>0</v>
      </c>
      <c r="AH80" s="1867">
        <f t="shared" ca="1" si="29"/>
        <v>0</v>
      </c>
      <c r="AI80" s="1867">
        <f t="shared" ca="1" si="29"/>
        <v>0</v>
      </c>
      <c r="AJ80" s="1867">
        <f t="shared" ca="1" si="29"/>
        <v>0</v>
      </c>
      <c r="AK80" s="1867">
        <f t="shared" ca="1" si="29"/>
        <v>0</v>
      </c>
      <c r="AL80" s="1867">
        <f t="shared" ca="1" si="29"/>
        <v>0</v>
      </c>
      <c r="AM80" s="1867">
        <f t="shared" ca="1" si="22"/>
        <v>1</v>
      </c>
      <c r="AN80" s="1868" t="s">
        <v>1585</v>
      </c>
      <c r="AO80" s="1867">
        <f t="shared" ca="1" si="23"/>
        <v>1</v>
      </c>
    </row>
    <row r="81" spans="1:41" ht="13.8" outlineLevel="1">
      <c r="A81" s="1842">
        <f>ROW()</f>
        <v>81</v>
      </c>
      <c r="B81" s="1925"/>
      <c r="D81" s="1870" t="s">
        <v>1638</v>
      </c>
      <c r="E81" s="1952">
        <v>0</v>
      </c>
      <c r="F81" s="1952">
        <v>0</v>
      </c>
      <c r="G81" s="1952">
        <v>0</v>
      </c>
      <c r="H81" s="1952">
        <v>0</v>
      </c>
      <c r="I81" s="1952">
        <v>0</v>
      </c>
      <c r="J81" s="1952">
        <v>0</v>
      </c>
      <c r="K81" s="1952">
        <v>0</v>
      </c>
      <c r="L81" s="1952">
        <v>0</v>
      </c>
      <c r="M81" s="1952">
        <v>0</v>
      </c>
      <c r="N81" s="1952">
        <v>0</v>
      </c>
      <c r="O81" s="1927"/>
      <c r="P81" s="1953"/>
      <c r="Q81" s="1866" t="s">
        <v>1639</v>
      </c>
      <c r="S81" s="1931">
        <f t="shared" si="40"/>
        <v>0</v>
      </c>
      <c r="T81" s="1931">
        <f t="shared" si="40"/>
        <v>0</v>
      </c>
      <c r="U81" s="1931">
        <f t="shared" si="40"/>
        <v>0</v>
      </c>
      <c r="V81" s="1931">
        <f t="shared" si="40"/>
        <v>0</v>
      </c>
      <c r="W81" s="1931">
        <f t="shared" si="40"/>
        <v>0</v>
      </c>
      <c r="X81" s="1931">
        <f t="shared" si="40"/>
        <v>0</v>
      </c>
      <c r="AC81" s="1867">
        <f t="shared" ca="1" si="33"/>
        <v>1</v>
      </c>
      <c r="AD81" s="1867">
        <f t="shared" ca="1" si="33"/>
        <v>1</v>
      </c>
      <c r="AE81" s="1867">
        <f t="shared" ca="1" si="33"/>
        <v>1</v>
      </c>
      <c r="AF81" s="1867">
        <f t="shared" ca="1" si="33"/>
        <v>1</v>
      </c>
      <c r="AG81" s="1867">
        <f t="shared" ca="1" si="29"/>
        <v>0</v>
      </c>
      <c r="AH81" s="1867">
        <f t="shared" ca="1" si="29"/>
        <v>0</v>
      </c>
      <c r="AI81" s="1867">
        <f t="shared" ca="1" si="29"/>
        <v>0</v>
      </c>
      <c r="AJ81" s="1867">
        <f t="shared" ca="1" si="29"/>
        <v>0</v>
      </c>
      <c r="AK81" s="1867">
        <f t="shared" ca="1" si="29"/>
        <v>0</v>
      </c>
      <c r="AL81" s="1867">
        <f t="shared" ca="1" si="29"/>
        <v>0</v>
      </c>
      <c r="AM81" s="1867">
        <f t="shared" ca="1" si="22"/>
        <v>1</v>
      </c>
      <c r="AN81" s="1868" t="s">
        <v>1585</v>
      </c>
      <c r="AO81" s="1867">
        <f t="shared" ca="1" si="23"/>
        <v>1</v>
      </c>
    </row>
    <row r="82" spans="1:41" ht="13.8" outlineLevel="1">
      <c r="A82" s="1842">
        <f>ROW()</f>
        <v>82</v>
      </c>
      <c r="B82" s="1925"/>
      <c r="D82" s="1870" t="s">
        <v>1640</v>
      </c>
      <c r="E82" s="1952">
        <v>0</v>
      </c>
      <c r="F82" s="1952">
        <v>0</v>
      </c>
      <c r="G82" s="1952">
        <v>0</v>
      </c>
      <c r="H82" s="1952">
        <v>0</v>
      </c>
      <c r="I82" s="1952">
        <v>0</v>
      </c>
      <c r="J82" s="1952">
        <v>0</v>
      </c>
      <c r="K82" s="1952">
        <v>0</v>
      </c>
      <c r="L82" s="1952">
        <v>0</v>
      </c>
      <c r="M82" s="1952">
        <v>0</v>
      </c>
      <c r="N82" s="1952">
        <v>0</v>
      </c>
      <c r="O82" s="1927"/>
      <c r="P82" s="1953"/>
      <c r="Q82" s="1866" t="s">
        <v>1639</v>
      </c>
      <c r="S82" s="1931">
        <f t="shared" si="40"/>
        <v>0</v>
      </c>
      <c r="T82" s="1931">
        <f t="shared" si="40"/>
        <v>0</v>
      </c>
      <c r="U82" s="1931">
        <f t="shared" si="40"/>
        <v>0</v>
      </c>
      <c r="V82" s="1931">
        <f t="shared" si="40"/>
        <v>0</v>
      </c>
      <c r="W82" s="1931">
        <f t="shared" si="40"/>
        <v>0</v>
      </c>
      <c r="X82" s="1931">
        <f t="shared" si="40"/>
        <v>0</v>
      </c>
      <c r="AC82" s="1867">
        <f t="shared" ca="1" si="33"/>
        <v>1</v>
      </c>
      <c r="AD82" s="1867">
        <f t="shared" ca="1" si="33"/>
        <v>1</v>
      </c>
      <c r="AE82" s="1867">
        <f t="shared" ca="1" si="33"/>
        <v>1</v>
      </c>
      <c r="AF82" s="1867">
        <f t="shared" ca="1" si="33"/>
        <v>1</v>
      </c>
      <c r="AG82" s="1867">
        <f t="shared" ca="1" si="33"/>
        <v>0</v>
      </c>
      <c r="AH82" s="1867">
        <f t="shared" ca="1" si="33"/>
        <v>0</v>
      </c>
      <c r="AI82" s="1867">
        <f t="shared" ca="1" si="33"/>
        <v>0</v>
      </c>
      <c r="AJ82" s="1867">
        <f t="shared" ca="1" si="33"/>
        <v>0</v>
      </c>
      <c r="AK82" s="1867">
        <f t="shared" ca="1" si="33"/>
        <v>0</v>
      </c>
      <c r="AL82" s="1867">
        <f t="shared" ca="1" si="33"/>
        <v>0</v>
      </c>
      <c r="AM82" s="1867">
        <f t="shared" ca="1" si="22"/>
        <v>1</v>
      </c>
      <c r="AN82" s="1868" t="s">
        <v>1585</v>
      </c>
      <c r="AO82" s="1867">
        <f t="shared" ca="1" si="23"/>
        <v>1</v>
      </c>
    </row>
    <row r="83" spans="1:41" outlineLevel="1">
      <c r="A83" s="1842">
        <f>ROW()</f>
        <v>83</v>
      </c>
      <c r="B83" s="1925"/>
      <c r="D83" s="1866"/>
      <c r="E83" s="1866"/>
      <c r="F83" s="1866"/>
      <c r="G83" s="1866"/>
      <c r="H83" s="1866"/>
      <c r="I83" s="1866"/>
      <c r="J83" s="1866"/>
      <c r="K83" s="1866"/>
      <c r="L83" s="1866"/>
      <c r="M83" s="1866"/>
      <c r="N83" s="1866"/>
      <c r="O83" s="1927"/>
      <c r="P83" s="1913"/>
      <c r="Q83" s="1866"/>
      <c r="S83" s="1931">
        <f t="shared" si="40"/>
        <v>0</v>
      </c>
      <c r="T83" s="1931">
        <f t="shared" si="40"/>
        <v>0</v>
      </c>
      <c r="U83" s="1931">
        <f t="shared" si="40"/>
        <v>0</v>
      </c>
      <c r="V83" s="1931">
        <f t="shared" si="40"/>
        <v>0</v>
      </c>
      <c r="W83" s="1931">
        <f t="shared" si="40"/>
        <v>0</v>
      </c>
      <c r="X83" s="1931">
        <f t="shared" si="40"/>
        <v>0</v>
      </c>
      <c r="AC83" s="1867">
        <f t="shared" ca="1" si="33"/>
        <v>1</v>
      </c>
      <c r="AD83" s="1867">
        <f t="shared" ca="1" si="33"/>
        <v>1</v>
      </c>
      <c r="AE83" s="1867">
        <f t="shared" ca="1" si="33"/>
        <v>1</v>
      </c>
      <c r="AF83" s="1867">
        <f t="shared" ca="1" si="33"/>
        <v>1</v>
      </c>
      <c r="AG83" s="1867">
        <f t="shared" ca="1" si="33"/>
        <v>1</v>
      </c>
      <c r="AH83" s="1867">
        <f t="shared" ca="1" si="33"/>
        <v>1</v>
      </c>
      <c r="AI83" s="1867">
        <f t="shared" ca="1" si="33"/>
        <v>1</v>
      </c>
      <c r="AJ83" s="1867">
        <f t="shared" ca="1" si="33"/>
        <v>1</v>
      </c>
      <c r="AK83" s="1867">
        <f t="shared" ca="1" si="33"/>
        <v>1</v>
      </c>
      <c r="AL83" s="1867">
        <f t="shared" ca="1" si="33"/>
        <v>1</v>
      </c>
      <c r="AM83" s="1867">
        <f t="shared" ca="1" si="22"/>
        <v>1</v>
      </c>
      <c r="AN83" s="1868" t="s">
        <v>1585</v>
      </c>
      <c r="AO83" s="1867">
        <f t="shared" ca="1" si="23"/>
        <v>1</v>
      </c>
    </row>
    <row r="84" spans="1:41" outlineLevel="1">
      <c r="A84" s="1842">
        <f>ROW()</f>
        <v>84</v>
      </c>
      <c r="B84" s="1925"/>
      <c r="D84" s="1866" t="s">
        <v>1623</v>
      </c>
      <c r="E84" s="1954">
        <f t="shared" ref="E84:N84" si="41">+E68</f>
        <v>4844870.2432031929</v>
      </c>
      <c r="F84" s="1954">
        <f t="shared" si="41"/>
        <v>6177360.601203193</v>
      </c>
      <c r="G84" s="1954">
        <f t="shared" si="41"/>
        <v>7282864.1360153938</v>
      </c>
      <c r="H84" s="1954">
        <f>+H68</f>
        <v>7950663.0730996076</v>
      </c>
      <c r="I84" s="1954">
        <f t="shared" si="41"/>
        <v>8144422.0970535725</v>
      </c>
      <c r="J84" s="1954">
        <f t="shared" si="41"/>
        <v>8558061.8625922557</v>
      </c>
      <c r="K84" s="1954">
        <f t="shared" si="41"/>
        <v>0</v>
      </c>
      <c r="L84" s="1954">
        <f t="shared" si="41"/>
        <v>0</v>
      </c>
      <c r="M84" s="1954">
        <f t="shared" si="41"/>
        <v>0</v>
      </c>
      <c r="N84" s="1954">
        <f t="shared" si="41"/>
        <v>0</v>
      </c>
      <c r="O84" s="1955"/>
      <c r="P84" s="1913"/>
      <c r="Q84" s="1866" t="s">
        <v>1641</v>
      </c>
      <c r="S84" s="1943">
        <f t="shared" si="40"/>
        <v>0.91361580146281873</v>
      </c>
      <c r="T84" s="1943">
        <f t="shared" si="40"/>
        <v>0.85055725913180857</v>
      </c>
      <c r="U84" s="1943">
        <f t="shared" si="40"/>
        <v>0.8674210149653433</v>
      </c>
      <c r="V84" s="1943">
        <f t="shared" si="40"/>
        <v>0.82567643350503672</v>
      </c>
      <c r="W84" s="1943">
        <f t="shared" si="40"/>
        <v>0.80515965545789214</v>
      </c>
      <c r="X84" s="1943">
        <f t="shared" si="40"/>
        <v>0.82102689729864586</v>
      </c>
      <c r="AC84" s="1867">
        <f t="shared" ca="1" si="33"/>
        <v>1</v>
      </c>
      <c r="AD84" s="1867">
        <f t="shared" ca="1" si="33"/>
        <v>1</v>
      </c>
      <c r="AE84" s="1867">
        <f t="shared" ca="1" si="33"/>
        <v>1</v>
      </c>
      <c r="AF84" s="1867">
        <f t="shared" ca="1" si="33"/>
        <v>1</v>
      </c>
      <c r="AG84" s="1867">
        <f t="shared" ca="1" si="33"/>
        <v>1</v>
      </c>
      <c r="AH84" s="1867">
        <f t="shared" ca="1" si="33"/>
        <v>1</v>
      </c>
      <c r="AI84" s="1867">
        <f t="shared" ca="1" si="33"/>
        <v>1</v>
      </c>
      <c r="AJ84" s="1867">
        <f t="shared" ca="1" si="33"/>
        <v>1</v>
      </c>
      <c r="AK84" s="1867">
        <f t="shared" ca="1" si="33"/>
        <v>1</v>
      </c>
      <c r="AL84" s="1867">
        <f t="shared" ca="1" si="33"/>
        <v>1</v>
      </c>
      <c r="AM84" s="1867">
        <f t="shared" ca="1" si="22"/>
        <v>1</v>
      </c>
      <c r="AN84" s="1868" t="s">
        <v>1585</v>
      </c>
      <c r="AO84" s="1867">
        <f t="shared" ca="1" si="23"/>
        <v>1</v>
      </c>
    </row>
    <row r="85" spans="1:41" ht="13.8" outlineLevel="1" thickBot="1">
      <c r="A85" s="1842">
        <f>ROW()</f>
        <v>85</v>
      </c>
      <c r="B85" s="1925"/>
      <c r="D85" s="1866" t="s">
        <v>1642</v>
      </c>
      <c r="E85" s="1956">
        <v>0</v>
      </c>
      <c r="F85" s="1956">
        <v>0</v>
      </c>
      <c r="G85" s="1956">
        <v>0</v>
      </c>
      <c r="H85" s="1956">
        <v>0</v>
      </c>
      <c r="I85" s="1956">
        <v>0</v>
      </c>
      <c r="J85" s="1956">
        <v>0</v>
      </c>
      <c r="K85" s="1956">
        <v>0</v>
      </c>
      <c r="L85" s="1956">
        <v>0</v>
      </c>
      <c r="M85" s="1956">
        <v>0</v>
      </c>
      <c r="N85" s="1956">
        <v>0</v>
      </c>
      <c r="O85" s="1955"/>
      <c r="P85" s="1913"/>
      <c r="Q85" s="1866" t="s">
        <v>1643</v>
      </c>
      <c r="S85" s="1957">
        <f>IFERROR(E86/E$57,0)</f>
        <v>8.6384198537181295E-2</v>
      </c>
      <c r="T85" s="1957">
        <f>IFERROR(F86/F$57,0)</f>
        <v>0.14944274086819148</v>
      </c>
      <c r="U85" s="1957">
        <f>IFERROR(G86/G$57,0)</f>
        <v>0.13257898503465665</v>
      </c>
      <c r="V85" s="1957">
        <f t="shared" si="40"/>
        <v>0</v>
      </c>
      <c r="W85" s="1957">
        <f t="shared" si="40"/>
        <v>0</v>
      </c>
      <c r="X85" s="1957">
        <f t="shared" si="40"/>
        <v>0</v>
      </c>
      <c r="AC85" s="1867">
        <f t="shared" ca="1" si="33"/>
        <v>1</v>
      </c>
      <c r="AD85" s="1867">
        <f t="shared" ca="1" si="33"/>
        <v>1</v>
      </c>
      <c r="AE85" s="1867">
        <f t="shared" ca="1" si="33"/>
        <v>1</v>
      </c>
      <c r="AF85" s="1867">
        <f t="shared" ca="1" si="33"/>
        <v>1</v>
      </c>
      <c r="AG85" s="1867">
        <f ca="1">CELL("protect",E86)</f>
        <v>1</v>
      </c>
      <c r="AH85" s="1867">
        <f ca="1">CELL("protect",F86)</f>
        <v>1</v>
      </c>
      <c r="AI85" s="1867">
        <f ca="1">CELL("protect",G86)</f>
        <v>1</v>
      </c>
      <c r="AJ85" s="1867">
        <f t="shared" ca="1" si="33"/>
        <v>1</v>
      </c>
      <c r="AK85" s="1867">
        <f t="shared" ca="1" si="33"/>
        <v>1</v>
      </c>
      <c r="AL85" s="1867">
        <f t="shared" ca="1" si="33"/>
        <v>1</v>
      </c>
      <c r="AM85" s="1867">
        <f t="shared" ca="1" si="22"/>
        <v>1</v>
      </c>
      <c r="AN85" s="1868" t="s">
        <v>1585</v>
      </c>
      <c r="AO85" s="1867">
        <f t="shared" ca="1" si="23"/>
        <v>1</v>
      </c>
    </row>
    <row r="86" spans="1:41" ht="14.4" outlineLevel="1" thickTop="1" thickBot="1">
      <c r="A86" s="1842">
        <f>ROW()</f>
        <v>86</v>
      </c>
      <c r="B86" s="1925"/>
      <c r="D86" s="1948" t="s">
        <v>1644</v>
      </c>
      <c r="E86" s="1958">
        <f>+E57-E84</f>
        <v>458092.15679680742</v>
      </c>
      <c r="F86" s="1958">
        <f>+F57-F84+F85</f>
        <v>1085361.0261551179</v>
      </c>
      <c r="G86" s="1958">
        <f t="shared" ref="G86:N86" si="42">+G57-G84+G85</f>
        <v>1113132.7448145812</v>
      </c>
      <c r="H86" s="1958">
        <f>+H57-H84+H85</f>
        <v>1678609.0612020288</v>
      </c>
      <c r="I86" s="1958">
        <f>+I57-I84+I85</f>
        <v>1970866.2707197256</v>
      </c>
      <c r="J86" s="1958">
        <f>+J57-J84+J85</f>
        <v>1865545.3185489587</v>
      </c>
      <c r="K86" s="1958">
        <f t="shared" si="42"/>
        <v>0</v>
      </c>
      <c r="L86" s="1958">
        <f t="shared" si="42"/>
        <v>0</v>
      </c>
      <c r="M86" s="1958">
        <f t="shared" si="42"/>
        <v>0</v>
      </c>
      <c r="N86" s="1958">
        <f t="shared" si="42"/>
        <v>0</v>
      </c>
      <c r="O86" s="1955"/>
      <c r="P86" s="1913"/>
      <c r="Q86" s="1866"/>
      <c r="S86" s="1937"/>
      <c r="T86" s="1937"/>
      <c r="U86" s="1937"/>
      <c r="V86" s="1937"/>
      <c r="W86" s="1937"/>
      <c r="X86" s="1937"/>
      <c r="AC86" s="1867"/>
      <c r="AD86" s="1867"/>
      <c r="AE86" s="1867"/>
      <c r="AF86" s="1867"/>
      <c r="AG86" s="1867"/>
      <c r="AH86" s="1867"/>
      <c r="AI86" s="1867"/>
      <c r="AJ86" s="1867"/>
      <c r="AK86" s="1867"/>
      <c r="AL86" s="1867"/>
      <c r="AM86" s="1867"/>
      <c r="AN86" s="1868"/>
      <c r="AO86" s="1867"/>
    </row>
    <row r="87" spans="1:41" ht="14.4" outlineLevel="1" thickTop="1">
      <c r="A87" s="1842">
        <f>ROW()</f>
        <v>87</v>
      </c>
      <c r="B87" s="1925"/>
      <c r="D87" s="1938" t="s">
        <v>1645</v>
      </c>
      <c r="E87" s="1870"/>
      <c r="F87" s="1938"/>
      <c r="G87" s="1938"/>
      <c r="H87" s="1938"/>
      <c r="I87" s="1938"/>
      <c r="J87" s="1938"/>
      <c r="K87" s="1938"/>
      <c r="L87" s="1938"/>
      <c r="M87" s="1938"/>
      <c r="N87" s="1938"/>
      <c r="O87" s="1955"/>
      <c r="P87" s="1913"/>
      <c r="Q87" s="1866"/>
      <c r="AC87" s="1867">
        <f t="shared" ca="1" si="33"/>
        <v>1</v>
      </c>
      <c r="AD87" s="1867">
        <f t="shared" ca="1" si="33"/>
        <v>1</v>
      </c>
      <c r="AE87" s="1867">
        <f t="shared" ca="1" si="33"/>
        <v>1</v>
      </c>
      <c r="AF87" s="1867">
        <f t="shared" ca="1" si="33"/>
        <v>1</v>
      </c>
      <c r="AG87" s="1867">
        <f t="shared" ca="1" si="33"/>
        <v>1</v>
      </c>
      <c r="AH87" s="1867">
        <f t="shared" ca="1" si="33"/>
        <v>1</v>
      </c>
      <c r="AI87" s="1867">
        <f t="shared" ca="1" si="33"/>
        <v>1</v>
      </c>
      <c r="AJ87" s="1867">
        <f t="shared" ca="1" si="33"/>
        <v>1</v>
      </c>
      <c r="AK87" s="1867">
        <f t="shared" ca="1" si="33"/>
        <v>1</v>
      </c>
      <c r="AL87" s="1867">
        <f t="shared" ca="1" si="33"/>
        <v>1</v>
      </c>
      <c r="AM87" s="1867">
        <f t="shared" ca="1" si="22"/>
        <v>1</v>
      </c>
      <c r="AN87" s="1868" t="s">
        <v>1585</v>
      </c>
      <c r="AO87" s="1867">
        <f t="shared" ca="1" si="23"/>
        <v>1</v>
      </c>
    </row>
    <row r="88" spans="1:41" ht="13.8" outlineLevel="2">
      <c r="A88" s="1842">
        <f>ROW()</f>
        <v>88</v>
      </c>
      <c r="B88" s="1925"/>
      <c r="D88" s="1938" t="s">
        <v>1646</v>
      </c>
      <c r="E88" s="1870"/>
      <c r="F88" s="1936">
        <f t="shared" ref="F88:N88" si="43">IF(F30=0,0,F138-E138)</f>
        <v>0</v>
      </c>
      <c r="G88" s="1936">
        <f t="shared" si="43"/>
        <v>0</v>
      </c>
      <c r="H88" s="1936">
        <f t="shared" si="43"/>
        <v>0</v>
      </c>
      <c r="I88" s="1936">
        <f t="shared" si="43"/>
        <v>0</v>
      </c>
      <c r="J88" s="1936">
        <f t="shared" si="43"/>
        <v>0</v>
      </c>
      <c r="K88" s="1936">
        <f t="shared" si="43"/>
        <v>0</v>
      </c>
      <c r="L88" s="1936">
        <f t="shared" si="43"/>
        <v>0</v>
      </c>
      <c r="M88" s="1936">
        <f t="shared" si="43"/>
        <v>0</v>
      </c>
      <c r="N88" s="1936">
        <f t="shared" si="43"/>
        <v>0</v>
      </c>
      <c r="O88" s="1955"/>
      <c r="P88" s="1913"/>
      <c r="Q88" s="1866"/>
      <c r="AC88" s="1867"/>
      <c r="AD88" s="1867"/>
      <c r="AE88" s="1867"/>
      <c r="AF88" s="1867">
        <f t="shared" ca="1" si="33"/>
        <v>1</v>
      </c>
      <c r="AG88" s="1867"/>
      <c r="AH88" s="1867"/>
      <c r="AI88" s="1867"/>
      <c r="AJ88" s="1867"/>
      <c r="AK88" s="1867"/>
      <c r="AL88" s="1867"/>
      <c r="AM88" s="1867"/>
      <c r="AN88" s="1868"/>
      <c r="AO88" s="1867"/>
    </row>
    <row r="89" spans="1:41" ht="13.8" outlineLevel="2">
      <c r="A89" s="1842">
        <f>ROW()</f>
        <v>89</v>
      </c>
      <c r="B89" s="1925"/>
      <c r="D89" s="1959" t="s">
        <v>1647</v>
      </c>
      <c r="E89" s="1870"/>
      <c r="F89" s="1904">
        <f t="shared" ref="F89:N89" si="44">IF(F30=0,0,F157-E157)</f>
        <v>0</v>
      </c>
      <c r="G89" s="1904">
        <f t="shared" si="44"/>
        <v>0</v>
      </c>
      <c r="H89" s="1904">
        <f t="shared" si="44"/>
        <v>0</v>
      </c>
      <c r="I89" s="1904">
        <f t="shared" si="44"/>
        <v>0</v>
      </c>
      <c r="J89" s="1904">
        <f t="shared" si="44"/>
        <v>0</v>
      </c>
      <c r="K89" s="1904">
        <f t="shared" si="44"/>
        <v>0</v>
      </c>
      <c r="L89" s="1904">
        <f t="shared" si="44"/>
        <v>0</v>
      </c>
      <c r="M89" s="1904">
        <f t="shared" si="44"/>
        <v>0</v>
      </c>
      <c r="N89" s="1904">
        <f t="shared" si="44"/>
        <v>0</v>
      </c>
      <c r="O89" s="1955"/>
      <c r="P89" s="1913"/>
      <c r="Q89" s="1866"/>
      <c r="AC89" s="1867"/>
      <c r="AD89" s="1867"/>
      <c r="AE89" s="1867"/>
      <c r="AF89" s="1867">
        <f t="shared" ca="1" si="33"/>
        <v>1</v>
      </c>
      <c r="AG89" s="1867"/>
      <c r="AH89" s="1867"/>
      <c r="AI89" s="1867"/>
      <c r="AJ89" s="1867"/>
      <c r="AK89" s="1867"/>
      <c r="AL89" s="1867"/>
      <c r="AM89" s="1867"/>
      <c r="AN89" s="1868"/>
      <c r="AO89" s="1867"/>
    </row>
    <row r="90" spans="1:41" ht="13.8" outlineLevel="2">
      <c r="A90" s="1842">
        <f>ROW()</f>
        <v>90</v>
      </c>
      <c r="B90" s="1925"/>
      <c r="D90" s="1938" t="s">
        <v>1648</v>
      </c>
      <c r="E90" s="1870"/>
      <c r="F90" s="1936">
        <f t="shared" ref="F90:N90" si="45">IF(F30=0,0,F163-E163)</f>
        <v>0</v>
      </c>
      <c r="G90" s="1936">
        <f t="shared" si="45"/>
        <v>0</v>
      </c>
      <c r="H90" s="1936">
        <f t="shared" si="45"/>
        <v>0</v>
      </c>
      <c r="I90" s="1936">
        <f t="shared" si="45"/>
        <v>0</v>
      </c>
      <c r="J90" s="1936">
        <f t="shared" si="45"/>
        <v>0</v>
      </c>
      <c r="K90" s="1936">
        <f t="shared" si="45"/>
        <v>0</v>
      </c>
      <c r="L90" s="1936">
        <f t="shared" si="45"/>
        <v>0</v>
      </c>
      <c r="M90" s="1936">
        <f t="shared" si="45"/>
        <v>0</v>
      </c>
      <c r="N90" s="1936">
        <f t="shared" si="45"/>
        <v>0</v>
      </c>
      <c r="O90" s="1955"/>
      <c r="P90" s="1913"/>
      <c r="Q90" s="1866"/>
      <c r="AC90" s="1867"/>
      <c r="AD90" s="1867"/>
      <c r="AE90" s="1867"/>
      <c r="AF90" s="1867"/>
      <c r="AG90" s="1867"/>
      <c r="AH90" s="1867"/>
      <c r="AI90" s="1867"/>
      <c r="AJ90" s="1867"/>
      <c r="AK90" s="1867"/>
      <c r="AL90" s="1867"/>
      <c r="AM90" s="1867"/>
      <c r="AN90" s="1868"/>
      <c r="AO90" s="1867"/>
    </row>
    <row r="91" spans="1:41" outlineLevel="1">
      <c r="A91" s="1842">
        <f>ROW()</f>
        <v>91</v>
      </c>
      <c r="B91" s="1925"/>
      <c r="D91" s="1866" t="s">
        <v>1649</v>
      </c>
      <c r="E91" s="1952">
        <v>0</v>
      </c>
      <c r="F91" s="1952">
        <v>0</v>
      </c>
      <c r="G91" s="1952">
        <v>0</v>
      </c>
      <c r="H91" s="1952">
        <v>0</v>
      </c>
      <c r="I91" s="1952">
        <v>0</v>
      </c>
      <c r="J91" s="1952">
        <v>0</v>
      </c>
      <c r="K91" s="1952">
        <v>0</v>
      </c>
      <c r="L91" s="1952">
        <v>0</v>
      </c>
      <c r="M91" s="1952">
        <v>0</v>
      </c>
      <c r="N91" s="1952">
        <v>0</v>
      </c>
      <c r="O91" s="1955"/>
      <c r="P91" s="1913"/>
      <c r="Q91" s="1866"/>
      <c r="AC91" s="1867">
        <f t="shared" ca="1" si="33"/>
        <v>1</v>
      </c>
      <c r="AD91" s="1867">
        <f t="shared" ca="1" si="33"/>
        <v>1</v>
      </c>
      <c r="AE91" s="1867">
        <f t="shared" ca="1" si="33"/>
        <v>1</v>
      </c>
      <c r="AF91" s="1867">
        <f t="shared" ca="1" si="33"/>
        <v>1</v>
      </c>
      <c r="AG91" s="1867">
        <f t="shared" ca="1" si="33"/>
        <v>0</v>
      </c>
      <c r="AH91" s="1867">
        <f t="shared" ca="1" si="33"/>
        <v>0</v>
      </c>
      <c r="AI91" s="1867">
        <f t="shared" ca="1" si="33"/>
        <v>0</v>
      </c>
      <c r="AJ91" s="1867">
        <f t="shared" ca="1" si="33"/>
        <v>0</v>
      </c>
      <c r="AK91" s="1867">
        <f t="shared" ca="1" si="33"/>
        <v>0</v>
      </c>
      <c r="AL91" s="1867">
        <f t="shared" ca="1" si="33"/>
        <v>0</v>
      </c>
      <c r="AM91" s="1867">
        <f t="shared" ca="1" si="22"/>
        <v>1</v>
      </c>
      <c r="AN91" s="1868" t="s">
        <v>1585</v>
      </c>
      <c r="AO91" s="1867">
        <f t="shared" ca="1" si="23"/>
        <v>1</v>
      </c>
    </row>
    <row r="92" spans="1:41" ht="13.8" outlineLevel="1" thickBot="1">
      <c r="A92" s="1960">
        <f>ROW()</f>
        <v>92</v>
      </c>
      <c r="B92" s="1925"/>
      <c r="D92" s="1866" t="s">
        <v>1650</v>
      </c>
      <c r="E92" s="1958">
        <f>E86+E91</f>
        <v>458092.15679680742</v>
      </c>
      <c r="F92" s="1958">
        <f t="shared" ref="F92:N92" si="46">F86+F91</f>
        <v>1085361.0261551179</v>
      </c>
      <c r="G92" s="1958">
        <f t="shared" si="46"/>
        <v>1113132.7448145812</v>
      </c>
      <c r="H92" s="1958">
        <f t="shared" si="46"/>
        <v>1678609.0612020288</v>
      </c>
      <c r="I92" s="1958">
        <f t="shared" si="46"/>
        <v>1970866.2707197256</v>
      </c>
      <c r="J92" s="1958">
        <f t="shared" si="46"/>
        <v>1865545.3185489587</v>
      </c>
      <c r="K92" s="1958">
        <f t="shared" si="46"/>
        <v>0</v>
      </c>
      <c r="L92" s="1958">
        <f t="shared" si="46"/>
        <v>0</v>
      </c>
      <c r="M92" s="1958">
        <f t="shared" si="46"/>
        <v>0</v>
      </c>
      <c r="N92" s="1958">
        <f t="shared" si="46"/>
        <v>0</v>
      </c>
      <c r="O92" s="1955"/>
      <c r="P92" s="1913"/>
      <c r="Q92" s="1866"/>
      <c r="AC92" s="1867">
        <f t="shared" ca="1" si="33"/>
        <v>1</v>
      </c>
      <c r="AD92" s="1867">
        <f t="shared" ca="1" si="33"/>
        <v>1</v>
      </c>
      <c r="AE92" s="1867">
        <f t="shared" ca="1" si="33"/>
        <v>1</v>
      </c>
      <c r="AF92" s="1867">
        <f t="shared" ca="1" si="33"/>
        <v>1</v>
      </c>
      <c r="AG92" s="1867">
        <f t="shared" ca="1" si="33"/>
        <v>1</v>
      </c>
      <c r="AH92" s="1867">
        <f t="shared" ca="1" si="33"/>
        <v>1</v>
      </c>
      <c r="AI92" s="1867">
        <f t="shared" ca="1" si="33"/>
        <v>1</v>
      </c>
      <c r="AJ92" s="1867">
        <f t="shared" ca="1" si="33"/>
        <v>1</v>
      </c>
      <c r="AK92" s="1867">
        <f t="shared" ca="1" si="33"/>
        <v>1</v>
      </c>
      <c r="AL92" s="1867">
        <f t="shared" ca="1" si="33"/>
        <v>1</v>
      </c>
      <c r="AM92" s="1867">
        <f t="shared" ca="1" si="22"/>
        <v>1</v>
      </c>
      <c r="AN92" s="1868" t="s">
        <v>1585</v>
      </c>
      <c r="AO92" s="1867">
        <f t="shared" ca="1" si="23"/>
        <v>1</v>
      </c>
    </row>
    <row r="93" spans="1:41" ht="17.25" customHeight="1" outlineLevel="1" thickTop="1">
      <c r="A93" s="1960">
        <f>ROW()</f>
        <v>93</v>
      </c>
      <c r="B93" s="1925"/>
      <c r="D93" s="1961" t="s">
        <v>1651</v>
      </c>
      <c r="E93" s="1962">
        <v>0</v>
      </c>
      <c r="F93" s="1963">
        <v>0</v>
      </c>
      <c r="G93" s="1963">
        <v>0</v>
      </c>
      <c r="H93" s="1963">
        <v>0</v>
      </c>
      <c r="I93" s="1963">
        <v>0</v>
      </c>
      <c r="J93" s="1963">
        <v>0</v>
      </c>
      <c r="K93" s="1964">
        <v>0</v>
      </c>
      <c r="L93" s="1964">
        <v>0</v>
      </c>
      <c r="M93" s="1964">
        <v>0</v>
      </c>
      <c r="N93" s="1964">
        <v>0</v>
      </c>
      <c r="O93" s="1955"/>
      <c r="P93" s="1940"/>
      <c r="Q93" s="1866"/>
      <c r="S93" s="1914"/>
      <c r="T93" s="1914"/>
      <c r="U93" s="1914"/>
      <c r="V93" s="1914"/>
      <c r="W93" s="1914"/>
      <c r="X93" s="1914"/>
      <c r="AC93" s="1867">
        <f t="shared" ca="1" si="33"/>
        <v>1</v>
      </c>
      <c r="AD93" s="1867">
        <f t="shared" ca="1" si="33"/>
        <v>1</v>
      </c>
      <c r="AE93" s="1867">
        <f t="shared" ca="1" si="33"/>
        <v>1</v>
      </c>
      <c r="AF93" s="1867">
        <f t="shared" ca="1" si="33"/>
        <v>1</v>
      </c>
      <c r="AG93" s="1867">
        <f t="shared" ca="1" si="33"/>
        <v>0</v>
      </c>
      <c r="AH93" s="1867">
        <f t="shared" ca="1" si="33"/>
        <v>0</v>
      </c>
      <c r="AI93" s="1867">
        <f t="shared" ca="1" si="33"/>
        <v>0</v>
      </c>
      <c r="AJ93" s="1867">
        <f t="shared" ca="1" si="33"/>
        <v>0</v>
      </c>
      <c r="AK93" s="1867">
        <f t="shared" ca="1" si="33"/>
        <v>0</v>
      </c>
      <c r="AL93" s="1867">
        <f t="shared" ca="1" si="33"/>
        <v>0</v>
      </c>
      <c r="AM93" s="1867">
        <f t="shared" ca="1" si="22"/>
        <v>1</v>
      </c>
      <c r="AN93" s="1868" t="s">
        <v>1585</v>
      </c>
      <c r="AO93" s="1867">
        <f t="shared" ca="1" si="23"/>
        <v>1</v>
      </c>
    </row>
    <row r="94" spans="1:41" outlineLevel="1">
      <c r="A94" s="1960">
        <f>ROW()</f>
        <v>94</v>
      </c>
      <c r="B94" s="1925"/>
      <c r="D94" s="1866"/>
      <c r="E94" s="1869"/>
      <c r="F94" s="1869"/>
      <c r="G94" s="1866"/>
      <c r="H94" s="1938"/>
      <c r="I94" s="1938"/>
      <c r="J94" s="1938"/>
      <c r="K94" s="1938"/>
      <c r="L94" s="1938"/>
      <c r="M94" s="1938"/>
      <c r="N94" s="1938"/>
      <c r="O94" s="1955"/>
      <c r="P94" s="1913"/>
      <c r="Q94" s="1866"/>
      <c r="AC94" s="1867">
        <f t="shared" ca="1" si="33"/>
        <v>1</v>
      </c>
      <c r="AD94" s="1867">
        <f t="shared" ca="1" si="33"/>
        <v>1</v>
      </c>
      <c r="AE94" s="1867">
        <f t="shared" ca="1" si="33"/>
        <v>1</v>
      </c>
      <c r="AF94" s="1867">
        <f t="shared" ca="1" si="33"/>
        <v>1</v>
      </c>
      <c r="AG94" s="1867">
        <f t="shared" ca="1" si="33"/>
        <v>1</v>
      </c>
      <c r="AH94" s="1867">
        <f t="shared" ca="1" si="33"/>
        <v>1</v>
      </c>
      <c r="AI94" s="1867">
        <f t="shared" ca="1" si="33"/>
        <v>1</v>
      </c>
      <c r="AJ94" s="1867">
        <f t="shared" ca="1" si="33"/>
        <v>1</v>
      </c>
      <c r="AK94" s="1867">
        <f t="shared" ca="1" si="33"/>
        <v>1</v>
      </c>
      <c r="AL94" s="1867">
        <f t="shared" ca="1" si="33"/>
        <v>1</v>
      </c>
      <c r="AM94" s="1867">
        <f t="shared" ca="1" si="22"/>
        <v>1</v>
      </c>
      <c r="AN94" s="1868" t="s">
        <v>1585</v>
      </c>
      <c r="AO94" s="1867">
        <f t="shared" ca="1" si="23"/>
        <v>1</v>
      </c>
    </row>
    <row r="95" spans="1:41" ht="13.8" outlineLevel="1">
      <c r="A95" s="1960">
        <f>ROW()</f>
        <v>95</v>
      </c>
      <c r="B95" s="1925"/>
      <c r="D95" s="1965" t="s">
        <v>1652</v>
      </c>
      <c r="E95" s="1966">
        <v>0</v>
      </c>
      <c r="F95" s="1966">
        <v>0</v>
      </c>
      <c r="G95" s="1966">
        <v>0</v>
      </c>
      <c r="H95" s="1966">
        <v>0</v>
      </c>
      <c r="I95" s="1966">
        <v>0</v>
      </c>
      <c r="J95" s="1966">
        <v>0</v>
      </c>
      <c r="K95" s="1966">
        <v>0</v>
      </c>
      <c r="L95" s="1966">
        <v>0</v>
      </c>
      <c r="M95" s="1966">
        <v>0</v>
      </c>
      <c r="N95" s="1966">
        <v>0</v>
      </c>
      <c r="O95" s="1955"/>
      <c r="P95" s="1913"/>
      <c r="Q95" s="1866" t="s">
        <v>1653</v>
      </c>
      <c r="AC95" s="1867">
        <f t="shared" ca="1" si="33"/>
        <v>1</v>
      </c>
      <c r="AD95" s="1867">
        <f t="shared" ca="1" si="33"/>
        <v>1</v>
      </c>
      <c r="AE95" s="1867">
        <f t="shared" ca="1" si="33"/>
        <v>1</v>
      </c>
      <c r="AF95" s="1867">
        <f t="shared" ca="1" si="33"/>
        <v>1</v>
      </c>
      <c r="AG95" s="1867">
        <f t="shared" ca="1" si="33"/>
        <v>0</v>
      </c>
      <c r="AH95" s="1867">
        <f t="shared" ca="1" si="33"/>
        <v>0</v>
      </c>
      <c r="AI95" s="1867">
        <f t="shared" ca="1" si="33"/>
        <v>0</v>
      </c>
      <c r="AJ95" s="1867">
        <f t="shared" ca="1" si="33"/>
        <v>0</v>
      </c>
      <c r="AK95" s="1867">
        <f t="shared" ca="1" si="33"/>
        <v>0</v>
      </c>
      <c r="AL95" s="1867">
        <f t="shared" ca="1" si="33"/>
        <v>0</v>
      </c>
      <c r="AM95" s="1867">
        <f t="shared" ca="1" si="22"/>
        <v>1</v>
      </c>
      <c r="AN95" s="1868" t="s">
        <v>1585</v>
      </c>
      <c r="AO95" s="1867">
        <f t="shared" ca="1" si="23"/>
        <v>1</v>
      </c>
    </row>
    <row r="96" spans="1:41" ht="27.6" outlineLevel="1">
      <c r="A96" s="1960">
        <f>ROW()</f>
        <v>96</v>
      </c>
      <c r="B96" s="1925"/>
      <c r="D96" s="1965" t="s">
        <v>1654</v>
      </c>
      <c r="E96" s="1966">
        <v>0</v>
      </c>
      <c r="F96" s="1966">
        <v>0</v>
      </c>
      <c r="G96" s="1966">
        <v>0</v>
      </c>
      <c r="H96" s="1966">
        <v>0</v>
      </c>
      <c r="I96" s="1966">
        <v>0</v>
      </c>
      <c r="J96" s="1966">
        <v>0</v>
      </c>
      <c r="K96" s="1966">
        <v>0</v>
      </c>
      <c r="L96" s="1966">
        <v>0</v>
      </c>
      <c r="M96" s="1966">
        <v>0</v>
      </c>
      <c r="N96" s="1966">
        <v>0</v>
      </c>
      <c r="O96" s="1927"/>
      <c r="P96" s="1913"/>
      <c r="Q96" s="1866" t="s">
        <v>1655</v>
      </c>
      <c r="S96" s="1914"/>
      <c r="T96" s="1914"/>
      <c r="U96" s="1914"/>
      <c r="V96" s="1914"/>
      <c r="W96" s="1914"/>
      <c r="X96" s="1914"/>
      <c r="AC96" s="1867">
        <f t="shared" ca="1" si="33"/>
        <v>1</v>
      </c>
      <c r="AD96" s="1867">
        <f t="shared" ca="1" si="33"/>
        <v>1</v>
      </c>
      <c r="AE96" s="1867">
        <f t="shared" ca="1" si="33"/>
        <v>1</v>
      </c>
      <c r="AF96" s="1867">
        <f t="shared" ca="1" si="33"/>
        <v>1</v>
      </c>
      <c r="AG96" s="1867">
        <f t="shared" ca="1" si="33"/>
        <v>0</v>
      </c>
      <c r="AH96" s="1867">
        <f t="shared" ca="1" si="33"/>
        <v>0</v>
      </c>
      <c r="AI96" s="1867">
        <f t="shared" ca="1" si="33"/>
        <v>0</v>
      </c>
      <c r="AJ96" s="1867">
        <f t="shared" ca="1" si="33"/>
        <v>0</v>
      </c>
      <c r="AK96" s="1867">
        <f t="shared" ca="1" si="33"/>
        <v>0</v>
      </c>
      <c r="AL96" s="1867">
        <f t="shared" ca="1" si="33"/>
        <v>0</v>
      </c>
      <c r="AM96" s="1867">
        <f t="shared" ca="1" si="22"/>
        <v>1</v>
      </c>
      <c r="AN96" s="1868" t="s">
        <v>1585</v>
      </c>
      <c r="AO96" s="1867">
        <f t="shared" ca="1" si="23"/>
        <v>1</v>
      </c>
    </row>
    <row r="97" spans="1:41" outlineLevel="1">
      <c r="A97" s="1842">
        <f>ROW()</f>
        <v>97</v>
      </c>
      <c r="B97" s="1906"/>
      <c r="C97" s="1906"/>
      <c r="D97" s="1916"/>
      <c r="E97" s="1938"/>
      <c r="F97" s="1938"/>
      <c r="G97" s="1938"/>
      <c r="H97" s="1938"/>
      <c r="I97" s="1938"/>
      <c r="J97" s="1938"/>
      <c r="K97" s="1938"/>
      <c r="L97" s="1938"/>
      <c r="M97" s="1938"/>
      <c r="N97" s="1938"/>
      <c r="O97" s="1909"/>
      <c r="P97" s="1913"/>
      <c r="Q97" s="1866"/>
      <c r="AC97" s="1867">
        <f t="shared" ca="1" si="33"/>
        <v>1</v>
      </c>
      <c r="AD97" s="1867">
        <f t="shared" ca="1" si="33"/>
        <v>1</v>
      </c>
      <c r="AE97" s="1867">
        <f t="shared" ca="1" si="33"/>
        <v>1</v>
      </c>
      <c r="AF97" s="1867">
        <f t="shared" ca="1" si="33"/>
        <v>1</v>
      </c>
      <c r="AG97" s="1867">
        <f t="shared" ca="1" si="33"/>
        <v>1</v>
      </c>
      <c r="AH97" s="1867">
        <f t="shared" ca="1" si="33"/>
        <v>1</v>
      </c>
      <c r="AI97" s="1867">
        <f t="shared" ca="1" si="33"/>
        <v>1</v>
      </c>
      <c r="AJ97" s="1867">
        <f t="shared" ca="1" si="33"/>
        <v>1</v>
      </c>
      <c r="AK97" s="1867">
        <f t="shared" ca="1" si="33"/>
        <v>1</v>
      </c>
      <c r="AL97" s="1867">
        <f t="shared" ca="1" si="33"/>
        <v>1</v>
      </c>
      <c r="AM97" s="1867">
        <f t="shared" ca="1" si="22"/>
        <v>1</v>
      </c>
      <c r="AN97" s="1868" t="s">
        <v>1585</v>
      </c>
      <c r="AO97" s="1867">
        <f t="shared" ca="1" si="23"/>
        <v>1</v>
      </c>
    </row>
    <row r="98" spans="1:41" ht="14.4" outlineLevel="1">
      <c r="A98" s="1842">
        <f>ROW()</f>
        <v>98</v>
      </c>
      <c r="B98" s="1906"/>
      <c r="C98" s="1906"/>
      <c r="D98" s="1926" t="s">
        <v>1656</v>
      </c>
      <c r="E98" s="1938"/>
      <c r="F98" s="1938"/>
      <c r="G98" s="1938"/>
      <c r="H98" s="1938"/>
      <c r="I98" s="1938"/>
      <c r="J98" s="1938"/>
      <c r="K98" s="1938"/>
      <c r="L98" s="1938"/>
      <c r="M98" s="1938"/>
      <c r="N98" s="1938"/>
      <c r="O98" s="1909"/>
      <c r="P98" s="1913"/>
      <c r="Q98" s="1866"/>
      <c r="AC98" s="1867">
        <f t="shared" ca="1" si="33"/>
        <v>1</v>
      </c>
      <c r="AD98" s="1867">
        <f t="shared" ca="1" si="33"/>
        <v>1</v>
      </c>
      <c r="AE98" s="1867">
        <f t="shared" ca="1" si="33"/>
        <v>1</v>
      </c>
      <c r="AF98" s="1867">
        <f t="shared" ca="1" si="33"/>
        <v>1</v>
      </c>
      <c r="AG98" s="1867">
        <f t="shared" ca="1" si="33"/>
        <v>1</v>
      </c>
      <c r="AH98" s="1867">
        <f t="shared" ca="1" si="33"/>
        <v>1</v>
      </c>
      <c r="AI98" s="1867">
        <f t="shared" ca="1" si="33"/>
        <v>1</v>
      </c>
      <c r="AJ98" s="1867">
        <f t="shared" ca="1" si="33"/>
        <v>1</v>
      </c>
      <c r="AK98" s="1867">
        <f t="shared" ca="1" si="33"/>
        <v>1</v>
      </c>
      <c r="AL98" s="1867">
        <f t="shared" ca="1" si="33"/>
        <v>1</v>
      </c>
      <c r="AM98" s="1867">
        <f t="shared" ca="1" si="22"/>
        <v>1</v>
      </c>
      <c r="AN98" s="1868" t="s">
        <v>1585</v>
      </c>
      <c r="AO98" s="1867">
        <f t="shared" ca="1" si="23"/>
        <v>1</v>
      </c>
    </row>
    <row r="99" spans="1:41" outlineLevel="1">
      <c r="A99" s="1842">
        <f>ROW()</f>
        <v>99</v>
      </c>
      <c r="B99" s="1906"/>
      <c r="C99" s="1906"/>
      <c r="D99" s="1866" t="s">
        <v>1657</v>
      </c>
      <c r="E99" s="1967" t="s">
        <v>966</v>
      </c>
      <c r="F99" s="1967" t="s">
        <v>966</v>
      </c>
      <c r="G99" s="1967" t="s">
        <v>966</v>
      </c>
      <c r="H99" s="1967" t="s">
        <v>966</v>
      </c>
      <c r="I99" s="1967" t="s">
        <v>966</v>
      </c>
      <c r="J99" s="1967" t="s">
        <v>966</v>
      </c>
      <c r="K99" s="1967" t="s">
        <v>966</v>
      </c>
      <c r="L99" s="1967" t="s">
        <v>966</v>
      </c>
      <c r="M99" s="1967" t="s">
        <v>966</v>
      </c>
      <c r="N99" s="1967" t="s">
        <v>966</v>
      </c>
      <c r="O99" s="1909"/>
      <c r="P99" s="1913"/>
      <c r="Q99" s="1866" t="s">
        <v>1658</v>
      </c>
      <c r="AC99" s="1867">
        <f t="shared" ca="1" si="33"/>
        <v>1</v>
      </c>
      <c r="AD99" s="1867">
        <f t="shared" ca="1" si="33"/>
        <v>1</v>
      </c>
      <c r="AE99" s="1867">
        <f t="shared" ca="1" si="33"/>
        <v>1</v>
      </c>
      <c r="AF99" s="1867">
        <f t="shared" ca="1" si="33"/>
        <v>1</v>
      </c>
      <c r="AG99" s="1867">
        <f t="shared" ca="1" si="33"/>
        <v>0</v>
      </c>
      <c r="AH99" s="1867">
        <f t="shared" ca="1" si="33"/>
        <v>0</v>
      </c>
      <c r="AI99" s="1867">
        <f t="shared" ca="1" si="33"/>
        <v>0</v>
      </c>
      <c r="AJ99" s="1867">
        <f t="shared" ca="1" si="33"/>
        <v>0</v>
      </c>
      <c r="AK99" s="1867">
        <f t="shared" ca="1" si="33"/>
        <v>0</v>
      </c>
      <c r="AL99" s="1867">
        <f t="shared" ca="1" si="33"/>
        <v>0</v>
      </c>
      <c r="AM99" s="1867">
        <f t="shared" ca="1" si="22"/>
        <v>1</v>
      </c>
      <c r="AN99" s="1868" t="s">
        <v>1585</v>
      </c>
      <c r="AO99" s="1867">
        <f t="shared" ca="1" si="23"/>
        <v>1</v>
      </c>
    </row>
    <row r="100" spans="1:41" outlineLevel="1">
      <c r="A100" s="1842">
        <f>ROW()</f>
        <v>100</v>
      </c>
      <c r="B100" s="1906"/>
      <c r="C100" s="1906"/>
      <c r="D100" s="1866" t="s">
        <v>1659</v>
      </c>
      <c r="E100" s="1968" t="s">
        <v>966</v>
      </c>
      <c r="F100" s="1968" t="s">
        <v>966</v>
      </c>
      <c r="G100" s="1968" t="s">
        <v>966</v>
      </c>
      <c r="H100" s="1968" t="s">
        <v>966</v>
      </c>
      <c r="I100" s="1968" t="s">
        <v>966</v>
      </c>
      <c r="J100" s="1968" t="s">
        <v>966</v>
      </c>
      <c r="K100" s="1968" t="s">
        <v>966</v>
      </c>
      <c r="L100" s="1968" t="s">
        <v>966</v>
      </c>
      <c r="M100" s="1968" t="s">
        <v>966</v>
      </c>
      <c r="N100" s="1968" t="s">
        <v>966</v>
      </c>
      <c r="O100" s="1909"/>
      <c r="P100" s="1913"/>
      <c r="Q100" s="1866"/>
      <c r="AC100" s="1867">
        <f t="shared" ca="1" si="33"/>
        <v>1</v>
      </c>
      <c r="AD100" s="1867">
        <f t="shared" ca="1" si="33"/>
        <v>1</v>
      </c>
      <c r="AE100" s="1867">
        <f t="shared" ca="1" si="33"/>
        <v>1</v>
      </c>
      <c r="AF100" s="1867">
        <f t="shared" ca="1" si="33"/>
        <v>1</v>
      </c>
      <c r="AG100" s="1867">
        <f t="shared" ca="1" si="33"/>
        <v>0</v>
      </c>
      <c r="AH100" s="1867">
        <f t="shared" ca="1" si="33"/>
        <v>0</v>
      </c>
      <c r="AI100" s="1867">
        <f t="shared" ca="1" si="33"/>
        <v>0</v>
      </c>
      <c r="AJ100" s="1867">
        <f t="shared" ca="1" si="33"/>
        <v>0</v>
      </c>
      <c r="AK100" s="1867">
        <f t="shared" ca="1" si="33"/>
        <v>0</v>
      </c>
      <c r="AL100" s="1867">
        <f t="shared" ca="1" si="33"/>
        <v>0</v>
      </c>
      <c r="AM100" s="1867">
        <f t="shared" ca="1" si="22"/>
        <v>1</v>
      </c>
      <c r="AN100" s="1868" t="s">
        <v>1585</v>
      </c>
      <c r="AO100" s="1867">
        <f t="shared" ca="1" si="23"/>
        <v>1</v>
      </c>
    </row>
    <row r="101" spans="1:41" outlineLevel="1">
      <c r="A101" s="1842">
        <f>ROW()</f>
        <v>101</v>
      </c>
      <c r="B101" s="1906"/>
      <c r="C101" s="1906"/>
      <c r="D101" s="1866" t="s">
        <v>1660</v>
      </c>
      <c r="E101" s="1968" t="s">
        <v>1661</v>
      </c>
      <c r="F101" s="1968" t="s">
        <v>1661</v>
      </c>
      <c r="G101" s="1968" t="s">
        <v>1661</v>
      </c>
      <c r="H101" s="1968" t="s">
        <v>1661</v>
      </c>
      <c r="I101" s="1968" t="s">
        <v>1661</v>
      </c>
      <c r="J101" s="1968" t="s">
        <v>1661</v>
      </c>
      <c r="K101" s="1968" t="s">
        <v>1661</v>
      </c>
      <c r="L101" s="1968" t="s">
        <v>1661</v>
      </c>
      <c r="M101" s="1968" t="s">
        <v>1661</v>
      </c>
      <c r="N101" s="1968" t="s">
        <v>1661</v>
      </c>
      <c r="O101" s="1909"/>
      <c r="P101" s="1913"/>
      <c r="Q101" s="1969" t="s">
        <v>1662</v>
      </c>
      <c r="AC101" s="1867"/>
      <c r="AD101" s="1867"/>
      <c r="AE101" s="1867"/>
      <c r="AF101" s="1867"/>
      <c r="AG101" s="1867"/>
      <c r="AH101" s="1867"/>
      <c r="AI101" s="1867"/>
      <c r="AJ101" s="1867"/>
      <c r="AK101" s="1867"/>
      <c r="AL101" s="1867"/>
      <c r="AM101" s="1867"/>
      <c r="AN101" s="1868"/>
      <c r="AO101" s="1867"/>
    </row>
    <row r="102" spans="1:41" outlineLevel="1">
      <c r="A102" s="1842">
        <f>ROW()</f>
        <v>102</v>
      </c>
      <c r="B102" s="1906"/>
      <c r="C102" s="1906"/>
      <c r="D102" s="1866" t="s">
        <v>1663</v>
      </c>
      <c r="E102" s="1968"/>
      <c r="F102" s="1968"/>
      <c r="G102" s="1968"/>
      <c r="H102" s="1968"/>
      <c r="I102" s="1968"/>
      <c r="J102" s="1968"/>
      <c r="K102" s="1968"/>
      <c r="L102" s="1968"/>
      <c r="M102" s="1968"/>
      <c r="N102" s="1968"/>
      <c r="O102" s="1909"/>
      <c r="P102" s="1913"/>
      <c r="Q102" s="1969"/>
      <c r="AC102" s="1867"/>
      <c r="AD102" s="1867"/>
      <c r="AE102" s="1867"/>
      <c r="AF102" s="1867"/>
      <c r="AG102" s="1867"/>
      <c r="AH102" s="1867"/>
      <c r="AI102" s="1867"/>
      <c r="AJ102" s="1867"/>
      <c r="AK102" s="1867"/>
      <c r="AL102" s="1867"/>
      <c r="AM102" s="1867"/>
      <c r="AN102" s="1868"/>
      <c r="AO102" s="1867"/>
    </row>
    <row r="103" spans="1:41" outlineLevel="1">
      <c r="A103" s="1842">
        <f>ROW()</f>
        <v>103</v>
      </c>
      <c r="B103" s="1906"/>
      <c r="C103" s="1906"/>
      <c r="D103" s="1866" t="s">
        <v>1664</v>
      </c>
      <c r="E103" s="1968"/>
      <c r="F103" s="1968"/>
      <c r="G103" s="1968"/>
      <c r="H103" s="1968"/>
      <c r="I103" s="1968"/>
      <c r="J103" s="1968"/>
      <c r="K103" s="1968"/>
      <c r="L103" s="1968"/>
      <c r="M103" s="1968"/>
      <c r="N103" s="1968"/>
      <c r="O103" s="1909"/>
      <c r="P103" s="1913"/>
      <c r="Q103" s="1969"/>
      <c r="AC103" s="1867"/>
      <c r="AD103" s="1867"/>
      <c r="AE103" s="1867"/>
      <c r="AF103" s="1867"/>
      <c r="AG103" s="1867"/>
      <c r="AH103" s="1867"/>
      <c r="AI103" s="1867"/>
      <c r="AJ103" s="1867"/>
      <c r="AK103" s="1867"/>
      <c r="AL103" s="1867"/>
      <c r="AM103" s="1867"/>
      <c r="AN103" s="1868"/>
      <c r="AO103" s="1867"/>
    </row>
    <row r="104" spans="1:41" outlineLevel="1">
      <c r="A104" s="1842">
        <f>ROW()</f>
        <v>104</v>
      </c>
      <c r="B104" s="1906"/>
      <c r="C104" s="1906"/>
      <c r="D104" s="1866" t="s">
        <v>1665</v>
      </c>
      <c r="E104" s="1968"/>
      <c r="F104" s="1968"/>
      <c r="G104" s="1968"/>
      <c r="H104" s="1968"/>
      <c r="I104" s="1968"/>
      <c r="J104" s="1968"/>
      <c r="K104" s="1968"/>
      <c r="L104" s="1968"/>
      <c r="M104" s="1968"/>
      <c r="N104" s="1968"/>
      <c r="O104" s="1909"/>
      <c r="P104" s="1913"/>
      <c r="Q104" s="1866" t="s">
        <v>1666</v>
      </c>
      <c r="AC104" s="1867"/>
      <c r="AD104" s="1867"/>
      <c r="AE104" s="1867"/>
      <c r="AF104" s="1867"/>
      <c r="AG104" s="1867"/>
      <c r="AH104" s="1867"/>
      <c r="AI104" s="1867"/>
      <c r="AJ104" s="1867"/>
      <c r="AK104" s="1867"/>
      <c r="AL104" s="1867"/>
      <c r="AM104" s="1867"/>
      <c r="AN104" s="1868"/>
      <c r="AO104" s="1867"/>
    </row>
    <row r="105" spans="1:41" outlineLevel="1">
      <c r="A105" s="1842">
        <f>ROW()</f>
        <v>105</v>
      </c>
      <c r="B105" s="1906"/>
      <c r="C105" s="1906"/>
      <c r="D105" s="1866" t="s">
        <v>1667</v>
      </c>
      <c r="E105" s="1968"/>
      <c r="F105" s="1968"/>
      <c r="G105" s="1968"/>
      <c r="H105" s="1968"/>
      <c r="I105" s="1968"/>
      <c r="J105" s="1968"/>
      <c r="K105" s="1968"/>
      <c r="L105" s="1968"/>
      <c r="M105" s="1968"/>
      <c r="N105" s="1968"/>
      <c r="O105" s="1909"/>
      <c r="P105" s="1913"/>
      <c r="Q105" s="1866" t="s">
        <v>1668</v>
      </c>
      <c r="AC105" s="1867"/>
      <c r="AD105" s="1867"/>
      <c r="AE105" s="1867"/>
      <c r="AF105" s="1867"/>
      <c r="AG105" s="1867"/>
      <c r="AH105" s="1867"/>
      <c r="AI105" s="1867"/>
      <c r="AJ105" s="1867"/>
      <c r="AK105" s="1867"/>
      <c r="AL105" s="1867"/>
      <c r="AM105" s="1867"/>
      <c r="AN105" s="1868"/>
      <c r="AO105" s="1867"/>
    </row>
    <row r="106" spans="1:41" outlineLevel="1">
      <c r="A106" s="1842">
        <f>ROW()</f>
        <v>106</v>
      </c>
      <c r="B106" s="1906"/>
      <c r="C106" s="1906"/>
      <c r="D106" s="1866" t="s">
        <v>1669</v>
      </c>
      <c r="E106" s="1968"/>
      <c r="F106" s="1968"/>
      <c r="G106" s="1968"/>
      <c r="H106" s="1968"/>
      <c r="I106" s="1968"/>
      <c r="J106" s="1968"/>
      <c r="K106" s="1968"/>
      <c r="L106" s="1968"/>
      <c r="M106" s="1968"/>
      <c r="N106" s="1968"/>
      <c r="O106" s="1909"/>
      <c r="P106" s="1913"/>
      <c r="Q106" s="1866" t="s">
        <v>1670</v>
      </c>
      <c r="AC106" s="1867"/>
      <c r="AD106" s="1867"/>
      <c r="AE106" s="1867"/>
      <c r="AF106" s="1867"/>
      <c r="AG106" s="1867"/>
      <c r="AH106" s="1867"/>
      <c r="AI106" s="1867"/>
      <c r="AJ106" s="1867"/>
      <c r="AK106" s="1867"/>
      <c r="AL106" s="1867"/>
      <c r="AM106" s="1867"/>
      <c r="AN106" s="1868"/>
      <c r="AO106" s="1867"/>
    </row>
    <row r="107" spans="1:41" outlineLevel="1">
      <c r="A107" s="1842">
        <f>ROW()</f>
        <v>107</v>
      </c>
      <c r="B107" s="1906"/>
      <c r="C107" s="1906"/>
      <c r="D107" s="1866" t="s">
        <v>1671</v>
      </c>
      <c r="E107" s="1970">
        <v>0</v>
      </c>
      <c r="F107" s="1970">
        <v>0</v>
      </c>
      <c r="G107" s="1970">
        <v>0</v>
      </c>
      <c r="H107" s="1970">
        <v>0</v>
      </c>
      <c r="I107" s="1970">
        <v>0</v>
      </c>
      <c r="J107" s="1970">
        <v>0</v>
      </c>
      <c r="K107" s="1970">
        <v>0</v>
      </c>
      <c r="L107" s="1970">
        <v>0</v>
      </c>
      <c r="M107" s="1970">
        <v>0</v>
      </c>
      <c r="N107" s="1970">
        <v>0</v>
      </c>
      <c r="O107" s="1909"/>
      <c r="P107" s="1913"/>
      <c r="Q107" s="1866" t="s">
        <v>1672</v>
      </c>
      <c r="AC107" s="1867"/>
      <c r="AD107" s="1867"/>
      <c r="AE107" s="1867"/>
      <c r="AF107" s="1867"/>
      <c r="AG107" s="1867"/>
      <c r="AH107" s="1867"/>
      <c r="AI107" s="1867"/>
      <c r="AJ107" s="1867"/>
      <c r="AK107" s="1867"/>
      <c r="AL107" s="1867"/>
      <c r="AM107" s="1867"/>
      <c r="AN107" s="1868"/>
      <c r="AO107" s="1867"/>
    </row>
    <row r="108" spans="1:41" outlineLevel="1">
      <c r="A108" s="1842">
        <f>ROW()</f>
        <v>108</v>
      </c>
      <c r="B108" s="1906"/>
      <c r="C108" s="1906"/>
      <c r="D108" s="1866" t="s">
        <v>1673</v>
      </c>
      <c r="E108" s="1970">
        <v>0</v>
      </c>
      <c r="F108" s="1970">
        <v>0</v>
      </c>
      <c r="G108" s="1970">
        <v>0</v>
      </c>
      <c r="H108" s="1970">
        <v>0</v>
      </c>
      <c r="I108" s="1970">
        <v>0</v>
      </c>
      <c r="J108" s="1970">
        <v>0</v>
      </c>
      <c r="K108" s="1970">
        <v>0</v>
      </c>
      <c r="L108" s="1970">
        <v>0</v>
      </c>
      <c r="M108" s="1970">
        <v>0</v>
      </c>
      <c r="N108" s="1970">
        <v>0</v>
      </c>
      <c r="O108" s="1909"/>
      <c r="P108" s="1913"/>
      <c r="Q108" s="1866"/>
      <c r="AC108" s="1867"/>
      <c r="AD108" s="1867"/>
      <c r="AE108" s="1867"/>
      <c r="AF108" s="1867"/>
      <c r="AG108" s="1867"/>
      <c r="AH108" s="1867"/>
      <c r="AI108" s="1867"/>
      <c r="AJ108" s="1867"/>
      <c r="AK108" s="1867"/>
      <c r="AL108" s="1867"/>
      <c r="AM108" s="1867"/>
      <c r="AN108" s="1868"/>
      <c r="AO108" s="1867"/>
    </row>
    <row r="109" spans="1:41" ht="13.8" outlineLevel="1">
      <c r="A109" s="1842">
        <f>ROW()</f>
        <v>109</v>
      </c>
      <c r="B109" s="1906"/>
      <c r="C109" s="1906"/>
      <c r="D109" s="1870" t="s">
        <v>1674</v>
      </c>
      <c r="E109" s="2247"/>
      <c r="F109" s="2247"/>
      <c r="G109" s="2247"/>
      <c r="H109" s="2247"/>
      <c r="I109" s="2247"/>
      <c r="J109" s="2247"/>
      <c r="K109" s="2247"/>
      <c r="L109" s="2247"/>
      <c r="M109" s="2247"/>
      <c r="N109" s="2247"/>
      <c r="O109" s="1909"/>
      <c r="P109" s="1913"/>
      <c r="Q109" s="1866"/>
      <c r="AC109" s="1867">
        <f t="shared" ca="1" si="33"/>
        <v>1</v>
      </c>
      <c r="AD109" s="1867">
        <f t="shared" ca="1" si="33"/>
        <v>1</v>
      </c>
      <c r="AE109" s="1867">
        <f t="shared" ca="1" si="33"/>
        <v>1</v>
      </c>
      <c r="AF109" s="1867">
        <f t="shared" ca="1" si="33"/>
        <v>1</v>
      </c>
      <c r="AG109" s="1867">
        <f t="shared" ca="1" si="33"/>
        <v>0</v>
      </c>
      <c r="AH109" s="1867">
        <f t="shared" ca="1" si="33"/>
        <v>0</v>
      </c>
      <c r="AI109" s="1867">
        <f t="shared" ca="1" si="33"/>
        <v>0</v>
      </c>
      <c r="AJ109" s="1867">
        <f t="shared" ca="1" si="33"/>
        <v>0</v>
      </c>
      <c r="AK109" s="1867">
        <f t="shared" ca="1" si="33"/>
        <v>0</v>
      </c>
      <c r="AL109" s="1867">
        <f t="shared" ca="1" si="33"/>
        <v>0</v>
      </c>
      <c r="AM109" s="1867">
        <f t="shared" ca="1" si="22"/>
        <v>1</v>
      </c>
      <c r="AN109" s="1868" t="s">
        <v>1585</v>
      </c>
      <c r="AO109" s="1867">
        <f t="shared" ca="1" si="23"/>
        <v>1</v>
      </c>
    </row>
    <row r="110" spans="1:41" ht="13.8" outlineLevel="1">
      <c r="A110" s="1842">
        <f>ROW()</f>
        <v>110</v>
      </c>
      <c r="B110" s="1906"/>
      <c r="C110" s="1906"/>
      <c r="D110" s="1870" t="s">
        <v>1675</v>
      </c>
      <c r="E110" s="2247"/>
      <c r="F110" s="2247"/>
      <c r="G110" s="2247"/>
      <c r="H110" s="2247"/>
      <c r="I110" s="2247"/>
      <c r="J110" s="2247"/>
      <c r="K110" s="2247"/>
      <c r="L110" s="2247"/>
      <c r="M110" s="2247"/>
      <c r="N110" s="2247"/>
      <c r="O110" s="1909"/>
      <c r="P110" s="1913"/>
      <c r="Q110" s="1866" t="s">
        <v>1676</v>
      </c>
      <c r="AC110" s="1867"/>
      <c r="AD110" s="1867"/>
      <c r="AE110" s="1867"/>
      <c r="AF110" s="1867"/>
      <c r="AG110" s="1867"/>
      <c r="AH110" s="1867"/>
      <c r="AI110" s="1867"/>
      <c r="AJ110" s="1867"/>
      <c r="AK110" s="1867"/>
      <c r="AL110" s="1867"/>
      <c r="AM110" s="1867"/>
      <c r="AN110" s="1868"/>
      <c r="AO110" s="1867"/>
    </row>
    <row r="111" spans="1:41" ht="13.8" outlineLevel="1">
      <c r="A111" s="1842">
        <f>ROW()</f>
        <v>111</v>
      </c>
      <c r="B111" s="1906"/>
      <c r="C111" s="1906"/>
      <c r="D111" s="1870" t="s">
        <v>1677</v>
      </c>
      <c r="E111" s="2247"/>
      <c r="F111" s="2247"/>
      <c r="G111" s="2247"/>
      <c r="H111" s="2247"/>
      <c r="I111" s="2247"/>
      <c r="J111" s="2247"/>
      <c r="K111" s="2247"/>
      <c r="L111" s="2247"/>
      <c r="M111" s="2247"/>
      <c r="N111" s="2247"/>
      <c r="O111" s="1909"/>
      <c r="P111" s="1913"/>
      <c r="Q111" s="1866"/>
      <c r="AC111" s="1867"/>
      <c r="AD111" s="1867"/>
      <c r="AE111" s="1867"/>
      <c r="AF111" s="1867"/>
      <c r="AG111" s="1867"/>
      <c r="AH111" s="1867"/>
      <c r="AI111" s="1867"/>
      <c r="AJ111" s="1867"/>
      <c r="AK111" s="1867"/>
      <c r="AL111" s="1867"/>
      <c r="AM111" s="1867"/>
      <c r="AN111" s="1868"/>
      <c r="AO111" s="1867"/>
    </row>
    <row r="112" spans="1:41" outlineLevel="1">
      <c r="A112" s="1842">
        <f>ROW()</f>
        <v>112</v>
      </c>
      <c r="B112" s="1906"/>
      <c r="C112" s="1906"/>
      <c r="D112" s="1971"/>
      <c r="E112" s="1938"/>
      <c r="F112" s="1938"/>
      <c r="G112" s="1938"/>
      <c r="H112" s="1938"/>
      <c r="I112" s="1938"/>
      <c r="J112" s="1938"/>
      <c r="K112" s="1938"/>
      <c r="L112" s="1938"/>
      <c r="M112" s="1938"/>
      <c r="N112" s="1938"/>
      <c r="O112" s="1909"/>
      <c r="P112" s="1913"/>
      <c r="Q112" s="1866"/>
      <c r="AC112" s="1867">
        <f t="shared" ca="1" si="33"/>
        <v>1</v>
      </c>
      <c r="AD112" s="1867">
        <f t="shared" ca="1" si="33"/>
        <v>1</v>
      </c>
      <c r="AE112" s="1867">
        <f t="shared" ca="1" si="33"/>
        <v>1</v>
      </c>
      <c r="AF112" s="1867">
        <f t="shared" ca="1" si="33"/>
        <v>1</v>
      </c>
      <c r="AG112" s="1867">
        <f t="shared" ca="1" si="33"/>
        <v>1</v>
      </c>
      <c r="AH112" s="1867">
        <f t="shared" ca="1" si="33"/>
        <v>1</v>
      </c>
      <c r="AI112" s="1867">
        <f t="shared" ca="1" si="33"/>
        <v>1</v>
      </c>
      <c r="AJ112" s="1867">
        <f t="shared" ca="1" si="33"/>
        <v>1</v>
      </c>
      <c r="AK112" s="1867">
        <f t="shared" ca="1" si="33"/>
        <v>1</v>
      </c>
      <c r="AL112" s="1867">
        <f t="shared" ca="1" si="33"/>
        <v>1</v>
      </c>
      <c r="AM112" s="1867">
        <f t="shared" ca="1" si="22"/>
        <v>1</v>
      </c>
      <c r="AN112" s="1868" t="s">
        <v>1585</v>
      </c>
      <c r="AO112" s="1867">
        <f t="shared" ca="1" si="23"/>
        <v>1</v>
      </c>
    </row>
    <row r="113" spans="1:41" outlineLevel="1">
      <c r="A113" s="1842">
        <f>ROW()</f>
        <v>113</v>
      </c>
      <c r="B113" s="1906"/>
      <c r="C113" s="1906"/>
      <c r="D113" s="1972" t="s">
        <v>1678</v>
      </c>
      <c r="E113" s="1924"/>
      <c r="F113" s="1924"/>
      <c r="G113" s="1924"/>
      <c r="H113" s="1924"/>
      <c r="I113" s="1924"/>
      <c r="J113" s="1924"/>
      <c r="K113" s="1924"/>
      <c r="L113" s="1924"/>
      <c r="M113" s="1924"/>
      <c r="N113" s="1924"/>
      <c r="O113" s="1909"/>
      <c r="P113" s="1913"/>
      <c r="Q113" s="1866"/>
      <c r="AC113" s="1867">
        <f t="shared" ca="1" si="33"/>
        <v>1</v>
      </c>
      <c r="AD113" s="1867">
        <f t="shared" ca="1" si="33"/>
        <v>1</v>
      </c>
      <c r="AE113" s="1867">
        <f t="shared" ca="1" si="33"/>
        <v>1</v>
      </c>
      <c r="AF113" s="1867">
        <f t="shared" ca="1" si="33"/>
        <v>1</v>
      </c>
      <c r="AG113" s="1867">
        <f t="shared" ca="1" si="33"/>
        <v>1</v>
      </c>
      <c r="AH113" s="1867">
        <f t="shared" ca="1" si="33"/>
        <v>1</v>
      </c>
      <c r="AI113" s="1867">
        <f t="shared" ca="1" si="33"/>
        <v>1</v>
      </c>
      <c r="AJ113" s="1867">
        <f t="shared" ca="1" si="33"/>
        <v>1</v>
      </c>
      <c r="AK113" s="1867">
        <f t="shared" ca="1" si="33"/>
        <v>1</v>
      </c>
      <c r="AL113" s="1867">
        <f t="shared" ca="1" si="33"/>
        <v>1</v>
      </c>
      <c r="AM113" s="1867">
        <f t="shared" ca="1" si="22"/>
        <v>1</v>
      </c>
      <c r="AN113" s="1868" t="s">
        <v>1585</v>
      </c>
      <c r="AO113" s="1867">
        <f t="shared" ca="1" si="23"/>
        <v>1</v>
      </c>
    </row>
    <row r="114" spans="1:41" ht="14.4" outlineLevel="1">
      <c r="A114" s="1842">
        <f>ROW()</f>
        <v>114</v>
      </c>
      <c r="B114" s="1925"/>
      <c r="D114" s="1926" t="s">
        <v>1679</v>
      </c>
      <c r="E114" s="1869" t="s">
        <v>1680</v>
      </c>
      <c r="F114" s="1939">
        <f>IF(F115=0,0,(F115-E115)/E115)</f>
        <v>2.4830830570042735</v>
      </c>
      <c r="G114" s="1939">
        <f t="shared" ref="G114:N114" si="47">IF(G115=0,0,(G115-F115)/F115)</f>
        <v>0.72441403814920047</v>
      </c>
      <c r="H114" s="1939">
        <f t="shared" si="47"/>
        <v>0.64493040091510001</v>
      </c>
      <c r="I114" s="1939">
        <f t="shared" si="47"/>
        <v>0.46318828165036408</v>
      </c>
      <c r="J114" s="1939">
        <f t="shared" si="47"/>
        <v>0.29833021643297425</v>
      </c>
      <c r="K114" s="1939">
        <f t="shared" si="47"/>
        <v>0</v>
      </c>
      <c r="L114" s="1939">
        <f t="shared" si="47"/>
        <v>0</v>
      </c>
      <c r="M114" s="1939">
        <f t="shared" si="47"/>
        <v>0</v>
      </c>
      <c r="N114" s="1939">
        <f t="shared" si="47"/>
        <v>0</v>
      </c>
      <c r="O114" s="1909"/>
      <c r="P114" s="1913"/>
      <c r="Q114" s="1866" t="s">
        <v>1681</v>
      </c>
      <c r="S114" s="1928" t="s">
        <v>1682</v>
      </c>
      <c r="T114" s="1929"/>
      <c r="U114" s="1929"/>
      <c r="V114" s="1929"/>
      <c r="W114" s="1929"/>
      <c r="X114" s="1929"/>
      <c r="AC114" s="1867">
        <f t="shared" ca="1" si="33"/>
        <v>1</v>
      </c>
      <c r="AD114" s="1867">
        <f t="shared" ca="1" si="33"/>
        <v>1</v>
      </c>
      <c r="AE114" s="1867">
        <f t="shared" ca="1" si="33"/>
        <v>1</v>
      </c>
      <c r="AF114" s="1867">
        <f t="shared" ca="1" si="33"/>
        <v>1</v>
      </c>
      <c r="AG114" s="1867">
        <f t="shared" ca="1" si="33"/>
        <v>1</v>
      </c>
      <c r="AH114" s="1867">
        <f t="shared" ca="1" si="33"/>
        <v>1</v>
      </c>
      <c r="AI114" s="1867">
        <f t="shared" ca="1" si="33"/>
        <v>1</v>
      </c>
      <c r="AJ114" s="1867">
        <f t="shared" ca="1" si="33"/>
        <v>1</v>
      </c>
      <c r="AK114" s="1867">
        <f t="shared" ca="1" si="33"/>
        <v>1</v>
      </c>
      <c r="AL114" s="1867">
        <f t="shared" ca="1" si="33"/>
        <v>1</v>
      </c>
      <c r="AM114" s="1867">
        <f t="shared" ca="1" si="22"/>
        <v>1</v>
      </c>
      <c r="AN114" s="1868" t="s">
        <v>1585</v>
      </c>
      <c r="AO114" s="1867">
        <f t="shared" ca="1" si="23"/>
        <v>1</v>
      </c>
    </row>
    <row r="115" spans="1:41" ht="13.8" outlineLevel="1">
      <c r="A115" s="1842">
        <f>ROW()</f>
        <v>115</v>
      </c>
      <c r="B115" s="1925"/>
      <c r="D115" s="1973" t="s">
        <v>1683</v>
      </c>
      <c r="E115" s="1930">
        <f>Summary!G55</f>
        <v>410359.60179680743</v>
      </c>
      <c r="F115" s="1930">
        <f>Summary!H55</f>
        <v>1429316.5762974804</v>
      </c>
      <c r="G115" s="1930">
        <f>Summary!I55</f>
        <v>2464733.569126728</v>
      </c>
      <c r="H115" s="1930">
        <f>Summary!J55</f>
        <v>4054315.178012534</v>
      </c>
      <c r="I115" s="1930">
        <f>Summary!K55</f>
        <v>5932226.4585851496</v>
      </c>
      <c r="J115" s="1930">
        <f>Summary!L55</f>
        <v>7701988.8619042737</v>
      </c>
      <c r="K115" s="1930">
        <v>0</v>
      </c>
      <c r="L115" s="1930">
        <v>0</v>
      </c>
      <c r="M115" s="1930">
        <v>0</v>
      </c>
      <c r="N115" s="1930">
        <v>0</v>
      </c>
      <c r="O115" s="1909"/>
      <c r="P115" s="1913"/>
      <c r="Q115" s="1866" t="s">
        <v>1684</v>
      </c>
      <c r="S115" s="1931">
        <f t="shared" ref="S115:X119" si="48">IFERROR(E115/E$134,0)</f>
        <v>1</v>
      </c>
      <c r="T115" s="1931">
        <f t="shared" si="48"/>
        <v>1</v>
      </c>
      <c r="U115" s="1931">
        <f t="shared" si="48"/>
        <v>1</v>
      </c>
      <c r="V115" s="1931">
        <f t="shared" si="48"/>
        <v>1</v>
      </c>
      <c r="W115" s="1931">
        <f t="shared" si="48"/>
        <v>1</v>
      </c>
      <c r="X115" s="1931">
        <f t="shared" si="48"/>
        <v>1</v>
      </c>
      <c r="Y115" s="1914"/>
      <c r="AC115" s="1867">
        <f t="shared" ca="1" si="33"/>
        <v>1</v>
      </c>
      <c r="AD115" s="1867">
        <f t="shared" ca="1" si="33"/>
        <v>1</v>
      </c>
      <c r="AE115" s="1867">
        <f t="shared" ca="1" si="33"/>
        <v>1</v>
      </c>
      <c r="AF115" s="1867">
        <f t="shared" ca="1" si="33"/>
        <v>1</v>
      </c>
      <c r="AG115" s="1867">
        <f t="shared" ca="1" si="33"/>
        <v>0</v>
      </c>
      <c r="AH115" s="1867">
        <f t="shared" ca="1" si="33"/>
        <v>0</v>
      </c>
      <c r="AI115" s="1867">
        <f t="shared" ca="1" si="33"/>
        <v>0</v>
      </c>
      <c r="AJ115" s="1867">
        <f t="shared" ca="1" si="33"/>
        <v>0</v>
      </c>
      <c r="AK115" s="1867">
        <f t="shared" ca="1" si="33"/>
        <v>0</v>
      </c>
      <c r="AL115" s="1867">
        <f t="shared" ca="1" si="33"/>
        <v>0</v>
      </c>
      <c r="AM115" s="1867">
        <f t="shared" ca="1" si="22"/>
        <v>1</v>
      </c>
      <c r="AN115" s="1868" t="s">
        <v>1585</v>
      </c>
      <c r="AO115" s="1867">
        <f t="shared" ca="1" si="23"/>
        <v>1</v>
      </c>
    </row>
    <row r="116" spans="1:41" ht="13.8" outlineLevel="1">
      <c r="A116" s="1842">
        <f>ROW()</f>
        <v>116</v>
      </c>
      <c r="B116" s="1925"/>
      <c r="D116" s="1870" t="s">
        <v>1685</v>
      </c>
      <c r="E116" s="1952">
        <v>0</v>
      </c>
      <c r="F116" s="1952">
        <v>0</v>
      </c>
      <c r="G116" s="1952">
        <v>0</v>
      </c>
      <c r="H116" s="1952">
        <v>0</v>
      </c>
      <c r="I116" s="1952">
        <v>0</v>
      </c>
      <c r="J116" s="1952">
        <v>0</v>
      </c>
      <c r="K116" s="1952">
        <v>0</v>
      </c>
      <c r="L116" s="1952">
        <v>0</v>
      </c>
      <c r="M116" s="1952">
        <v>0</v>
      </c>
      <c r="N116" s="1952">
        <v>0</v>
      </c>
      <c r="O116" s="1909"/>
      <c r="P116" s="1913"/>
      <c r="Q116" s="1866" t="s">
        <v>1686</v>
      </c>
      <c r="S116" s="1931">
        <f t="shared" si="48"/>
        <v>0</v>
      </c>
      <c r="T116" s="1931">
        <f t="shared" si="48"/>
        <v>0</v>
      </c>
      <c r="U116" s="1931">
        <f t="shared" si="48"/>
        <v>0</v>
      </c>
      <c r="V116" s="1931">
        <f t="shared" si="48"/>
        <v>0</v>
      </c>
      <c r="W116" s="1931">
        <f t="shared" si="48"/>
        <v>0</v>
      </c>
      <c r="X116" s="1931">
        <f t="shared" si="48"/>
        <v>0</v>
      </c>
      <c r="Y116" s="1914"/>
      <c r="AC116" s="1867">
        <f t="shared" ca="1" si="33"/>
        <v>1</v>
      </c>
      <c r="AD116" s="1867">
        <f t="shared" ca="1" si="33"/>
        <v>1</v>
      </c>
      <c r="AE116" s="1867">
        <f t="shared" ca="1" si="33"/>
        <v>1</v>
      </c>
      <c r="AF116" s="1867">
        <f t="shared" ca="1" si="33"/>
        <v>1</v>
      </c>
      <c r="AG116" s="1867">
        <f t="shared" ca="1" si="33"/>
        <v>0</v>
      </c>
      <c r="AH116" s="1867">
        <f t="shared" ca="1" si="33"/>
        <v>0</v>
      </c>
      <c r="AI116" s="1867">
        <f t="shared" ca="1" si="33"/>
        <v>0</v>
      </c>
      <c r="AJ116" s="1867">
        <f t="shared" ca="1" si="33"/>
        <v>0</v>
      </c>
      <c r="AK116" s="1867">
        <f t="shared" ca="1" si="33"/>
        <v>0</v>
      </c>
      <c r="AL116" s="1867">
        <f t="shared" ca="1" si="33"/>
        <v>0</v>
      </c>
      <c r="AM116" s="1867">
        <f t="shared" ca="1" si="22"/>
        <v>1</v>
      </c>
      <c r="AN116" s="1868" t="s">
        <v>1585</v>
      </c>
      <c r="AO116" s="1867">
        <f t="shared" ca="1" si="23"/>
        <v>1</v>
      </c>
    </row>
    <row r="117" spans="1:41" ht="13.8" outlineLevel="1">
      <c r="A117" s="1842">
        <f>ROW()</f>
        <v>117</v>
      </c>
      <c r="B117" s="1925"/>
      <c r="D117" s="1870" t="s">
        <v>1687</v>
      </c>
      <c r="E117" s="1950">
        <v>0</v>
      </c>
      <c r="F117" s="1950">
        <v>0</v>
      </c>
      <c r="G117" s="1950">
        <v>0</v>
      </c>
      <c r="H117" s="1950">
        <v>0</v>
      </c>
      <c r="I117" s="1950">
        <v>0</v>
      </c>
      <c r="J117" s="1950">
        <v>0</v>
      </c>
      <c r="K117" s="1950">
        <v>0</v>
      </c>
      <c r="L117" s="1950">
        <v>0</v>
      </c>
      <c r="M117" s="1950">
        <v>0</v>
      </c>
      <c r="N117" s="1950">
        <v>0</v>
      </c>
      <c r="O117" s="1909"/>
      <c r="P117" s="1913"/>
      <c r="Q117" s="1866" t="s">
        <v>1688</v>
      </c>
      <c r="S117" s="1931">
        <f t="shared" si="48"/>
        <v>0</v>
      </c>
      <c r="T117" s="1931">
        <f t="shared" si="48"/>
        <v>0</v>
      </c>
      <c r="U117" s="1931">
        <f t="shared" si="48"/>
        <v>0</v>
      </c>
      <c r="V117" s="1931">
        <f t="shared" si="48"/>
        <v>0</v>
      </c>
      <c r="W117" s="1931">
        <f t="shared" si="48"/>
        <v>0</v>
      </c>
      <c r="X117" s="1931">
        <f t="shared" si="48"/>
        <v>0</v>
      </c>
      <c r="Y117" s="1914"/>
      <c r="AC117" s="1867">
        <f t="shared" ca="1" si="33"/>
        <v>1</v>
      </c>
      <c r="AD117" s="1867">
        <f t="shared" ca="1" si="33"/>
        <v>1</v>
      </c>
      <c r="AE117" s="1867">
        <f t="shared" ca="1" si="33"/>
        <v>1</v>
      </c>
      <c r="AF117" s="1867">
        <f t="shared" ca="1" si="33"/>
        <v>1</v>
      </c>
      <c r="AG117" s="1867">
        <f t="shared" ca="1" si="33"/>
        <v>0</v>
      </c>
      <c r="AH117" s="1867">
        <f t="shared" ca="1" si="33"/>
        <v>0</v>
      </c>
      <c r="AI117" s="1867">
        <f t="shared" ref="AI117:AL197" ca="1" si="49">CELL("protect",G117)</f>
        <v>0</v>
      </c>
      <c r="AJ117" s="1867">
        <f t="shared" ca="1" si="49"/>
        <v>0</v>
      </c>
      <c r="AK117" s="1867">
        <f t="shared" ca="1" si="49"/>
        <v>0</v>
      </c>
      <c r="AL117" s="1867">
        <f t="shared" ca="1" si="49"/>
        <v>0</v>
      </c>
      <c r="AM117" s="1867">
        <f t="shared" ca="1" si="22"/>
        <v>1</v>
      </c>
      <c r="AN117" s="1868" t="s">
        <v>1585</v>
      </c>
      <c r="AO117" s="1867">
        <f t="shared" ca="1" si="23"/>
        <v>1</v>
      </c>
    </row>
    <row r="118" spans="1:41" ht="13.8" outlineLevel="1">
      <c r="A118" s="1842">
        <f>ROW()</f>
        <v>118</v>
      </c>
      <c r="B118" s="1925"/>
      <c r="D118" s="1870" t="s">
        <v>1689</v>
      </c>
      <c r="E118" s="1932">
        <v>0</v>
      </c>
      <c r="F118" s="1932">
        <v>0</v>
      </c>
      <c r="G118" s="1932">
        <v>0</v>
      </c>
      <c r="H118" s="1932">
        <v>0</v>
      </c>
      <c r="I118" s="1932">
        <v>0</v>
      </c>
      <c r="J118" s="1932">
        <v>0</v>
      </c>
      <c r="K118" s="1932">
        <v>0</v>
      </c>
      <c r="L118" s="1932">
        <v>0</v>
      </c>
      <c r="M118" s="1932">
        <v>0</v>
      </c>
      <c r="N118" s="1932">
        <v>0</v>
      </c>
      <c r="O118" s="1909"/>
      <c r="P118" s="1913"/>
      <c r="Q118" s="1866" t="s">
        <v>1690</v>
      </c>
      <c r="S118" s="1931">
        <f t="shared" si="48"/>
        <v>0</v>
      </c>
      <c r="T118" s="1931">
        <f t="shared" si="48"/>
        <v>0</v>
      </c>
      <c r="U118" s="1931">
        <f t="shared" si="48"/>
        <v>0</v>
      </c>
      <c r="V118" s="1931">
        <f t="shared" si="48"/>
        <v>0</v>
      </c>
      <c r="W118" s="1931">
        <f t="shared" si="48"/>
        <v>0</v>
      </c>
      <c r="X118" s="1931">
        <f t="shared" si="48"/>
        <v>0</v>
      </c>
      <c r="Y118" s="1914"/>
      <c r="AC118" s="1867">
        <f t="shared" ref="AC118:AH183" ca="1" si="50">CELL("protect",A118)</f>
        <v>1</v>
      </c>
      <c r="AD118" s="1867">
        <f t="shared" ca="1" si="50"/>
        <v>1</v>
      </c>
      <c r="AE118" s="1867">
        <f t="shared" ca="1" si="50"/>
        <v>1</v>
      </c>
      <c r="AF118" s="1867">
        <f t="shared" ca="1" si="50"/>
        <v>1</v>
      </c>
      <c r="AG118" s="1867">
        <f t="shared" ca="1" si="50"/>
        <v>0</v>
      </c>
      <c r="AH118" s="1867">
        <f t="shared" ca="1" si="50"/>
        <v>0</v>
      </c>
      <c r="AI118" s="1867">
        <f t="shared" ca="1" si="49"/>
        <v>0</v>
      </c>
      <c r="AJ118" s="1867">
        <f t="shared" ca="1" si="49"/>
        <v>0</v>
      </c>
      <c r="AK118" s="1867">
        <f t="shared" ca="1" si="49"/>
        <v>0</v>
      </c>
      <c r="AL118" s="1867">
        <f t="shared" ca="1" si="49"/>
        <v>0</v>
      </c>
      <c r="AM118" s="1867">
        <f t="shared" ca="1" si="22"/>
        <v>1</v>
      </c>
      <c r="AN118" s="1868" t="s">
        <v>1585</v>
      </c>
      <c r="AO118" s="1867">
        <f t="shared" ca="1" si="23"/>
        <v>1</v>
      </c>
    </row>
    <row r="119" spans="1:41" ht="13.8" outlineLevel="1">
      <c r="A119" s="1842">
        <f>ROW()</f>
        <v>119</v>
      </c>
      <c r="B119" s="1925"/>
      <c r="D119" s="1974" t="s">
        <v>1691</v>
      </c>
      <c r="E119" s="1951">
        <f t="shared" ref="E119:I119" si="51">SUM(E115:E118)</f>
        <v>410359.60179680743</v>
      </c>
      <c r="F119" s="1951">
        <f t="shared" si="51"/>
        <v>1429316.5762974804</v>
      </c>
      <c r="G119" s="1951">
        <f t="shared" si="51"/>
        <v>2464733.569126728</v>
      </c>
      <c r="H119" s="1951">
        <f t="shared" si="51"/>
        <v>4054315.178012534</v>
      </c>
      <c r="I119" s="1951">
        <f t="shared" si="51"/>
        <v>5932226.4585851496</v>
      </c>
      <c r="J119" s="1951">
        <f>SUM(J115:J118)</f>
        <v>7701988.8619042737</v>
      </c>
      <c r="K119" s="1951">
        <f>SUM(K115:K118)</f>
        <v>0</v>
      </c>
      <c r="L119" s="1951">
        <f>SUM(L115:L118)</f>
        <v>0</v>
      </c>
      <c r="M119" s="1951">
        <f>SUM(M115:M118)</f>
        <v>0</v>
      </c>
      <c r="N119" s="1951">
        <f>SUM(N115:N118)</f>
        <v>0</v>
      </c>
      <c r="O119" s="1909"/>
      <c r="P119" s="1913"/>
      <c r="Q119" s="1866" t="s">
        <v>1692</v>
      </c>
      <c r="S119" s="1943">
        <f t="shared" si="48"/>
        <v>1</v>
      </c>
      <c r="T119" s="1943">
        <f t="shared" si="48"/>
        <v>1</v>
      </c>
      <c r="U119" s="1943">
        <f t="shared" si="48"/>
        <v>1</v>
      </c>
      <c r="V119" s="1943">
        <f t="shared" si="48"/>
        <v>1</v>
      </c>
      <c r="W119" s="1943">
        <f t="shared" si="48"/>
        <v>1</v>
      </c>
      <c r="X119" s="1943">
        <f t="shared" si="48"/>
        <v>1</v>
      </c>
      <c r="Y119" s="1914"/>
      <c r="AC119" s="1867">
        <f t="shared" ca="1" si="50"/>
        <v>1</v>
      </c>
      <c r="AD119" s="1867">
        <f t="shared" ca="1" si="50"/>
        <v>1</v>
      </c>
      <c r="AE119" s="1867">
        <f t="shared" ca="1" si="50"/>
        <v>1</v>
      </c>
      <c r="AF119" s="1867">
        <f t="shared" ca="1" si="50"/>
        <v>1</v>
      </c>
      <c r="AG119" s="1867">
        <f t="shared" ca="1" si="50"/>
        <v>1</v>
      </c>
      <c r="AH119" s="1867">
        <f t="shared" ca="1" si="50"/>
        <v>1</v>
      </c>
      <c r="AI119" s="1867">
        <f t="shared" ca="1" si="49"/>
        <v>1</v>
      </c>
      <c r="AJ119" s="1867">
        <f t="shared" ca="1" si="49"/>
        <v>1</v>
      </c>
      <c r="AK119" s="1867">
        <f t="shared" ca="1" si="49"/>
        <v>1</v>
      </c>
      <c r="AL119" s="1867">
        <f t="shared" ca="1" si="49"/>
        <v>1</v>
      </c>
      <c r="AM119" s="1867">
        <f t="shared" ca="1" si="22"/>
        <v>1</v>
      </c>
      <c r="AN119" s="1868" t="s">
        <v>1585</v>
      </c>
      <c r="AO119" s="1867">
        <f t="shared" ca="1" si="23"/>
        <v>1</v>
      </c>
    </row>
    <row r="120" spans="1:41" ht="13.8" outlineLevel="1">
      <c r="A120" s="1842">
        <f>ROW()</f>
        <v>120</v>
      </c>
      <c r="B120" s="1925"/>
      <c r="D120" s="1933"/>
      <c r="E120" s="1904"/>
      <c r="F120" s="1904"/>
      <c r="G120" s="1904"/>
      <c r="H120" s="1904"/>
      <c r="I120" s="1904"/>
      <c r="J120" s="1904"/>
      <c r="K120" s="1904"/>
      <c r="L120" s="1904"/>
      <c r="M120" s="1904"/>
      <c r="N120" s="1904"/>
      <c r="O120" s="1909"/>
      <c r="P120" s="1975"/>
      <c r="Q120" s="1866"/>
      <c r="S120" s="1931"/>
      <c r="T120" s="1931"/>
      <c r="U120" s="1931"/>
      <c r="V120" s="1931"/>
      <c r="W120" s="1931"/>
      <c r="X120" s="1931"/>
      <c r="Y120" s="1914"/>
      <c r="AC120" s="1867">
        <f t="shared" ca="1" si="50"/>
        <v>1</v>
      </c>
      <c r="AD120" s="1867">
        <f t="shared" ca="1" si="50"/>
        <v>1</v>
      </c>
      <c r="AE120" s="1867">
        <f t="shared" ca="1" si="50"/>
        <v>1</v>
      </c>
      <c r="AF120" s="1867">
        <f t="shared" ca="1" si="50"/>
        <v>1</v>
      </c>
      <c r="AG120" s="1867">
        <f t="shared" ca="1" si="50"/>
        <v>1</v>
      </c>
      <c r="AH120" s="1867">
        <f t="shared" ca="1" si="50"/>
        <v>1</v>
      </c>
      <c r="AI120" s="1867">
        <f t="shared" ca="1" si="49"/>
        <v>1</v>
      </c>
      <c r="AJ120" s="1867">
        <f t="shared" ca="1" si="49"/>
        <v>1</v>
      </c>
      <c r="AK120" s="1867">
        <f t="shared" ca="1" si="49"/>
        <v>1</v>
      </c>
      <c r="AL120" s="1867">
        <f t="shared" ca="1" si="49"/>
        <v>1</v>
      </c>
      <c r="AM120" s="1867">
        <f t="shared" ca="1" si="22"/>
        <v>1</v>
      </c>
      <c r="AN120" s="1868" t="s">
        <v>1585</v>
      </c>
      <c r="AO120" s="1867">
        <f t="shared" ca="1" si="23"/>
        <v>1</v>
      </c>
    </row>
    <row r="121" spans="1:41" ht="13.8" outlineLevel="1">
      <c r="A121" s="1842">
        <f>ROW()</f>
        <v>121</v>
      </c>
      <c r="B121" s="1925"/>
      <c r="D121" s="1933" t="s">
        <v>1693</v>
      </c>
      <c r="E121" s="1976">
        <f t="shared" ref="E121:N121" si="52">+E115+E118</f>
        <v>410359.60179680743</v>
      </c>
      <c r="F121" s="1976">
        <f t="shared" si="52"/>
        <v>1429316.5762974804</v>
      </c>
      <c r="G121" s="1976">
        <f t="shared" si="52"/>
        <v>2464733.569126728</v>
      </c>
      <c r="H121" s="1976">
        <f t="shared" si="52"/>
        <v>4054315.178012534</v>
      </c>
      <c r="I121" s="1976">
        <f t="shared" si="52"/>
        <v>5932226.4585851496</v>
      </c>
      <c r="J121" s="1976">
        <f t="shared" si="52"/>
        <v>7701988.8619042737</v>
      </c>
      <c r="K121" s="1976">
        <f t="shared" si="52"/>
        <v>0</v>
      </c>
      <c r="L121" s="1976">
        <f t="shared" si="52"/>
        <v>0</v>
      </c>
      <c r="M121" s="1976">
        <f t="shared" si="52"/>
        <v>0</v>
      </c>
      <c r="N121" s="1976">
        <f t="shared" si="52"/>
        <v>0</v>
      </c>
      <c r="O121" s="1909"/>
      <c r="P121" s="1913"/>
      <c r="Q121" s="1866" t="s">
        <v>1694</v>
      </c>
      <c r="S121" s="1931">
        <f t="shared" ref="S121:X121" si="53">IFERROR(E121/E$134,0)</f>
        <v>1</v>
      </c>
      <c r="T121" s="1931">
        <f t="shared" si="53"/>
        <v>1</v>
      </c>
      <c r="U121" s="1931">
        <f t="shared" si="53"/>
        <v>1</v>
      </c>
      <c r="V121" s="1931">
        <f t="shared" si="53"/>
        <v>1</v>
      </c>
      <c r="W121" s="1931">
        <f t="shared" si="53"/>
        <v>1</v>
      </c>
      <c r="X121" s="1931">
        <f t="shared" si="53"/>
        <v>1</v>
      </c>
      <c r="Y121" s="1914"/>
      <c r="AC121" s="1867">
        <f t="shared" ca="1" si="50"/>
        <v>1</v>
      </c>
      <c r="AD121" s="1867">
        <f t="shared" ca="1" si="50"/>
        <v>1</v>
      </c>
      <c r="AE121" s="1867">
        <f t="shared" ca="1" si="50"/>
        <v>1</v>
      </c>
      <c r="AF121" s="1867">
        <f t="shared" ca="1" si="50"/>
        <v>1</v>
      </c>
      <c r="AG121" s="1867">
        <f t="shared" ca="1" si="50"/>
        <v>1</v>
      </c>
      <c r="AH121" s="1867">
        <f t="shared" ca="1" si="50"/>
        <v>1</v>
      </c>
      <c r="AI121" s="1867">
        <f t="shared" ca="1" si="49"/>
        <v>1</v>
      </c>
      <c r="AJ121" s="1867">
        <f t="shared" ca="1" si="49"/>
        <v>1</v>
      </c>
      <c r="AK121" s="1867">
        <f t="shared" ca="1" si="49"/>
        <v>1</v>
      </c>
      <c r="AL121" s="1867">
        <f t="shared" ca="1" si="49"/>
        <v>1</v>
      </c>
      <c r="AM121" s="1867">
        <f t="shared" ca="1" si="22"/>
        <v>1</v>
      </c>
      <c r="AN121" s="1868" t="s">
        <v>1585</v>
      </c>
      <c r="AO121" s="1867">
        <f t="shared" ca="1" si="23"/>
        <v>1</v>
      </c>
    </row>
    <row r="122" spans="1:41" ht="13.8" outlineLevel="1">
      <c r="A122" s="1842">
        <f>ROW()</f>
        <v>122</v>
      </c>
      <c r="B122" s="1925"/>
      <c r="D122" s="1933"/>
      <c r="E122" s="1904"/>
      <c r="F122" s="1904"/>
      <c r="G122" s="1904"/>
      <c r="H122" s="1904"/>
      <c r="I122" s="1904"/>
      <c r="J122" s="1904"/>
      <c r="K122" s="1904"/>
      <c r="L122" s="1904"/>
      <c r="M122" s="1904"/>
      <c r="N122" s="1904"/>
      <c r="O122" s="1909"/>
      <c r="P122" s="1913"/>
      <c r="Q122" s="1866"/>
      <c r="S122" s="1931"/>
      <c r="T122" s="1931"/>
      <c r="U122" s="1931"/>
      <c r="V122" s="1931"/>
      <c r="W122" s="1931"/>
      <c r="X122" s="1931"/>
      <c r="Y122" s="1914"/>
      <c r="AC122" s="1867">
        <f t="shared" ca="1" si="50"/>
        <v>1</v>
      </c>
      <c r="AD122" s="1867">
        <f t="shared" ca="1" si="50"/>
        <v>1</v>
      </c>
      <c r="AE122" s="1867">
        <f t="shared" ca="1" si="50"/>
        <v>1</v>
      </c>
      <c r="AF122" s="1867">
        <f t="shared" ca="1" si="50"/>
        <v>1</v>
      </c>
      <c r="AG122" s="1867">
        <f t="shared" ca="1" si="50"/>
        <v>1</v>
      </c>
      <c r="AH122" s="1867">
        <f t="shared" ca="1" si="50"/>
        <v>1</v>
      </c>
      <c r="AI122" s="1867">
        <f t="shared" ca="1" si="49"/>
        <v>1</v>
      </c>
      <c r="AJ122" s="1867">
        <f t="shared" ca="1" si="49"/>
        <v>1</v>
      </c>
      <c r="AK122" s="1867">
        <f t="shared" ca="1" si="49"/>
        <v>1</v>
      </c>
      <c r="AL122" s="1867">
        <f t="shared" ca="1" si="49"/>
        <v>1</v>
      </c>
      <c r="AM122" s="1867">
        <f t="shared" ca="1" si="22"/>
        <v>1</v>
      </c>
      <c r="AN122" s="1868" t="s">
        <v>1585</v>
      </c>
      <c r="AO122" s="1867">
        <f t="shared" ca="1" si="23"/>
        <v>1</v>
      </c>
    </row>
    <row r="123" spans="1:41" ht="14.4" outlineLevel="1">
      <c r="A123" s="1842">
        <f>ROW()</f>
        <v>123</v>
      </c>
      <c r="B123" s="1925"/>
      <c r="D123" s="1977" t="s">
        <v>1695</v>
      </c>
      <c r="E123" s="1978">
        <v>0</v>
      </c>
      <c r="F123" s="1978">
        <v>0</v>
      </c>
      <c r="G123" s="1978">
        <v>0</v>
      </c>
      <c r="H123" s="1978">
        <v>0</v>
      </c>
      <c r="I123" s="1978">
        <v>0</v>
      </c>
      <c r="J123" s="1978">
        <v>0</v>
      </c>
      <c r="K123" s="1978">
        <v>0</v>
      </c>
      <c r="L123" s="1978">
        <v>0</v>
      </c>
      <c r="M123" s="1978">
        <v>0</v>
      </c>
      <c r="N123" s="1978">
        <v>0</v>
      </c>
      <c r="O123" s="1909"/>
      <c r="P123" s="1913"/>
      <c r="Q123" s="1866"/>
      <c r="S123" s="1931">
        <f t="shared" ref="S123:X123" si="54">IFERROR(E123/E$134,0)</f>
        <v>0</v>
      </c>
      <c r="T123" s="1931">
        <f t="shared" si="54"/>
        <v>0</v>
      </c>
      <c r="U123" s="1931">
        <f t="shared" si="54"/>
        <v>0</v>
      </c>
      <c r="V123" s="1931">
        <f t="shared" si="54"/>
        <v>0</v>
      </c>
      <c r="W123" s="1931">
        <f t="shared" si="54"/>
        <v>0</v>
      </c>
      <c r="X123" s="1931">
        <f t="shared" si="54"/>
        <v>0</v>
      </c>
      <c r="Y123" s="1914"/>
      <c r="AC123" s="1867">
        <f t="shared" ca="1" si="50"/>
        <v>1</v>
      </c>
      <c r="AD123" s="1867">
        <f t="shared" ca="1" si="50"/>
        <v>1</v>
      </c>
      <c r="AE123" s="1867">
        <f t="shared" ca="1" si="50"/>
        <v>1</v>
      </c>
      <c r="AF123" s="1867">
        <f t="shared" ca="1" si="50"/>
        <v>1</v>
      </c>
      <c r="AG123" s="1867">
        <f t="shared" ca="1" si="50"/>
        <v>0</v>
      </c>
      <c r="AH123" s="1867">
        <f t="shared" ca="1" si="50"/>
        <v>0</v>
      </c>
      <c r="AI123" s="1867">
        <f t="shared" ca="1" si="49"/>
        <v>0</v>
      </c>
      <c r="AJ123" s="1867">
        <f t="shared" ca="1" si="49"/>
        <v>0</v>
      </c>
      <c r="AK123" s="1867">
        <f t="shared" ca="1" si="49"/>
        <v>0</v>
      </c>
      <c r="AL123" s="1867">
        <f t="shared" ca="1" si="49"/>
        <v>0</v>
      </c>
      <c r="AM123" s="1867">
        <f t="shared" ca="1" si="22"/>
        <v>1</v>
      </c>
      <c r="AN123" s="1868" t="s">
        <v>1585</v>
      </c>
      <c r="AO123" s="1867">
        <f t="shared" ca="1" si="23"/>
        <v>1</v>
      </c>
    </row>
    <row r="124" spans="1:41" outlineLevel="1">
      <c r="A124" s="1842">
        <f>ROW()</f>
        <v>124</v>
      </c>
      <c r="E124" s="1869"/>
      <c r="F124" s="1869"/>
      <c r="G124" s="1866"/>
      <c r="H124" s="1866"/>
      <c r="I124" s="1866"/>
      <c r="J124" s="1866"/>
      <c r="K124" s="1866"/>
      <c r="L124" s="1866"/>
      <c r="M124" s="1866"/>
      <c r="N124" s="1866"/>
      <c r="P124" s="1913"/>
      <c r="Q124" s="1866"/>
      <c r="S124" s="1931"/>
      <c r="T124" s="1931"/>
      <c r="U124" s="1931"/>
      <c r="V124" s="1931"/>
      <c r="W124" s="1931"/>
      <c r="X124" s="1931"/>
      <c r="Y124" s="1914"/>
      <c r="AC124" s="1867">
        <f t="shared" ca="1" si="50"/>
        <v>1</v>
      </c>
      <c r="AD124" s="1867">
        <f t="shared" ca="1" si="50"/>
        <v>1</v>
      </c>
      <c r="AE124" s="1867">
        <f t="shared" ca="1" si="50"/>
        <v>1</v>
      </c>
      <c r="AF124" s="1867">
        <f t="shared" ca="1" si="50"/>
        <v>1</v>
      </c>
      <c r="AG124" s="1867">
        <f t="shared" ca="1" si="50"/>
        <v>1</v>
      </c>
      <c r="AH124" s="1867">
        <f t="shared" ca="1" si="50"/>
        <v>1</v>
      </c>
      <c r="AI124" s="1867">
        <f t="shared" ca="1" si="49"/>
        <v>1</v>
      </c>
      <c r="AJ124" s="1867">
        <f t="shared" ca="1" si="49"/>
        <v>1</v>
      </c>
      <c r="AK124" s="1867">
        <f t="shared" ca="1" si="49"/>
        <v>1</v>
      </c>
      <c r="AL124" s="1867">
        <f t="shared" ca="1" si="49"/>
        <v>1</v>
      </c>
      <c r="AM124" s="1867">
        <f t="shared" ca="1" si="22"/>
        <v>1</v>
      </c>
      <c r="AN124" s="1868" t="s">
        <v>1585</v>
      </c>
      <c r="AO124" s="1867">
        <f t="shared" ca="1" si="23"/>
        <v>1</v>
      </c>
    </row>
    <row r="125" spans="1:41" outlineLevel="1">
      <c r="A125" s="1842">
        <f>ROW()</f>
        <v>125</v>
      </c>
      <c r="D125" s="1866"/>
      <c r="E125" s="1869" t="s">
        <v>1696</v>
      </c>
      <c r="F125" s="1939">
        <f t="shared" ref="F125:N125" si="55">IFERROR(IF(F128=0,0,(F128-E128)/E128),0)</f>
        <v>2.4830830570042735</v>
      </c>
      <c r="G125" s="1939">
        <f t="shared" si="55"/>
        <v>0.72441403814920047</v>
      </c>
      <c r="H125" s="1939">
        <f t="shared" si="55"/>
        <v>0.64493040091510001</v>
      </c>
      <c r="I125" s="1939">
        <f t="shared" si="55"/>
        <v>0.46318828165036408</v>
      </c>
      <c r="J125" s="1939">
        <f t="shared" si="55"/>
        <v>0.29833021643297425</v>
      </c>
      <c r="K125" s="1939">
        <f t="shared" si="55"/>
        <v>0</v>
      </c>
      <c r="L125" s="1939">
        <f t="shared" si="55"/>
        <v>0</v>
      </c>
      <c r="M125" s="1939">
        <f t="shared" si="55"/>
        <v>0</v>
      </c>
      <c r="N125" s="1939">
        <f t="shared" si="55"/>
        <v>0</v>
      </c>
      <c r="P125" s="1913"/>
      <c r="Q125" s="1866"/>
      <c r="S125" s="1931"/>
      <c r="T125" s="1931"/>
      <c r="U125" s="1931"/>
      <c r="V125" s="1931"/>
      <c r="W125" s="1931"/>
      <c r="X125" s="1931"/>
      <c r="Y125" s="1914"/>
      <c r="AC125" s="1867">
        <f t="shared" ca="1" si="50"/>
        <v>1</v>
      </c>
      <c r="AD125" s="1867">
        <f t="shared" ca="1" si="50"/>
        <v>1</v>
      </c>
      <c r="AE125" s="1867">
        <f t="shared" ca="1" si="50"/>
        <v>1</v>
      </c>
      <c r="AF125" s="1867">
        <f t="shared" ca="1" si="50"/>
        <v>1</v>
      </c>
      <c r="AG125" s="1867">
        <f t="shared" ca="1" si="50"/>
        <v>1</v>
      </c>
      <c r="AH125" s="1867">
        <f t="shared" ca="1" si="50"/>
        <v>1</v>
      </c>
      <c r="AI125" s="1867">
        <f t="shared" ca="1" si="49"/>
        <v>1</v>
      </c>
      <c r="AJ125" s="1867">
        <f t="shared" ca="1" si="49"/>
        <v>1</v>
      </c>
      <c r="AK125" s="1867">
        <f t="shared" ca="1" si="49"/>
        <v>1</v>
      </c>
      <c r="AL125" s="1867">
        <f t="shared" ca="1" si="49"/>
        <v>1</v>
      </c>
      <c r="AM125" s="1867">
        <f t="shared" ca="1" si="22"/>
        <v>1</v>
      </c>
      <c r="AN125" s="1868" t="s">
        <v>1585</v>
      </c>
      <c r="AO125" s="1867">
        <f t="shared" ca="1" si="23"/>
        <v>1</v>
      </c>
    </row>
    <row r="126" spans="1:41" ht="13.8" outlineLevel="1">
      <c r="A126" s="1842">
        <f>ROW()</f>
        <v>126</v>
      </c>
      <c r="B126" s="1925"/>
      <c r="D126" s="1870" t="s">
        <v>1697</v>
      </c>
      <c r="E126" s="1949">
        <v>0</v>
      </c>
      <c r="F126" s="1949">
        <v>0</v>
      </c>
      <c r="G126" s="1949">
        <v>0</v>
      </c>
      <c r="H126" s="1949">
        <v>0</v>
      </c>
      <c r="I126" s="1949">
        <v>0</v>
      </c>
      <c r="J126" s="1949">
        <v>0</v>
      </c>
      <c r="K126" s="1949">
        <v>0</v>
      </c>
      <c r="L126" s="1949">
        <v>0</v>
      </c>
      <c r="M126" s="1949">
        <v>0</v>
      </c>
      <c r="N126" s="1949">
        <v>0</v>
      </c>
      <c r="O126" s="1909"/>
      <c r="P126" s="1913"/>
      <c r="Q126" s="1866"/>
      <c r="S126" s="1931">
        <f t="shared" ref="S126:X129" si="56">IFERROR(E126/E$134,0)</f>
        <v>0</v>
      </c>
      <c r="T126" s="1931">
        <f t="shared" si="56"/>
        <v>0</v>
      </c>
      <c r="U126" s="1931">
        <f t="shared" si="56"/>
        <v>0</v>
      </c>
      <c r="V126" s="1931">
        <f t="shared" si="56"/>
        <v>0</v>
      </c>
      <c r="W126" s="1931">
        <f t="shared" si="56"/>
        <v>0</v>
      </c>
      <c r="X126" s="1931">
        <f t="shared" si="56"/>
        <v>0</v>
      </c>
      <c r="Y126" s="1914"/>
      <c r="AC126" s="1867">
        <f t="shared" ca="1" si="50"/>
        <v>1</v>
      </c>
      <c r="AD126" s="1867">
        <f t="shared" ca="1" si="50"/>
        <v>1</v>
      </c>
      <c r="AE126" s="1867">
        <f t="shared" ca="1" si="50"/>
        <v>1</v>
      </c>
      <c r="AF126" s="1867">
        <f t="shared" ca="1" si="50"/>
        <v>1</v>
      </c>
      <c r="AG126" s="1867">
        <f t="shared" ca="1" si="50"/>
        <v>0</v>
      </c>
      <c r="AH126" s="1867">
        <f t="shared" ca="1" si="50"/>
        <v>0</v>
      </c>
      <c r="AI126" s="1867">
        <f t="shared" ca="1" si="49"/>
        <v>0</v>
      </c>
      <c r="AJ126" s="1867">
        <f t="shared" ca="1" si="49"/>
        <v>0</v>
      </c>
      <c r="AK126" s="1867">
        <f t="shared" ca="1" si="49"/>
        <v>0</v>
      </c>
      <c r="AL126" s="1867">
        <f t="shared" ca="1" si="49"/>
        <v>0</v>
      </c>
      <c r="AM126" s="1867">
        <f t="shared" ca="1" si="22"/>
        <v>1</v>
      </c>
      <c r="AN126" s="1868" t="s">
        <v>1585</v>
      </c>
      <c r="AO126" s="1867">
        <f t="shared" ca="1" si="23"/>
        <v>1</v>
      </c>
    </row>
    <row r="127" spans="1:41" ht="13.8" outlineLevel="1">
      <c r="A127" s="1842">
        <f>ROW()</f>
        <v>127</v>
      </c>
      <c r="B127" s="1925"/>
      <c r="D127" s="1870" t="s">
        <v>1698</v>
      </c>
      <c r="E127" s="1932">
        <v>0</v>
      </c>
      <c r="F127" s="1932">
        <v>0</v>
      </c>
      <c r="G127" s="1932">
        <v>0</v>
      </c>
      <c r="H127" s="1932">
        <v>0</v>
      </c>
      <c r="I127" s="1932">
        <v>0</v>
      </c>
      <c r="J127" s="1932">
        <v>0</v>
      </c>
      <c r="K127" s="1932">
        <v>0</v>
      </c>
      <c r="L127" s="1932">
        <v>0</v>
      </c>
      <c r="M127" s="1932">
        <v>0</v>
      </c>
      <c r="N127" s="1932">
        <v>0</v>
      </c>
      <c r="O127" s="1909"/>
      <c r="P127" s="1913"/>
      <c r="Q127" s="1866"/>
      <c r="S127" s="1931">
        <f t="shared" si="56"/>
        <v>0</v>
      </c>
      <c r="T127" s="1931">
        <f t="shared" si="56"/>
        <v>0</v>
      </c>
      <c r="U127" s="1931">
        <f t="shared" si="56"/>
        <v>0</v>
      </c>
      <c r="V127" s="1931">
        <f t="shared" si="56"/>
        <v>0</v>
      </c>
      <c r="W127" s="1931">
        <f t="shared" si="56"/>
        <v>0</v>
      </c>
      <c r="X127" s="1931">
        <f t="shared" si="56"/>
        <v>0</v>
      </c>
      <c r="Y127" s="1914"/>
      <c r="AC127" s="1867">
        <f t="shared" ca="1" si="50"/>
        <v>1</v>
      </c>
      <c r="AD127" s="1867">
        <f t="shared" ca="1" si="50"/>
        <v>1</v>
      </c>
      <c r="AE127" s="1867">
        <f t="shared" ca="1" si="50"/>
        <v>1</v>
      </c>
      <c r="AF127" s="1867">
        <f t="shared" ca="1" si="50"/>
        <v>1</v>
      </c>
      <c r="AG127" s="1867">
        <f t="shared" ca="1" si="50"/>
        <v>0</v>
      </c>
      <c r="AH127" s="1867">
        <f t="shared" ca="1" si="50"/>
        <v>0</v>
      </c>
      <c r="AI127" s="1867">
        <f t="shared" ca="1" si="49"/>
        <v>0</v>
      </c>
      <c r="AJ127" s="1867">
        <f t="shared" ca="1" si="49"/>
        <v>0</v>
      </c>
      <c r="AK127" s="1867">
        <f t="shared" ca="1" si="49"/>
        <v>0</v>
      </c>
      <c r="AL127" s="1867">
        <f t="shared" ca="1" si="49"/>
        <v>0</v>
      </c>
      <c r="AM127" s="1867">
        <f t="shared" ca="1" si="22"/>
        <v>1</v>
      </c>
      <c r="AN127" s="1868" t="s">
        <v>1585</v>
      </c>
      <c r="AO127" s="1867">
        <f t="shared" ca="1" si="23"/>
        <v>1</v>
      </c>
    </row>
    <row r="128" spans="1:41" ht="13.8" outlineLevel="1">
      <c r="A128" s="1842">
        <f>ROW()</f>
        <v>128</v>
      </c>
      <c r="B128" s="1925"/>
      <c r="D128" s="1974" t="s">
        <v>1699</v>
      </c>
      <c r="E128" s="1934">
        <f>+E121+E123+SUM(E126:E127)</f>
        <v>410359.60179680743</v>
      </c>
      <c r="F128" s="1934">
        <f t="shared" ref="F128:N128" si="57">+F121+F123+SUM(F126:F127)</f>
        <v>1429316.5762974804</v>
      </c>
      <c r="G128" s="1934">
        <f t="shared" si="57"/>
        <v>2464733.569126728</v>
      </c>
      <c r="H128" s="1934">
        <f t="shared" si="57"/>
        <v>4054315.178012534</v>
      </c>
      <c r="I128" s="1934">
        <f t="shared" si="57"/>
        <v>5932226.4585851496</v>
      </c>
      <c r="J128" s="1934">
        <f t="shared" si="57"/>
        <v>7701988.8619042737</v>
      </c>
      <c r="K128" s="1934">
        <f t="shared" si="57"/>
        <v>0</v>
      </c>
      <c r="L128" s="1934">
        <f t="shared" si="57"/>
        <v>0</v>
      </c>
      <c r="M128" s="1934">
        <f t="shared" si="57"/>
        <v>0</v>
      </c>
      <c r="N128" s="1934">
        <f t="shared" si="57"/>
        <v>0</v>
      </c>
      <c r="O128" s="1909"/>
      <c r="P128" s="1913"/>
      <c r="Q128" s="1866" t="s">
        <v>1681</v>
      </c>
      <c r="S128" s="1943">
        <f t="shared" si="56"/>
        <v>1</v>
      </c>
      <c r="T128" s="1943">
        <f t="shared" si="56"/>
        <v>1</v>
      </c>
      <c r="U128" s="1943">
        <f t="shared" si="56"/>
        <v>1</v>
      </c>
      <c r="V128" s="1943">
        <f t="shared" si="56"/>
        <v>1</v>
      </c>
      <c r="W128" s="1943">
        <f t="shared" si="56"/>
        <v>1</v>
      </c>
      <c r="X128" s="1943">
        <f t="shared" si="56"/>
        <v>1</v>
      </c>
      <c r="Y128" s="1914"/>
      <c r="AC128" s="1867">
        <f t="shared" ca="1" si="50"/>
        <v>1</v>
      </c>
      <c r="AD128" s="1867">
        <f t="shared" ca="1" si="50"/>
        <v>1</v>
      </c>
      <c r="AE128" s="1867">
        <f t="shared" ca="1" si="50"/>
        <v>1</v>
      </c>
      <c r="AF128" s="1867">
        <f t="shared" ca="1" si="50"/>
        <v>1</v>
      </c>
      <c r="AG128" s="1867">
        <f t="shared" ca="1" si="50"/>
        <v>1</v>
      </c>
      <c r="AH128" s="1867">
        <f t="shared" ca="1" si="50"/>
        <v>1</v>
      </c>
      <c r="AI128" s="1867">
        <f t="shared" ca="1" si="49"/>
        <v>1</v>
      </c>
      <c r="AJ128" s="1867">
        <f t="shared" ca="1" si="49"/>
        <v>1</v>
      </c>
      <c r="AK128" s="1867">
        <f t="shared" ca="1" si="49"/>
        <v>1</v>
      </c>
      <c r="AL128" s="1867">
        <f t="shared" ca="1" si="49"/>
        <v>1</v>
      </c>
      <c r="AM128" s="1867">
        <f t="shared" ca="1" si="22"/>
        <v>1</v>
      </c>
      <c r="AN128" s="1868" t="s">
        <v>1585</v>
      </c>
      <c r="AO128" s="1867">
        <f t="shared" ca="1" si="23"/>
        <v>1</v>
      </c>
    </row>
    <row r="129" spans="1:41" ht="14.4" outlineLevel="1">
      <c r="A129" s="1842">
        <f>ROW()</f>
        <v>129</v>
      </c>
      <c r="B129" s="1925"/>
      <c r="D129" s="1979" t="s">
        <v>1700</v>
      </c>
      <c r="E129" s="1936">
        <f t="shared" ref="E129:N129" si="58">+E128-E123</f>
        <v>410359.60179680743</v>
      </c>
      <c r="F129" s="1936">
        <f t="shared" si="58"/>
        <v>1429316.5762974804</v>
      </c>
      <c r="G129" s="1936">
        <f t="shared" si="58"/>
        <v>2464733.569126728</v>
      </c>
      <c r="H129" s="1936">
        <f t="shared" si="58"/>
        <v>4054315.178012534</v>
      </c>
      <c r="I129" s="1936">
        <f t="shared" si="58"/>
        <v>5932226.4585851496</v>
      </c>
      <c r="J129" s="1936">
        <f t="shared" si="58"/>
        <v>7701988.8619042737</v>
      </c>
      <c r="K129" s="1936">
        <f t="shared" si="58"/>
        <v>0</v>
      </c>
      <c r="L129" s="1936">
        <f t="shared" si="58"/>
        <v>0</v>
      </c>
      <c r="M129" s="1936">
        <f t="shared" si="58"/>
        <v>0</v>
      </c>
      <c r="N129" s="1936">
        <f t="shared" si="58"/>
        <v>0</v>
      </c>
      <c r="O129" s="1909"/>
      <c r="P129" s="1913"/>
      <c r="Q129" s="1866"/>
      <c r="S129" s="1931">
        <f t="shared" si="56"/>
        <v>1</v>
      </c>
      <c r="T129" s="1931">
        <f t="shared" si="56"/>
        <v>1</v>
      </c>
      <c r="U129" s="1931">
        <f t="shared" si="56"/>
        <v>1</v>
      </c>
      <c r="V129" s="1931">
        <f t="shared" si="56"/>
        <v>1</v>
      </c>
      <c r="W129" s="1931">
        <f t="shared" si="56"/>
        <v>1</v>
      </c>
      <c r="X129" s="1931">
        <f t="shared" si="56"/>
        <v>1</v>
      </c>
      <c r="Y129" s="1914"/>
      <c r="AC129" s="1867">
        <f t="shared" ca="1" si="50"/>
        <v>1</v>
      </c>
      <c r="AD129" s="1867">
        <f t="shared" ca="1" si="50"/>
        <v>1</v>
      </c>
      <c r="AE129" s="1867">
        <f t="shared" ca="1" si="50"/>
        <v>1</v>
      </c>
      <c r="AF129" s="1867">
        <f t="shared" ca="1" si="50"/>
        <v>1</v>
      </c>
      <c r="AG129" s="1867">
        <f t="shared" ca="1" si="50"/>
        <v>1</v>
      </c>
      <c r="AH129" s="1867">
        <f t="shared" ca="1" si="50"/>
        <v>1</v>
      </c>
      <c r="AI129" s="1867">
        <f t="shared" ca="1" si="49"/>
        <v>1</v>
      </c>
      <c r="AJ129" s="1867">
        <f t="shared" ca="1" si="49"/>
        <v>1</v>
      </c>
      <c r="AK129" s="1867">
        <f t="shared" ca="1" si="49"/>
        <v>1</v>
      </c>
      <c r="AL129" s="1867">
        <f t="shared" ca="1" si="49"/>
        <v>1</v>
      </c>
      <c r="AM129" s="1867">
        <f t="shared" ca="1" si="22"/>
        <v>1</v>
      </c>
      <c r="AN129" s="1868" t="s">
        <v>1585</v>
      </c>
      <c r="AO129" s="1867">
        <f t="shared" ca="1" si="23"/>
        <v>1</v>
      </c>
    </row>
    <row r="130" spans="1:41" ht="13.8" outlineLevel="1">
      <c r="A130" s="1842">
        <f>ROW()</f>
        <v>130</v>
      </c>
      <c r="B130" s="1925"/>
      <c r="D130" s="1980" t="s">
        <v>1612</v>
      </c>
      <c r="E130" s="2248"/>
      <c r="F130" s="2248"/>
      <c r="G130" s="2248"/>
      <c r="H130" s="2248"/>
      <c r="I130" s="2248"/>
      <c r="J130" s="2248"/>
      <c r="K130" s="2248"/>
      <c r="L130" s="2248"/>
      <c r="M130" s="2248"/>
      <c r="N130" s="2248"/>
      <c r="O130" s="1909"/>
      <c r="P130" s="1913"/>
      <c r="Q130" s="1866"/>
      <c r="S130" s="1931"/>
      <c r="T130" s="1931"/>
      <c r="U130" s="1931"/>
      <c r="V130" s="1931"/>
      <c r="W130" s="1931"/>
      <c r="X130" s="1931"/>
      <c r="Y130" s="1914"/>
      <c r="AC130" s="1867">
        <f t="shared" ca="1" si="50"/>
        <v>1</v>
      </c>
      <c r="AD130" s="1867">
        <f t="shared" ca="1" si="50"/>
        <v>1</v>
      </c>
      <c r="AE130" s="1867">
        <f t="shared" ca="1" si="50"/>
        <v>1</v>
      </c>
      <c r="AF130" s="1867">
        <f t="shared" ca="1" si="50"/>
        <v>1</v>
      </c>
      <c r="AG130" s="1867">
        <f t="shared" ca="1" si="50"/>
        <v>0</v>
      </c>
      <c r="AH130" s="1867">
        <f t="shared" ca="1" si="50"/>
        <v>0</v>
      </c>
      <c r="AI130" s="1867">
        <f t="shared" ca="1" si="49"/>
        <v>0</v>
      </c>
      <c r="AJ130" s="1867">
        <f t="shared" ca="1" si="49"/>
        <v>0</v>
      </c>
      <c r="AK130" s="1867">
        <f t="shared" ca="1" si="49"/>
        <v>0</v>
      </c>
      <c r="AL130" s="1867">
        <f t="shared" ca="1" si="49"/>
        <v>0</v>
      </c>
      <c r="AM130" s="1867">
        <f t="shared" ca="1" si="22"/>
        <v>1</v>
      </c>
      <c r="AN130" s="1868" t="s">
        <v>1585</v>
      </c>
      <c r="AO130" s="1867">
        <f t="shared" ca="1" si="23"/>
        <v>1</v>
      </c>
    </row>
    <row r="131" spans="1:41" ht="13.8" outlineLevel="1">
      <c r="A131" s="1842">
        <f>ROW()</f>
        <v>131</v>
      </c>
      <c r="B131" s="1925"/>
      <c r="D131" s="1933"/>
      <c r="E131" s="1904"/>
      <c r="F131" s="1904"/>
      <c r="G131" s="1904"/>
      <c r="H131" s="1904"/>
      <c r="I131" s="1904"/>
      <c r="J131" s="1904"/>
      <c r="K131" s="1904"/>
      <c r="L131" s="1904"/>
      <c r="M131" s="1904"/>
      <c r="N131" s="1904"/>
      <c r="O131" s="1909"/>
      <c r="P131" s="1913"/>
      <c r="Q131" s="1866"/>
      <c r="S131" s="1931"/>
      <c r="T131" s="1931"/>
      <c r="U131" s="1931"/>
      <c r="V131" s="1931"/>
      <c r="W131" s="1931"/>
      <c r="X131" s="1931"/>
      <c r="Y131" s="1914"/>
      <c r="AC131" s="1867">
        <f t="shared" ca="1" si="50"/>
        <v>1</v>
      </c>
      <c r="AD131" s="1867">
        <f t="shared" ca="1" si="50"/>
        <v>1</v>
      </c>
      <c r="AE131" s="1867">
        <f t="shared" ca="1" si="50"/>
        <v>1</v>
      </c>
      <c r="AF131" s="1867">
        <f t="shared" ca="1" si="50"/>
        <v>1</v>
      </c>
      <c r="AG131" s="1867">
        <f t="shared" ca="1" si="50"/>
        <v>1</v>
      </c>
      <c r="AH131" s="1867">
        <f t="shared" ca="1" si="50"/>
        <v>1</v>
      </c>
      <c r="AI131" s="1867">
        <f t="shared" ca="1" si="49"/>
        <v>1</v>
      </c>
      <c r="AJ131" s="1867">
        <f t="shared" ca="1" si="49"/>
        <v>1</v>
      </c>
      <c r="AK131" s="1867">
        <f t="shared" ca="1" si="49"/>
        <v>1</v>
      </c>
      <c r="AL131" s="1867">
        <f t="shared" ca="1" si="49"/>
        <v>1</v>
      </c>
      <c r="AM131" s="1867">
        <f t="shared" ca="1" si="22"/>
        <v>1</v>
      </c>
      <c r="AN131" s="1868" t="s">
        <v>1585</v>
      </c>
      <c r="AO131" s="1867">
        <f t="shared" ca="1" si="23"/>
        <v>1</v>
      </c>
    </row>
    <row r="132" spans="1:41" ht="13.8" outlineLevel="1">
      <c r="A132" s="1842">
        <f>ROW()</f>
        <v>132</v>
      </c>
      <c r="B132" s="1925"/>
      <c r="D132" s="1870" t="s">
        <v>1701</v>
      </c>
      <c r="E132" s="1949">
        <v>0</v>
      </c>
      <c r="F132" s="1949">
        <v>0</v>
      </c>
      <c r="G132" s="1949">
        <v>0</v>
      </c>
      <c r="H132" s="1949">
        <v>0</v>
      </c>
      <c r="I132" s="1949">
        <v>0</v>
      </c>
      <c r="J132" s="1949">
        <v>0</v>
      </c>
      <c r="K132" s="1949">
        <v>0</v>
      </c>
      <c r="L132" s="1949">
        <v>0</v>
      </c>
      <c r="M132" s="1949">
        <v>0</v>
      </c>
      <c r="N132" s="1949">
        <v>0</v>
      </c>
      <c r="O132" s="1909"/>
      <c r="P132" s="1913"/>
      <c r="Q132" s="1866"/>
      <c r="S132" s="1931">
        <f t="shared" ref="S132:X134" si="59">IFERROR(E132/E$134,0)</f>
        <v>0</v>
      </c>
      <c r="T132" s="1931">
        <f t="shared" si="59"/>
        <v>0</v>
      </c>
      <c r="U132" s="1931">
        <f t="shared" si="59"/>
        <v>0</v>
      </c>
      <c r="V132" s="1931">
        <f t="shared" si="59"/>
        <v>0</v>
      </c>
      <c r="W132" s="1931">
        <f t="shared" si="59"/>
        <v>0</v>
      </c>
      <c r="X132" s="1931">
        <f t="shared" si="59"/>
        <v>0</v>
      </c>
      <c r="Y132" s="1914"/>
      <c r="AC132" s="1867">
        <f t="shared" ca="1" si="50"/>
        <v>1</v>
      </c>
      <c r="AD132" s="1867">
        <f t="shared" ca="1" si="50"/>
        <v>1</v>
      </c>
      <c r="AE132" s="1867">
        <f t="shared" ca="1" si="50"/>
        <v>1</v>
      </c>
      <c r="AF132" s="1867">
        <f t="shared" ca="1" si="50"/>
        <v>1</v>
      </c>
      <c r="AG132" s="1867">
        <f t="shared" ca="1" si="50"/>
        <v>0</v>
      </c>
      <c r="AH132" s="1867">
        <f t="shared" ca="1" si="50"/>
        <v>0</v>
      </c>
      <c r="AI132" s="1867">
        <f t="shared" ca="1" si="49"/>
        <v>0</v>
      </c>
      <c r="AJ132" s="1867">
        <f t="shared" ca="1" si="49"/>
        <v>0</v>
      </c>
      <c r="AK132" s="1867">
        <f t="shared" ca="1" si="49"/>
        <v>0</v>
      </c>
      <c r="AL132" s="1867">
        <f t="shared" ca="1" si="49"/>
        <v>0</v>
      </c>
      <c r="AM132" s="1867">
        <f t="shared" ca="1" si="22"/>
        <v>1</v>
      </c>
      <c r="AN132" s="1868" t="s">
        <v>1585</v>
      </c>
      <c r="AO132" s="1867">
        <f t="shared" ca="1" si="23"/>
        <v>1</v>
      </c>
    </row>
    <row r="133" spans="1:41" ht="13.8" outlineLevel="1">
      <c r="A133" s="1842">
        <f>ROW()</f>
        <v>133</v>
      </c>
      <c r="B133" s="1925"/>
      <c r="D133" s="1870" t="s">
        <v>1702</v>
      </c>
      <c r="E133" s="1932">
        <v>0</v>
      </c>
      <c r="F133" s="1932">
        <v>0</v>
      </c>
      <c r="G133" s="1932">
        <v>0</v>
      </c>
      <c r="H133" s="1932">
        <v>0</v>
      </c>
      <c r="I133" s="1932">
        <v>0</v>
      </c>
      <c r="J133" s="1932">
        <v>0</v>
      </c>
      <c r="K133" s="1932">
        <v>0</v>
      </c>
      <c r="L133" s="1932">
        <v>0</v>
      </c>
      <c r="M133" s="1932">
        <v>0</v>
      </c>
      <c r="N133" s="1932">
        <v>0</v>
      </c>
      <c r="O133" s="1909"/>
      <c r="P133" s="1913"/>
      <c r="Q133" s="1866" t="s">
        <v>1703</v>
      </c>
      <c r="S133" s="1931">
        <f t="shared" si="59"/>
        <v>0</v>
      </c>
      <c r="T133" s="1931">
        <f t="shared" si="59"/>
        <v>0</v>
      </c>
      <c r="U133" s="1931">
        <f t="shared" si="59"/>
        <v>0</v>
      </c>
      <c r="V133" s="1931">
        <f t="shared" si="59"/>
        <v>0</v>
      </c>
      <c r="W133" s="1931">
        <f t="shared" si="59"/>
        <v>0</v>
      </c>
      <c r="X133" s="1931">
        <f t="shared" si="59"/>
        <v>0</v>
      </c>
      <c r="Y133" s="1914"/>
      <c r="AC133" s="1867">
        <f t="shared" ca="1" si="50"/>
        <v>1</v>
      </c>
      <c r="AD133" s="1867">
        <f t="shared" ca="1" si="50"/>
        <v>1</v>
      </c>
      <c r="AE133" s="1867">
        <f t="shared" ca="1" si="50"/>
        <v>1</v>
      </c>
      <c r="AF133" s="1867">
        <f t="shared" ca="1" si="50"/>
        <v>1</v>
      </c>
      <c r="AG133" s="1867">
        <f t="shared" ca="1" si="50"/>
        <v>0</v>
      </c>
      <c r="AH133" s="1867">
        <f t="shared" ca="1" si="50"/>
        <v>0</v>
      </c>
      <c r="AI133" s="1867">
        <f t="shared" ca="1" si="49"/>
        <v>0</v>
      </c>
      <c r="AJ133" s="1867">
        <f t="shared" ca="1" si="49"/>
        <v>0</v>
      </c>
      <c r="AK133" s="1867">
        <f t="shared" ca="1" si="49"/>
        <v>0</v>
      </c>
      <c r="AL133" s="1867">
        <f t="shared" ca="1" si="49"/>
        <v>0</v>
      </c>
      <c r="AM133" s="1867">
        <f t="shared" ref="AM133:AM218" ca="1" si="60">CELL("protect",O133)</f>
        <v>1</v>
      </c>
      <c r="AN133" s="1868" t="s">
        <v>1585</v>
      </c>
      <c r="AO133" s="1867">
        <f t="shared" ref="AO133:AO218" ca="1" si="61">CELL("protect",P133)</f>
        <v>1</v>
      </c>
    </row>
    <row r="134" spans="1:41" ht="15" outlineLevel="1" thickBot="1">
      <c r="A134" s="1842">
        <f>ROW()</f>
        <v>134</v>
      </c>
      <c r="B134" s="1925"/>
      <c r="D134" s="1979" t="s">
        <v>1704</v>
      </c>
      <c r="E134" s="1981">
        <f t="shared" ref="E134:N134" si="62">SUM(E128,E132,E133)</f>
        <v>410359.60179680743</v>
      </c>
      <c r="F134" s="1981">
        <f t="shared" si="62"/>
        <v>1429316.5762974804</v>
      </c>
      <c r="G134" s="1981">
        <f t="shared" si="62"/>
        <v>2464733.569126728</v>
      </c>
      <c r="H134" s="1981">
        <f t="shared" si="62"/>
        <v>4054315.178012534</v>
      </c>
      <c r="I134" s="1981">
        <f t="shared" si="62"/>
        <v>5932226.4585851496</v>
      </c>
      <c r="J134" s="1981">
        <f t="shared" si="62"/>
        <v>7701988.8619042737</v>
      </c>
      <c r="K134" s="1981">
        <f t="shared" si="62"/>
        <v>0</v>
      </c>
      <c r="L134" s="1981">
        <f t="shared" si="62"/>
        <v>0</v>
      </c>
      <c r="M134" s="1981">
        <f t="shared" si="62"/>
        <v>0</v>
      </c>
      <c r="N134" s="1981">
        <f t="shared" si="62"/>
        <v>0</v>
      </c>
      <c r="O134" s="1927"/>
      <c r="P134" s="1913"/>
      <c r="Q134" s="1866"/>
      <c r="S134" s="1957">
        <f t="shared" si="59"/>
        <v>1</v>
      </c>
      <c r="T134" s="1957">
        <f t="shared" si="59"/>
        <v>1</v>
      </c>
      <c r="U134" s="1957">
        <f t="shared" si="59"/>
        <v>1</v>
      </c>
      <c r="V134" s="1957">
        <f t="shared" si="59"/>
        <v>1</v>
      </c>
      <c r="W134" s="1957">
        <f t="shared" si="59"/>
        <v>1</v>
      </c>
      <c r="X134" s="1957">
        <f t="shared" si="59"/>
        <v>1</v>
      </c>
      <c r="Y134" s="1914"/>
      <c r="AC134" s="1867">
        <f t="shared" ca="1" si="50"/>
        <v>1</v>
      </c>
      <c r="AD134" s="1867">
        <f t="shared" ca="1" si="50"/>
        <v>1</v>
      </c>
      <c r="AE134" s="1867">
        <f t="shared" ca="1" si="50"/>
        <v>1</v>
      </c>
      <c r="AF134" s="1867">
        <f t="shared" ca="1" si="50"/>
        <v>1</v>
      </c>
      <c r="AG134" s="1867">
        <f t="shared" ca="1" si="50"/>
        <v>1</v>
      </c>
      <c r="AH134" s="1867">
        <f t="shared" ca="1" si="50"/>
        <v>1</v>
      </c>
      <c r="AI134" s="1867">
        <f t="shared" ca="1" si="49"/>
        <v>1</v>
      </c>
      <c r="AJ134" s="1867">
        <f t="shared" ca="1" si="49"/>
        <v>1</v>
      </c>
      <c r="AK134" s="1867">
        <f t="shared" ca="1" si="49"/>
        <v>1</v>
      </c>
      <c r="AL134" s="1867">
        <f t="shared" ca="1" si="49"/>
        <v>1</v>
      </c>
      <c r="AM134" s="1867">
        <f t="shared" ca="1" si="60"/>
        <v>1</v>
      </c>
      <c r="AN134" s="1868" t="s">
        <v>1585</v>
      </c>
      <c r="AO134" s="1867">
        <f t="shared" ca="1" si="61"/>
        <v>1</v>
      </c>
    </row>
    <row r="135" spans="1:41" ht="14.4" outlineLevel="1" thickTop="1">
      <c r="A135" s="1842">
        <f>ROW()</f>
        <v>135</v>
      </c>
      <c r="B135" s="1925"/>
      <c r="D135" s="1980" t="s">
        <v>1612</v>
      </c>
      <c r="E135" s="2248"/>
      <c r="F135" s="2248"/>
      <c r="G135" s="2248"/>
      <c r="H135" s="2248"/>
      <c r="I135" s="2248"/>
      <c r="J135" s="2248"/>
      <c r="K135" s="2248"/>
      <c r="L135" s="2248"/>
      <c r="M135" s="2248"/>
      <c r="N135" s="2248"/>
      <c r="O135" s="1927"/>
      <c r="P135" s="1913"/>
      <c r="Q135" s="1866"/>
      <c r="S135" s="1866"/>
      <c r="T135" s="1866"/>
      <c r="U135" s="1866"/>
      <c r="V135" s="1866"/>
      <c r="W135" s="1866"/>
      <c r="X135" s="1866"/>
      <c r="AC135" s="1867">
        <f t="shared" ca="1" si="50"/>
        <v>1</v>
      </c>
      <c r="AD135" s="1867">
        <f t="shared" ca="1" si="50"/>
        <v>1</v>
      </c>
      <c r="AE135" s="1867">
        <f t="shared" ca="1" si="50"/>
        <v>1</v>
      </c>
      <c r="AF135" s="1867">
        <f t="shared" ca="1" si="50"/>
        <v>1</v>
      </c>
      <c r="AG135" s="1867">
        <f t="shared" ca="1" si="50"/>
        <v>0</v>
      </c>
      <c r="AH135" s="1867">
        <f t="shared" ca="1" si="50"/>
        <v>0</v>
      </c>
      <c r="AI135" s="1867">
        <f t="shared" ca="1" si="49"/>
        <v>0</v>
      </c>
      <c r="AJ135" s="1867">
        <f t="shared" ca="1" si="49"/>
        <v>0</v>
      </c>
      <c r="AK135" s="1867">
        <f t="shared" ca="1" si="49"/>
        <v>0</v>
      </c>
      <c r="AL135" s="1867">
        <f t="shared" ca="1" si="49"/>
        <v>0</v>
      </c>
      <c r="AM135" s="1867">
        <f t="shared" ca="1" si="60"/>
        <v>1</v>
      </c>
      <c r="AN135" s="1868" t="s">
        <v>1585</v>
      </c>
      <c r="AO135" s="1867">
        <f t="shared" ca="1" si="61"/>
        <v>1</v>
      </c>
    </row>
    <row r="136" spans="1:41" ht="14.4" outlineLevel="1">
      <c r="A136" s="1842">
        <f>ROW()</f>
        <v>136</v>
      </c>
      <c r="B136" s="1925"/>
      <c r="D136" s="1977"/>
      <c r="E136" s="1938"/>
      <c r="F136" s="1938"/>
      <c r="G136" s="1938"/>
      <c r="H136" s="1938"/>
      <c r="I136" s="1938"/>
      <c r="J136" s="1938"/>
      <c r="K136" s="1938"/>
      <c r="L136" s="1938"/>
      <c r="M136" s="1938"/>
      <c r="N136" s="1938"/>
      <c r="O136" s="1927"/>
      <c r="P136" s="1913"/>
      <c r="Q136" s="1866"/>
      <c r="S136" s="1866"/>
      <c r="T136" s="1866"/>
      <c r="U136" s="1866"/>
      <c r="V136" s="1866"/>
      <c r="W136" s="1866"/>
      <c r="X136" s="1866"/>
      <c r="AC136" s="1867"/>
      <c r="AD136" s="1867"/>
      <c r="AE136" s="1867"/>
      <c r="AF136" s="1867"/>
      <c r="AG136" s="1867"/>
      <c r="AH136" s="1867"/>
      <c r="AI136" s="1867"/>
      <c r="AJ136" s="1867"/>
      <c r="AK136" s="1867"/>
      <c r="AL136" s="1867"/>
      <c r="AM136" s="1867"/>
      <c r="AN136" s="1868"/>
      <c r="AO136" s="1867"/>
    </row>
    <row r="137" spans="1:41" ht="14.4" outlineLevel="1">
      <c r="A137" s="1842">
        <f>ROW()</f>
        <v>137</v>
      </c>
      <c r="B137" s="1925"/>
      <c r="D137" s="1977"/>
      <c r="E137" s="1938"/>
      <c r="F137" s="1938"/>
      <c r="G137" s="1938"/>
      <c r="H137" s="1938"/>
      <c r="I137" s="1938"/>
      <c r="J137" s="1938"/>
      <c r="K137" s="1938"/>
      <c r="L137" s="1938"/>
      <c r="M137" s="1938"/>
      <c r="N137" s="1938"/>
      <c r="O137" s="1927"/>
      <c r="P137" s="1913"/>
      <c r="Q137" s="1866"/>
      <c r="S137" s="1866"/>
      <c r="T137" s="1866"/>
      <c r="U137" s="1866"/>
      <c r="V137" s="1866"/>
      <c r="W137" s="1866"/>
      <c r="X137" s="1866"/>
      <c r="AC137" s="1867"/>
      <c r="AD137" s="1867"/>
      <c r="AE137" s="1867"/>
      <c r="AF137" s="1867"/>
      <c r="AG137" s="1867"/>
      <c r="AH137" s="1867"/>
      <c r="AI137" s="1867"/>
      <c r="AJ137" s="1867"/>
      <c r="AK137" s="1867"/>
      <c r="AL137" s="1867"/>
      <c r="AM137" s="1867"/>
      <c r="AN137" s="1868"/>
      <c r="AO137" s="1867"/>
    </row>
    <row r="138" spans="1:41" ht="14.4" outlineLevel="1">
      <c r="A138" s="1842">
        <f>ROW()</f>
        <v>138</v>
      </c>
      <c r="B138" s="1925"/>
      <c r="D138" s="1982" t="s">
        <v>1646</v>
      </c>
      <c r="E138" s="1983">
        <v>0</v>
      </c>
      <c r="F138" s="1983">
        <v>0</v>
      </c>
      <c r="G138" s="1983">
        <v>0</v>
      </c>
      <c r="H138" s="1983">
        <v>0</v>
      </c>
      <c r="I138" s="1983">
        <v>0</v>
      </c>
      <c r="J138" s="1983">
        <v>0</v>
      </c>
      <c r="K138" s="1983">
        <v>0</v>
      </c>
      <c r="L138" s="1983">
        <v>0</v>
      </c>
      <c r="M138" s="1983">
        <v>0</v>
      </c>
      <c r="N138" s="1983">
        <v>0</v>
      </c>
      <c r="O138" s="1927"/>
      <c r="P138" s="1913"/>
      <c r="Q138" s="1866"/>
      <c r="S138" s="1943">
        <f>IFERROR(E138/#REF!,0)</f>
        <v>0</v>
      </c>
      <c r="T138" s="1943">
        <f>IFERROR(F138/#REF!,0)</f>
        <v>0</v>
      </c>
      <c r="U138" s="1943">
        <f>IFERROR(G138/#REF!,0)</f>
        <v>0</v>
      </c>
      <c r="V138" s="1943">
        <f>IFERROR(H138/#REF!,0)</f>
        <v>0</v>
      </c>
      <c r="W138" s="1943">
        <f>IFERROR(I138/#REF!,0)</f>
        <v>0</v>
      </c>
      <c r="X138" s="1943">
        <f>IFERROR(J138/#REF!,0)</f>
        <v>0</v>
      </c>
      <c r="AC138" s="1867">
        <f t="shared" ca="1" si="50"/>
        <v>1</v>
      </c>
      <c r="AD138" s="1867">
        <f t="shared" ca="1" si="50"/>
        <v>1</v>
      </c>
      <c r="AE138" s="1867">
        <f t="shared" ca="1" si="50"/>
        <v>1</v>
      </c>
      <c r="AF138" s="1867">
        <f t="shared" ca="1" si="50"/>
        <v>1</v>
      </c>
      <c r="AG138" s="1867">
        <f t="shared" ca="1" si="50"/>
        <v>0</v>
      </c>
      <c r="AH138" s="1867">
        <f t="shared" ca="1" si="50"/>
        <v>0</v>
      </c>
      <c r="AI138" s="1867">
        <f t="shared" ca="1" si="49"/>
        <v>0</v>
      </c>
      <c r="AJ138" s="1867">
        <f t="shared" ca="1" si="49"/>
        <v>0</v>
      </c>
      <c r="AK138" s="1867">
        <f t="shared" ca="1" si="49"/>
        <v>0</v>
      </c>
      <c r="AL138" s="1867">
        <f t="shared" ca="1" si="49"/>
        <v>0</v>
      </c>
      <c r="AM138" s="1867">
        <f t="shared" ca="1" si="60"/>
        <v>1</v>
      </c>
      <c r="AN138" s="1868" t="s">
        <v>1585</v>
      </c>
      <c r="AO138" s="1867">
        <f t="shared" ca="1" si="61"/>
        <v>1</v>
      </c>
    </row>
    <row r="139" spans="1:41" outlineLevel="1">
      <c r="A139" s="1842">
        <f>ROW()</f>
        <v>139</v>
      </c>
      <c r="E139" s="1869"/>
      <c r="F139" s="1869"/>
      <c r="G139" s="1866"/>
      <c r="H139" s="1866"/>
      <c r="I139" s="1866"/>
      <c r="J139" s="1866"/>
      <c r="K139" s="1866"/>
      <c r="L139" s="1866"/>
      <c r="M139" s="1866"/>
      <c r="N139" s="1866"/>
      <c r="P139" s="1913"/>
      <c r="Q139" s="1866"/>
      <c r="S139" s="1866"/>
      <c r="T139" s="1866"/>
      <c r="U139" s="1866"/>
      <c r="V139" s="1866"/>
      <c r="W139" s="1866"/>
      <c r="X139" s="1866"/>
      <c r="AC139" s="1867">
        <f t="shared" ca="1" si="50"/>
        <v>1</v>
      </c>
      <c r="AD139" s="1867">
        <f t="shared" ca="1" si="50"/>
        <v>1</v>
      </c>
      <c r="AE139" s="1867">
        <f t="shared" ca="1" si="50"/>
        <v>1</v>
      </c>
      <c r="AF139" s="1867">
        <f t="shared" ca="1" si="50"/>
        <v>1</v>
      </c>
      <c r="AG139" s="1867">
        <f t="shared" ca="1" si="50"/>
        <v>1</v>
      </c>
      <c r="AH139" s="1867">
        <f t="shared" ca="1" si="50"/>
        <v>1</v>
      </c>
      <c r="AI139" s="1867">
        <f t="shared" ca="1" si="49"/>
        <v>1</v>
      </c>
      <c r="AJ139" s="1867">
        <f t="shared" ca="1" si="49"/>
        <v>1</v>
      </c>
      <c r="AK139" s="1867">
        <f t="shared" ca="1" si="49"/>
        <v>1</v>
      </c>
      <c r="AL139" s="1867">
        <f t="shared" ca="1" si="49"/>
        <v>1</v>
      </c>
      <c r="AM139" s="1867">
        <f t="shared" ca="1" si="60"/>
        <v>1</v>
      </c>
      <c r="AN139" s="1868" t="s">
        <v>1585</v>
      </c>
      <c r="AO139" s="1867">
        <f t="shared" ca="1" si="61"/>
        <v>1</v>
      </c>
    </row>
    <row r="140" spans="1:41" ht="14.4" outlineLevel="1">
      <c r="A140" s="1842">
        <f>ROW()</f>
        <v>140</v>
      </c>
      <c r="D140" s="1982" t="s">
        <v>1705</v>
      </c>
      <c r="E140" s="1984">
        <f>+E138+E134</f>
        <v>410359.60179680743</v>
      </c>
      <c r="F140" s="1984">
        <f t="shared" ref="F140:N140" si="63">+F138+F134</f>
        <v>1429316.5762974804</v>
      </c>
      <c r="G140" s="1984">
        <f t="shared" si="63"/>
        <v>2464733.569126728</v>
      </c>
      <c r="H140" s="1984">
        <f t="shared" si="63"/>
        <v>4054315.178012534</v>
      </c>
      <c r="I140" s="1984">
        <f t="shared" si="63"/>
        <v>5932226.4585851496</v>
      </c>
      <c r="J140" s="1984">
        <f t="shared" si="63"/>
        <v>7701988.8619042737</v>
      </c>
      <c r="K140" s="1984">
        <f t="shared" si="63"/>
        <v>0</v>
      </c>
      <c r="L140" s="1984">
        <f t="shared" si="63"/>
        <v>0</v>
      </c>
      <c r="M140" s="1984">
        <f t="shared" si="63"/>
        <v>0</v>
      </c>
      <c r="N140" s="1984">
        <f t="shared" si="63"/>
        <v>0</v>
      </c>
      <c r="P140" s="1913"/>
      <c r="Q140" s="1866"/>
      <c r="S140" s="1866"/>
      <c r="T140" s="1866"/>
      <c r="U140" s="1866"/>
      <c r="V140" s="1866"/>
      <c r="W140" s="1866"/>
      <c r="X140" s="1866"/>
      <c r="AC140" s="1867"/>
      <c r="AD140" s="1867"/>
      <c r="AE140" s="1867"/>
      <c r="AF140" s="1867"/>
      <c r="AG140" s="1867"/>
      <c r="AH140" s="1867"/>
      <c r="AI140" s="1867"/>
      <c r="AJ140" s="1867"/>
      <c r="AK140" s="1867"/>
      <c r="AL140" s="1867"/>
      <c r="AM140" s="1867"/>
      <c r="AN140" s="1868"/>
      <c r="AO140" s="1867"/>
    </row>
    <row r="141" spans="1:41" outlineLevel="1">
      <c r="A141" s="1842">
        <f>ROW()</f>
        <v>141</v>
      </c>
      <c r="E141" s="1869"/>
      <c r="F141" s="1869"/>
      <c r="G141" s="1866"/>
      <c r="H141" s="1866"/>
      <c r="I141" s="1866"/>
      <c r="J141" s="1866"/>
      <c r="K141" s="1866"/>
      <c r="L141" s="1866"/>
      <c r="M141" s="1866"/>
      <c r="N141" s="1866"/>
      <c r="P141" s="1913"/>
      <c r="Q141" s="1866"/>
      <c r="S141" s="1866"/>
      <c r="T141" s="1866"/>
      <c r="U141" s="1866"/>
      <c r="V141" s="1866"/>
      <c r="W141" s="1866"/>
      <c r="X141" s="1866"/>
      <c r="AC141" s="1867"/>
      <c r="AD141" s="1867"/>
      <c r="AE141" s="1867"/>
      <c r="AF141" s="1867"/>
      <c r="AG141" s="1867"/>
      <c r="AH141" s="1867"/>
      <c r="AI141" s="1867"/>
      <c r="AJ141" s="1867"/>
      <c r="AK141" s="1867"/>
      <c r="AL141" s="1867"/>
      <c r="AM141" s="1867"/>
      <c r="AN141" s="1868"/>
      <c r="AO141" s="1867"/>
    </row>
    <row r="142" spans="1:41" ht="14.4" outlineLevel="1">
      <c r="A142" s="1842">
        <f>ROW()</f>
        <v>142</v>
      </c>
      <c r="B142" s="1925"/>
      <c r="D142" s="1926" t="s">
        <v>1706</v>
      </c>
      <c r="E142" s="1938"/>
      <c r="F142" s="1938"/>
      <c r="G142" s="1938"/>
      <c r="H142" s="1938"/>
      <c r="I142" s="1938"/>
      <c r="J142" s="1938"/>
      <c r="K142" s="1938"/>
      <c r="L142" s="1938"/>
      <c r="M142" s="1938"/>
      <c r="N142" s="1938"/>
      <c r="O142" s="1927"/>
      <c r="P142" s="1913"/>
      <c r="Q142" s="1866" t="s">
        <v>1707</v>
      </c>
      <c r="S142" s="1866"/>
      <c r="T142" s="1866"/>
      <c r="U142" s="1866"/>
      <c r="V142" s="1866"/>
      <c r="W142" s="1866"/>
      <c r="X142" s="1866"/>
      <c r="AC142" s="1867">
        <f t="shared" ca="1" si="50"/>
        <v>1</v>
      </c>
      <c r="AD142" s="1867">
        <f t="shared" ca="1" si="50"/>
        <v>1</v>
      </c>
      <c r="AE142" s="1867">
        <f t="shared" ca="1" si="50"/>
        <v>1</v>
      </c>
      <c r="AF142" s="1867">
        <f t="shared" ca="1" si="50"/>
        <v>1</v>
      </c>
      <c r="AG142" s="1867">
        <f t="shared" ca="1" si="50"/>
        <v>1</v>
      </c>
      <c r="AH142" s="1867">
        <f t="shared" ca="1" si="50"/>
        <v>1</v>
      </c>
      <c r="AI142" s="1867">
        <f t="shared" ca="1" si="49"/>
        <v>1</v>
      </c>
      <c r="AJ142" s="1867">
        <f t="shared" ca="1" si="49"/>
        <v>1</v>
      </c>
      <c r="AK142" s="1867">
        <f t="shared" ca="1" si="49"/>
        <v>1</v>
      </c>
      <c r="AL142" s="1867">
        <f t="shared" ca="1" si="49"/>
        <v>1</v>
      </c>
      <c r="AM142" s="1867">
        <f t="shared" ca="1" si="60"/>
        <v>1</v>
      </c>
      <c r="AN142" s="1868" t="s">
        <v>1585</v>
      </c>
      <c r="AO142" s="1867">
        <f t="shared" ca="1" si="61"/>
        <v>1</v>
      </c>
    </row>
    <row r="143" spans="1:41" outlineLevel="1">
      <c r="A143" s="1842">
        <f>ROW()</f>
        <v>143</v>
      </c>
      <c r="B143" s="1925"/>
      <c r="E143" s="1869"/>
      <c r="F143" s="1869"/>
      <c r="G143" s="1866"/>
      <c r="H143" s="1866"/>
      <c r="I143" s="1866"/>
      <c r="J143" s="1866"/>
      <c r="K143" s="1866"/>
      <c r="L143" s="1866"/>
      <c r="M143" s="1866"/>
      <c r="N143" s="1866"/>
      <c r="O143" s="1927"/>
      <c r="P143" s="1913"/>
      <c r="Q143" s="1866"/>
      <c r="S143" s="1866"/>
      <c r="T143" s="1866"/>
      <c r="U143" s="1866"/>
      <c r="V143" s="1866"/>
      <c r="W143" s="1866"/>
      <c r="X143" s="1866"/>
      <c r="AC143" s="1867">
        <f t="shared" ca="1" si="50"/>
        <v>1</v>
      </c>
      <c r="AD143" s="1867">
        <f t="shared" ca="1" si="50"/>
        <v>1</v>
      </c>
      <c r="AE143" s="1867">
        <f t="shared" ca="1" si="50"/>
        <v>1</v>
      </c>
      <c r="AF143" s="1867">
        <f t="shared" ca="1" si="50"/>
        <v>1</v>
      </c>
      <c r="AG143" s="1867">
        <f t="shared" ca="1" si="50"/>
        <v>1</v>
      </c>
      <c r="AH143" s="1867">
        <f t="shared" ca="1" si="50"/>
        <v>1</v>
      </c>
      <c r="AI143" s="1867">
        <f t="shared" ca="1" si="49"/>
        <v>1</v>
      </c>
      <c r="AJ143" s="1867">
        <f t="shared" ca="1" si="49"/>
        <v>1</v>
      </c>
      <c r="AK143" s="1867">
        <f t="shared" ca="1" si="49"/>
        <v>1</v>
      </c>
      <c r="AL143" s="1867">
        <f t="shared" ca="1" si="49"/>
        <v>1</v>
      </c>
      <c r="AM143" s="1867">
        <f t="shared" ca="1" si="60"/>
        <v>1</v>
      </c>
      <c r="AN143" s="1868" t="s">
        <v>1585</v>
      </c>
      <c r="AO143" s="1867">
        <f t="shared" ca="1" si="61"/>
        <v>1</v>
      </c>
    </row>
    <row r="144" spans="1:41" outlineLevel="1">
      <c r="A144" s="1842">
        <f>ROW()</f>
        <v>144</v>
      </c>
      <c r="B144" s="1925"/>
      <c r="D144" s="1853" t="s">
        <v>1708</v>
      </c>
      <c r="E144" s="1869" t="s">
        <v>1709</v>
      </c>
      <c r="F144" s="1939">
        <f>IF(F149=0,0,(F149-E149)/E149)</f>
        <v>0</v>
      </c>
      <c r="G144" s="1939">
        <f>IF(G149=0,0,(G149-F149)/F149)</f>
        <v>0</v>
      </c>
      <c r="H144" s="1939">
        <f>IF(H149=0,0,(H149-G149)/G149)</f>
        <v>0</v>
      </c>
      <c r="I144" s="1939">
        <f>IFERROR(IF(I149=0,0,(I149-H149)/H149),0)</f>
        <v>-0.99997327483536647</v>
      </c>
      <c r="J144" s="1939">
        <f>IF(J149=0,0,(J149-I149)/I149)</f>
        <v>0</v>
      </c>
      <c r="K144" s="1939">
        <f>IF(K149=0,0,(K149-J149)/J149)</f>
        <v>0</v>
      </c>
      <c r="L144" s="1939">
        <f>IF(L149=0,0,(L149-K149)/K149)</f>
        <v>0</v>
      </c>
      <c r="M144" s="1939">
        <f>IF(M149=0,0,(M149-L149)/L149)</f>
        <v>0</v>
      </c>
      <c r="N144" s="1939">
        <f>IF(N149=0,0,(N149-M149)/M149)</f>
        <v>0</v>
      </c>
      <c r="O144" s="1927"/>
      <c r="P144" s="1913"/>
      <c r="Q144" s="1866"/>
      <c r="S144" s="1866"/>
      <c r="T144" s="1866"/>
      <c r="U144" s="1866"/>
      <c r="V144" s="1866"/>
      <c r="W144" s="1866"/>
      <c r="X144" s="1866"/>
      <c r="AC144" s="1867">
        <f t="shared" ca="1" si="50"/>
        <v>1</v>
      </c>
      <c r="AD144" s="1867">
        <f t="shared" ca="1" si="50"/>
        <v>1</v>
      </c>
      <c r="AE144" s="1867">
        <f t="shared" ca="1" si="50"/>
        <v>1</v>
      </c>
      <c r="AF144" s="1867">
        <f t="shared" ca="1" si="50"/>
        <v>1</v>
      </c>
      <c r="AG144" s="1867">
        <f t="shared" ca="1" si="50"/>
        <v>1</v>
      </c>
      <c r="AH144" s="1867">
        <f t="shared" ca="1" si="50"/>
        <v>1</v>
      </c>
      <c r="AI144" s="1867">
        <f t="shared" ca="1" si="49"/>
        <v>1</v>
      </c>
      <c r="AJ144" s="1867">
        <f t="shared" ca="1" si="49"/>
        <v>1</v>
      </c>
      <c r="AK144" s="1867">
        <f t="shared" ca="1" si="49"/>
        <v>1</v>
      </c>
      <c r="AL144" s="1867">
        <f t="shared" ca="1" si="49"/>
        <v>1</v>
      </c>
      <c r="AM144" s="1867">
        <f t="shared" ca="1" si="60"/>
        <v>1</v>
      </c>
      <c r="AN144" s="1868" t="s">
        <v>1585</v>
      </c>
      <c r="AO144" s="1867">
        <f t="shared" ca="1" si="61"/>
        <v>1</v>
      </c>
    </row>
    <row r="145" spans="1:41" ht="13.8" outlineLevel="1">
      <c r="A145" s="1842">
        <f>ROW()</f>
        <v>145</v>
      </c>
      <c r="B145" s="1925"/>
      <c r="D145" s="1870" t="s">
        <v>1710</v>
      </c>
      <c r="E145" s="1941"/>
      <c r="F145" s="1941"/>
      <c r="G145" s="1941"/>
      <c r="H145" s="1941"/>
      <c r="I145" s="1941">
        <v>1</v>
      </c>
      <c r="J145" s="1941">
        <v>1</v>
      </c>
      <c r="K145" s="1941">
        <v>0</v>
      </c>
      <c r="L145" s="1941">
        <v>0</v>
      </c>
      <c r="M145" s="1941">
        <v>0</v>
      </c>
      <c r="N145" s="1941">
        <v>0</v>
      </c>
      <c r="O145" s="1927"/>
      <c r="P145" s="1913"/>
      <c r="Q145" s="1866"/>
      <c r="S145" s="1931">
        <f t="shared" ref="S145:X149" si="64">IFERROR(E145/E$134,0)</f>
        <v>0</v>
      </c>
      <c r="T145" s="1931">
        <f t="shared" si="64"/>
        <v>0</v>
      </c>
      <c r="U145" s="1931">
        <f t="shared" si="64"/>
        <v>0</v>
      </c>
      <c r="V145" s="1931">
        <f t="shared" si="64"/>
        <v>0</v>
      </c>
      <c r="W145" s="1931">
        <f t="shared" si="64"/>
        <v>1.6857077304471321E-7</v>
      </c>
      <c r="X145" s="1931">
        <f t="shared" si="64"/>
        <v>1.2983659388891346E-7</v>
      </c>
      <c r="AC145" s="1867">
        <f t="shared" ca="1" si="50"/>
        <v>1</v>
      </c>
      <c r="AD145" s="1867">
        <f t="shared" ca="1" si="50"/>
        <v>1</v>
      </c>
      <c r="AE145" s="1867">
        <f t="shared" ca="1" si="50"/>
        <v>1</v>
      </c>
      <c r="AF145" s="1867">
        <f t="shared" ca="1" si="50"/>
        <v>1</v>
      </c>
      <c r="AG145" s="1867">
        <f t="shared" ca="1" si="50"/>
        <v>0</v>
      </c>
      <c r="AH145" s="1867">
        <f t="shared" ca="1" si="50"/>
        <v>0</v>
      </c>
      <c r="AI145" s="1867">
        <f t="shared" ca="1" si="49"/>
        <v>0</v>
      </c>
      <c r="AJ145" s="1867">
        <f t="shared" ca="1" si="49"/>
        <v>0</v>
      </c>
      <c r="AK145" s="1867">
        <f t="shared" ca="1" si="49"/>
        <v>0</v>
      </c>
      <c r="AL145" s="1867">
        <f t="shared" ca="1" si="49"/>
        <v>0</v>
      </c>
      <c r="AM145" s="1867">
        <f t="shared" ca="1" si="60"/>
        <v>1</v>
      </c>
      <c r="AN145" s="1868" t="s">
        <v>1585</v>
      </c>
      <c r="AO145" s="1867">
        <f t="shared" ca="1" si="61"/>
        <v>1</v>
      </c>
    </row>
    <row r="146" spans="1:41" ht="13.8" outlineLevel="1">
      <c r="A146" s="1842">
        <f>ROW()</f>
        <v>146</v>
      </c>
      <c r="B146" s="1925"/>
      <c r="D146" s="1870" t="s">
        <v>1711</v>
      </c>
      <c r="E146" s="1932"/>
      <c r="F146" s="1932">
        <v>0</v>
      </c>
      <c r="G146" s="1932">
        <v>0</v>
      </c>
      <c r="H146" s="1932">
        <v>0</v>
      </c>
      <c r="I146" s="1932">
        <v>0</v>
      </c>
      <c r="J146" s="1932">
        <v>0</v>
      </c>
      <c r="K146" s="1932">
        <v>0</v>
      </c>
      <c r="L146" s="1932">
        <v>0</v>
      </c>
      <c r="M146" s="1932">
        <v>0</v>
      </c>
      <c r="N146" s="1932">
        <v>0</v>
      </c>
      <c r="O146" s="1927"/>
      <c r="P146" s="1913"/>
      <c r="Q146" s="1866"/>
      <c r="S146" s="1931">
        <f t="shared" si="64"/>
        <v>0</v>
      </c>
      <c r="T146" s="1931">
        <f t="shared" si="64"/>
        <v>0</v>
      </c>
      <c r="U146" s="1931">
        <f t="shared" si="64"/>
        <v>0</v>
      </c>
      <c r="V146" s="1931">
        <f t="shared" si="64"/>
        <v>0</v>
      </c>
      <c r="W146" s="1931">
        <f t="shared" si="64"/>
        <v>0</v>
      </c>
      <c r="X146" s="1931">
        <f t="shared" si="64"/>
        <v>0</v>
      </c>
      <c r="AC146" s="1867">
        <f t="shared" ca="1" si="50"/>
        <v>1</v>
      </c>
      <c r="AD146" s="1867">
        <f t="shared" ca="1" si="50"/>
        <v>1</v>
      </c>
      <c r="AE146" s="1867">
        <f t="shared" ca="1" si="50"/>
        <v>1</v>
      </c>
      <c r="AF146" s="1867">
        <f t="shared" ca="1" si="50"/>
        <v>1</v>
      </c>
      <c r="AG146" s="1867">
        <f t="shared" ca="1" si="50"/>
        <v>0</v>
      </c>
      <c r="AH146" s="1867">
        <f t="shared" ca="1" si="50"/>
        <v>0</v>
      </c>
      <c r="AI146" s="1867">
        <f t="shared" ca="1" si="49"/>
        <v>0</v>
      </c>
      <c r="AJ146" s="1867">
        <f t="shared" ca="1" si="49"/>
        <v>0</v>
      </c>
      <c r="AK146" s="1867">
        <f t="shared" ca="1" si="49"/>
        <v>0</v>
      </c>
      <c r="AL146" s="1867">
        <f t="shared" ca="1" si="49"/>
        <v>0</v>
      </c>
      <c r="AM146" s="1867">
        <f t="shared" ca="1" si="60"/>
        <v>1</v>
      </c>
      <c r="AN146" s="1868" t="s">
        <v>1585</v>
      </c>
      <c r="AO146" s="1867">
        <f t="shared" ca="1" si="61"/>
        <v>1</v>
      </c>
    </row>
    <row r="147" spans="1:41" ht="13.8" outlineLevel="1">
      <c r="A147" s="1842">
        <f>ROW()</f>
        <v>147</v>
      </c>
      <c r="B147" s="1925"/>
      <c r="D147" s="1870" t="s">
        <v>1712</v>
      </c>
      <c r="E147" s="1949">
        <v>0</v>
      </c>
      <c r="F147" s="1949">
        <v>0</v>
      </c>
      <c r="G147" s="1949">
        <v>0</v>
      </c>
      <c r="H147" s="1949">
        <v>0</v>
      </c>
      <c r="I147" s="1949">
        <v>0</v>
      </c>
      <c r="J147" s="1949">
        <v>0</v>
      </c>
      <c r="K147" s="1949">
        <v>0</v>
      </c>
      <c r="L147" s="1949">
        <v>0</v>
      </c>
      <c r="M147" s="1949">
        <v>0</v>
      </c>
      <c r="N147" s="1949">
        <v>0</v>
      </c>
      <c r="O147" s="1927"/>
      <c r="P147" s="1913"/>
      <c r="Q147" s="1866" t="s">
        <v>1713</v>
      </c>
      <c r="S147" s="1931">
        <f t="shared" si="64"/>
        <v>0</v>
      </c>
      <c r="T147" s="1931">
        <f t="shared" si="64"/>
        <v>0</v>
      </c>
      <c r="U147" s="1931">
        <f t="shared" si="64"/>
        <v>0</v>
      </c>
      <c r="V147" s="1931">
        <f t="shared" si="64"/>
        <v>0</v>
      </c>
      <c r="W147" s="1931">
        <f t="shared" si="64"/>
        <v>0</v>
      </c>
      <c r="X147" s="1931">
        <f t="shared" si="64"/>
        <v>0</v>
      </c>
      <c r="AC147" s="1867">
        <f t="shared" ca="1" si="50"/>
        <v>1</v>
      </c>
      <c r="AD147" s="1867">
        <f t="shared" ca="1" si="50"/>
        <v>1</v>
      </c>
      <c r="AE147" s="1867">
        <f t="shared" ca="1" si="50"/>
        <v>1</v>
      </c>
      <c r="AF147" s="1867">
        <f t="shared" ca="1" si="50"/>
        <v>1</v>
      </c>
      <c r="AG147" s="1867">
        <f t="shared" ca="1" si="50"/>
        <v>0</v>
      </c>
      <c r="AH147" s="1867">
        <f t="shared" ca="1" si="50"/>
        <v>0</v>
      </c>
      <c r="AI147" s="1867">
        <f t="shared" ca="1" si="49"/>
        <v>0</v>
      </c>
      <c r="AJ147" s="1867">
        <f t="shared" ca="1" si="49"/>
        <v>0</v>
      </c>
      <c r="AK147" s="1867">
        <f t="shared" ca="1" si="49"/>
        <v>0</v>
      </c>
      <c r="AL147" s="1867">
        <f t="shared" ca="1" si="49"/>
        <v>0</v>
      </c>
      <c r="AM147" s="1867">
        <f t="shared" ca="1" si="60"/>
        <v>1</v>
      </c>
      <c r="AN147" s="1868" t="s">
        <v>1585</v>
      </c>
      <c r="AO147" s="1867">
        <f t="shared" ca="1" si="61"/>
        <v>1</v>
      </c>
    </row>
    <row r="148" spans="1:41" ht="13.8" outlineLevel="1">
      <c r="A148" s="1842">
        <f>ROW()</f>
        <v>148</v>
      </c>
      <c r="B148" s="1925"/>
      <c r="D148" s="1870" t="s">
        <v>1714</v>
      </c>
      <c r="E148" s="1932">
        <f>'FFE&amp;T'!G19</f>
        <v>37417.917296779437</v>
      </c>
      <c r="F148" s="1932">
        <f>E148</f>
        <v>37417.917296779437</v>
      </c>
      <c r="G148" s="1932">
        <f t="shared" ref="G148:H148" si="65">F148</f>
        <v>37417.917296779437</v>
      </c>
      <c r="H148" s="1932">
        <f t="shared" si="65"/>
        <v>37417.917296779437</v>
      </c>
      <c r="I148" s="1932">
        <v>0</v>
      </c>
      <c r="J148" s="1932">
        <v>0</v>
      </c>
      <c r="K148" s="1932">
        <v>0</v>
      </c>
      <c r="L148" s="1932">
        <v>0</v>
      </c>
      <c r="M148" s="1932">
        <v>0</v>
      </c>
      <c r="N148" s="1932">
        <v>0</v>
      </c>
      <c r="O148" s="1927"/>
      <c r="P148" s="1913"/>
      <c r="Q148" s="1866" t="s">
        <v>1715</v>
      </c>
      <c r="S148" s="1931">
        <f t="shared" si="64"/>
        <v>9.118323814756793E-2</v>
      </c>
      <c r="T148" s="1931">
        <f t="shared" si="64"/>
        <v>2.6178887111004672E-2</v>
      </c>
      <c r="U148" s="1931">
        <f t="shared" si="64"/>
        <v>1.518132335497701E-2</v>
      </c>
      <c r="V148" s="1931">
        <f t="shared" si="64"/>
        <v>9.229158477788121E-3</v>
      </c>
      <c r="W148" s="1931">
        <f t="shared" si="64"/>
        <v>0</v>
      </c>
      <c r="X148" s="1931">
        <f t="shared" si="64"/>
        <v>0</v>
      </c>
      <c r="AC148" s="1867">
        <f t="shared" ca="1" si="50"/>
        <v>1</v>
      </c>
      <c r="AD148" s="1867">
        <f t="shared" ca="1" si="50"/>
        <v>1</v>
      </c>
      <c r="AE148" s="1867">
        <f t="shared" ca="1" si="50"/>
        <v>1</v>
      </c>
      <c r="AF148" s="1867">
        <f t="shared" ca="1" si="50"/>
        <v>1</v>
      </c>
      <c r="AG148" s="1867">
        <f t="shared" ca="1" si="50"/>
        <v>0</v>
      </c>
      <c r="AH148" s="1867">
        <f t="shared" ca="1" si="50"/>
        <v>0</v>
      </c>
      <c r="AI148" s="1867">
        <f t="shared" ca="1" si="49"/>
        <v>0</v>
      </c>
      <c r="AJ148" s="1867">
        <f t="shared" ca="1" si="49"/>
        <v>0</v>
      </c>
      <c r="AK148" s="1867">
        <f t="shared" ca="1" si="49"/>
        <v>0</v>
      </c>
      <c r="AL148" s="1867">
        <f t="shared" ca="1" si="49"/>
        <v>0</v>
      </c>
      <c r="AM148" s="1867">
        <f t="shared" ca="1" si="60"/>
        <v>1</v>
      </c>
      <c r="AN148" s="1868" t="s">
        <v>1585</v>
      </c>
      <c r="AO148" s="1867">
        <f t="shared" ca="1" si="61"/>
        <v>1</v>
      </c>
    </row>
    <row r="149" spans="1:41" ht="14.4" outlineLevel="1">
      <c r="A149" s="1842">
        <f>ROW()</f>
        <v>149</v>
      </c>
      <c r="B149" s="1925"/>
      <c r="D149" s="1977" t="s">
        <v>1716</v>
      </c>
      <c r="E149" s="1934">
        <f>SUM(E145:E148)</f>
        <v>37417.917296779437</v>
      </c>
      <c r="F149" s="1934">
        <f t="shared" ref="F149:N149" si="66">SUM(F145:F148)</f>
        <v>37417.917296779437</v>
      </c>
      <c r="G149" s="1934">
        <f t="shared" si="66"/>
        <v>37417.917296779437</v>
      </c>
      <c r="H149" s="1934">
        <f t="shared" si="66"/>
        <v>37417.917296779437</v>
      </c>
      <c r="I149" s="1934">
        <f t="shared" si="66"/>
        <v>1</v>
      </c>
      <c r="J149" s="1934">
        <f t="shared" si="66"/>
        <v>1</v>
      </c>
      <c r="K149" s="1934">
        <f t="shared" si="66"/>
        <v>0</v>
      </c>
      <c r="L149" s="1934">
        <f t="shared" si="66"/>
        <v>0</v>
      </c>
      <c r="M149" s="1934">
        <f t="shared" si="66"/>
        <v>0</v>
      </c>
      <c r="N149" s="1934">
        <f t="shared" si="66"/>
        <v>0</v>
      </c>
      <c r="O149" s="1927"/>
      <c r="P149" s="1913"/>
      <c r="Q149" s="1866"/>
      <c r="S149" s="1943">
        <f t="shared" si="64"/>
        <v>9.118323814756793E-2</v>
      </c>
      <c r="T149" s="1943">
        <f t="shared" si="64"/>
        <v>2.6178887111004672E-2</v>
      </c>
      <c r="U149" s="1943">
        <f t="shared" si="64"/>
        <v>1.518132335497701E-2</v>
      </c>
      <c r="V149" s="1943">
        <f t="shared" si="64"/>
        <v>9.229158477788121E-3</v>
      </c>
      <c r="W149" s="1943">
        <f t="shared" si="64"/>
        <v>1.6857077304471321E-7</v>
      </c>
      <c r="X149" s="1943">
        <f t="shared" si="64"/>
        <v>1.2983659388891346E-7</v>
      </c>
      <c r="AC149" s="1867">
        <f t="shared" ca="1" si="50"/>
        <v>1</v>
      </c>
      <c r="AD149" s="1867">
        <f t="shared" ca="1" si="50"/>
        <v>1</v>
      </c>
      <c r="AE149" s="1867">
        <f t="shared" ca="1" si="50"/>
        <v>1</v>
      </c>
      <c r="AF149" s="1867">
        <f t="shared" ca="1" si="50"/>
        <v>1</v>
      </c>
      <c r="AG149" s="1867">
        <f t="shared" ca="1" si="50"/>
        <v>1</v>
      </c>
      <c r="AH149" s="1867">
        <f t="shared" ca="1" si="50"/>
        <v>1</v>
      </c>
      <c r="AI149" s="1867">
        <f t="shared" ca="1" si="49"/>
        <v>1</v>
      </c>
      <c r="AJ149" s="1867">
        <f t="shared" ca="1" si="49"/>
        <v>1</v>
      </c>
      <c r="AK149" s="1867">
        <f t="shared" ca="1" si="49"/>
        <v>1</v>
      </c>
      <c r="AL149" s="1867">
        <f t="shared" ca="1" si="49"/>
        <v>1</v>
      </c>
      <c r="AM149" s="1867">
        <f t="shared" ca="1" si="60"/>
        <v>1</v>
      </c>
      <c r="AN149" s="1868" t="s">
        <v>1585</v>
      </c>
      <c r="AO149" s="1867">
        <f t="shared" ca="1" si="61"/>
        <v>1</v>
      </c>
    </row>
    <row r="150" spans="1:41" outlineLevel="1">
      <c r="A150" s="1842">
        <f>ROW()</f>
        <v>150</v>
      </c>
      <c r="B150" s="1925"/>
      <c r="D150" s="1918" t="s">
        <v>1717</v>
      </c>
      <c r="E150" s="2248"/>
      <c r="F150" s="2248"/>
      <c r="G150" s="2248"/>
      <c r="H150" s="2248"/>
      <c r="I150" s="2248"/>
      <c r="J150" s="2248"/>
      <c r="K150" s="2248"/>
      <c r="L150" s="2248"/>
      <c r="M150" s="2248"/>
      <c r="N150" s="2248"/>
      <c r="O150" s="1927"/>
      <c r="P150" s="1913"/>
      <c r="Q150" s="1866"/>
      <c r="S150" s="1931"/>
      <c r="T150" s="1931"/>
      <c r="U150" s="1931"/>
      <c r="V150" s="1931"/>
      <c r="W150" s="1931"/>
      <c r="X150" s="1931"/>
      <c r="AC150" s="1867">
        <f t="shared" ca="1" si="50"/>
        <v>1</v>
      </c>
      <c r="AD150" s="1867">
        <f t="shared" ca="1" si="50"/>
        <v>1</v>
      </c>
      <c r="AE150" s="1867">
        <f t="shared" ca="1" si="50"/>
        <v>1</v>
      </c>
      <c r="AF150" s="1867">
        <f t="shared" ca="1" si="50"/>
        <v>1</v>
      </c>
      <c r="AG150" s="1867">
        <f t="shared" ca="1" si="50"/>
        <v>0</v>
      </c>
      <c r="AH150" s="1867">
        <f t="shared" ca="1" si="50"/>
        <v>0</v>
      </c>
      <c r="AI150" s="1867">
        <f t="shared" ca="1" si="49"/>
        <v>0</v>
      </c>
      <c r="AJ150" s="1867">
        <f t="shared" ca="1" si="49"/>
        <v>0</v>
      </c>
      <c r="AK150" s="1867">
        <f t="shared" ca="1" si="49"/>
        <v>0</v>
      </c>
      <c r="AL150" s="1867">
        <f t="shared" ca="1" si="49"/>
        <v>0</v>
      </c>
      <c r="AM150" s="1867">
        <f t="shared" ca="1" si="60"/>
        <v>1</v>
      </c>
      <c r="AN150" s="1868" t="s">
        <v>1585</v>
      </c>
      <c r="AO150" s="1867">
        <f t="shared" ca="1" si="61"/>
        <v>1</v>
      </c>
    </row>
    <row r="151" spans="1:41" ht="14.4" outlineLevel="1">
      <c r="A151" s="1842">
        <f>ROW()</f>
        <v>151</v>
      </c>
      <c r="B151" s="1925"/>
      <c r="D151" s="1977"/>
      <c r="E151" s="1904"/>
      <c r="F151" s="1904"/>
      <c r="G151" s="1904"/>
      <c r="H151" s="1904"/>
      <c r="I151" s="1904"/>
      <c r="J151" s="1904"/>
      <c r="K151" s="1904"/>
      <c r="L151" s="1904"/>
      <c r="M151" s="1904"/>
      <c r="N151" s="1904"/>
      <c r="O151" s="1927"/>
      <c r="P151" s="1913"/>
      <c r="Q151" s="1866"/>
      <c r="S151" s="1931"/>
      <c r="T151" s="1931"/>
      <c r="U151" s="1931"/>
      <c r="V151" s="1931"/>
      <c r="W151" s="1931"/>
      <c r="X151" s="1931"/>
      <c r="AC151" s="1867">
        <f t="shared" ca="1" si="50"/>
        <v>1</v>
      </c>
      <c r="AD151" s="1867">
        <f t="shared" ca="1" si="50"/>
        <v>1</v>
      </c>
      <c r="AE151" s="1867">
        <f t="shared" ca="1" si="50"/>
        <v>1</v>
      </c>
      <c r="AF151" s="1867">
        <f t="shared" ca="1" si="50"/>
        <v>1</v>
      </c>
      <c r="AG151" s="1867">
        <f t="shared" ca="1" si="50"/>
        <v>1</v>
      </c>
      <c r="AH151" s="1867">
        <f t="shared" ca="1" si="50"/>
        <v>1</v>
      </c>
      <c r="AI151" s="1867">
        <f t="shared" ca="1" si="49"/>
        <v>1</v>
      </c>
      <c r="AJ151" s="1867">
        <f t="shared" ca="1" si="49"/>
        <v>1</v>
      </c>
      <c r="AK151" s="1867">
        <f t="shared" ca="1" si="49"/>
        <v>1</v>
      </c>
      <c r="AL151" s="1867">
        <f t="shared" ca="1" si="49"/>
        <v>1</v>
      </c>
      <c r="AM151" s="1867">
        <f t="shared" ca="1" si="60"/>
        <v>1</v>
      </c>
      <c r="AN151" s="1868" t="s">
        <v>1585</v>
      </c>
      <c r="AO151" s="1867">
        <f t="shared" ca="1" si="61"/>
        <v>1</v>
      </c>
    </row>
    <row r="152" spans="1:41" ht="14.4" outlineLevel="1">
      <c r="A152" s="1842">
        <f>ROW()</f>
        <v>152</v>
      </c>
      <c r="B152" s="1925"/>
      <c r="D152" s="1985" t="s">
        <v>1718</v>
      </c>
      <c r="E152" s="1904"/>
      <c r="F152" s="1904"/>
      <c r="G152" s="1904"/>
      <c r="H152" s="1904"/>
      <c r="I152" s="1904"/>
      <c r="J152" s="1904"/>
      <c r="K152" s="1904"/>
      <c r="L152" s="1904"/>
      <c r="M152" s="1904"/>
      <c r="N152" s="1904"/>
      <c r="O152" s="1927"/>
      <c r="P152" s="1913"/>
      <c r="Q152" s="1866"/>
      <c r="S152" s="1931"/>
      <c r="T152" s="1931"/>
      <c r="U152" s="1931"/>
      <c r="V152" s="1931"/>
      <c r="W152" s="1931"/>
      <c r="X152" s="1931"/>
      <c r="AC152" s="1867">
        <f t="shared" ca="1" si="50"/>
        <v>1</v>
      </c>
      <c r="AD152" s="1867">
        <f t="shared" ca="1" si="50"/>
        <v>1</v>
      </c>
      <c r="AE152" s="1867">
        <f t="shared" ca="1" si="50"/>
        <v>1</v>
      </c>
      <c r="AF152" s="1867">
        <f t="shared" ca="1" si="50"/>
        <v>1</v>
      </c>
      <c r="AG152" s="1867">
        <f t="shared" ca="1" si="50"/>
        <v>1</v>
      </c>
      <c r="AH152" s="1867">
        <f t="shared" ca="1" si="50"/>
        <v>1</v>
      </c>
      <c r="AI152" s="1867">
        <f t="shared" ca="1" si="49"/>
        <v>1</v>
      </c>
      <c r="AJ152" s="1867">
        <f t="shared" ca="1" si="49"/>
        <v>1</v>
      </c>
      <c r="AK152" s="1867">
        <f t="shared" ca="1" si="49"/>
        <v>1</v>
      </c>
      <c r="AL152" s="1867">
        <f t="shared" ca="1" si="49"/>
        <v>1</v>
      </c>
      <c r="AM152" s="1867">
        <f t="shared" ca="1" si="60"/>
        <v>1</v>
      </c>
      <c r="AN152" s="1868" t="s">
        <v>1585</v>
      </c>
      <c r="AO152" s="1867">
        <f t="shared" ca="1" si="61"/>
        <v>1</v>
      </c>
    </row>
    <row r="153" spans="1:41" ht="13.8" outlineLevel="1">
      <c r="A153" s="1842">
        <f>ROW()</f>
        <v>153</v>
      </c>
      <c r="B153" s="1925"/>
      <c r="D153" s="1870" t="s">
        <v>1719</v>
      </c>
      <c r="E153" s="1986" t="s">
        <v>1720</v>
      </c>
      <c r="F153" s="1986" t="s">
        <v>1720</v>
      </c>
      <c r="G153" s="1986" t="s">
        <v>1720</v>
      </c>
      <c r="H153" s="1986" t="s">
        <v>1720</v>
      </c>
      <c r="I153" s="1986" t="s">
        <v>966</v>
      </c>
      <c r="J153" s="1986" t="s">
        <v>966</v>
      </c>
      <c r="K153" s="1986" t="s">
        <v>966</v>
      </c>
      <c r="L153" s="1986" t="s">
        <v>966</v>
      </c>
      <c r="M153" s="1986" t="s">
        <v>966</v>
      </c>
      <c r="N153" s="1986" t="s">
        <v>966</v>
      </c>
      <c r="O153" s="1927"/>
      <c r="P153" s="1913"/>
      <c r="Q153" s="1866" t="s">
        <v>1721</v>
      </c>
      <c r="S153" s="1931"/>
      <c r="T153" s="1931"/>
      <c r="U153" s="1931"/>
      <c r="V153" s="1931"/>
      <c r="W153" s="1931"/>
      <c r="X153" s="1931"/>
      <c r="AC153" s="1867">
        <f t="shared" ca="1" si="50"/>
        <v>1</v>
      </c>
      <c r="AD153" s="1867">
        <f t="shared" ca="1" si="50"/>
        <v>1</v>
      </c>
      <c r="AE153" s="1867">
        <f t="shared" ca="1" si="50"/>
        <v>1</v>
      </c>
      <c r="AF153" s="1867">
        <f t="shared" ca="1" si="50"/>
        <v>1</v>
      </c>
      <c r="AG153" s="1867">
        <f t="shared" ca="1" si="50"/>
        <v>0</v>
      </c>
      <c r="AH153" s="1867">
        <f t="shared" ca="1" si="50"/>
        <v>0</v>
      </c>
      <c r="AI153" s="1867">
        <f t="shared" ca="1" si="49"/>
        <v>0</v>
      </c>
      <c r="AJ153" s="1867">
        <f t="shared" ca="1" si="49"/>
        <v>0</v>
      </c>
      <c r="AK153" s="1867">
        <f t="shared" ca="1" si="49"/>
        <v>0</v>
      </c>
      <c r="AL153" s="1867">
        <f t="shared" ca="1" si="49"/>
        <v>0</v>
      </c>
      <c r="AM153" s="1867">
        <f t="shared" ca="1" si="60"/>
        <v>1</v>
      </c>
      <c r="AN153" s="1868" t="s">
        <v>1585</v>
      </c>
      <c r="AO153" s="1867">
        <f t="shared" ca="1" si="61"/>
        <v>1</v>
      </c>
    </row>
    <row r="154" spans="1:41" ht="13.8" outlineLevel="1">
      <c r="A154" s="1842">
        <f>ROW()</f>
        <v>154</v>
      </c>
      <c r="B154" s="1925"/>
      <c r="D154" s="1870" t="s">
        <v>1722</v>
      </c>
      <c r="E154" s="1949">
        <f>SUM(F148:H148)</f>
        <v>112253.75189033832</v>
      </c>
      <c r="F154" s="1949">
        <f t="shared" ref="F154:G154" si="67">SUM(G148:I148)</f>
        <v>74835.834593558873</v>
      </c>
      <c r="G154" s="1949">
        <f t="shared" si="67"/>
        <v>37417.917296779437</v>
      </c>
      <c r="H154" s="1949">
        <v>0</v>
      </c>
      <c r="I154" s="1949">
        <v>0</v>
      </c>
      <c r="J154" s="1949">
        <v>0</v>
      </c>
      <c r="K154" s="1949">
        <v>0</v>
      </c>
      <c r="L154" s="1949">
        <v>0</v>
      </c>
      <c r="M154" s="1949">
        <v>0</v>
      </c>
      <c r="N154" s="1949">
        <v>0</v>
      </c>
      <c r="O154" s="1927"/>
      <c r="P154" s="1913"/>
      <c r="Q154" s="1866"/>
      <c r="S154" s="1931">
        <f t="shared" ref="S154:X159" si="68">IFERROR(E154/E$134,0)</f>
        <v>0.27354971444270382</v>
      </c>
      <c r="T154" s="1931">
        <f t="shared" si="68"/>
        <v>5.2357774222009344E-2</v>
      </c>
      <c r="U154" s="1931">
        <f t="shared" si="68"/>
        <v>1.518132335497701E-2</v>
      </c>
      <c r="V154" s="1931">
        <f t="shared" si="68"/>
        <v>0</v>
      </c>
      <c r="W154" s="1931">
        <f t="shared" si="68"/>
        <v>0</v>
      </c>
      <c r="X154" s="1931">
        <f t="shared" si="68"/>
        <v>0</v>
      </c>
      <c r="AC154" s="1867">
        <f t="shared" ca="1" si="50"/>
        <v>1</v>
      </c>
      <c r="AD154" s="1867">
        <f t="shared" ca="1" si="50"/>
        <v>1</v>
      </c>
      <c r="AE154" s="1867">
        <f t="shared" ca="1" si="50"/>
        <v>1</v>
      </c>
      <c r="AF154" s="1867">
        <f t="shared" ca="1" si="50"/>
        <v>1</v>
      </c>
      <c r="AG154" s="1867">
        <f t="shared" ca="1" si="50"/>
        <v>0</v>
      </c>
      <c r="AH154" s="1867">
        <f t="shared" ca="1" si="50"/>
        <v>0</v>
      </c>
      <c r="AI154" s="1867">
        <f t="shared" ca="1" si="49"/>
        <v>0</v>
      </c>
      <c r="AJ154" s="1867">
        <f t="shared" ca="1" si="49"/>
        <v>0</v>
      </c>
      <c r="AK154" s="1867">
        <f t="shared" ca="1" si="49"/>
        <v>0</v>
      </c>
      <c r="AL154" s="1867">
        <f t="shared" ca="1" si="49"/>
        <v>0</v>
      </c>
      <c r="AM154" s="1867">
        <f t="shared" ca="1" si="60"/>
        <v>1</v>
      </c>
      <c r="AN154" s="1868" t="s">
        <v>1585</v>
      </c>
      <c r="AO154" s="1867">
        <f t="shared" ca="1" si="61"/>
        <v>1</v>
      </c>
    </row>
    <row r="155" spans="1:41" ht="13.8" outlineLevel="1">
      <c r="A155" s="1842">
        <f>ROW()</f>
        <v>155</v>
      </c>
      <c r="B155" s="1906"/>
      <c r="D155" s="1870" t="s">
        <v>1723</v>
      </c>
      <c r="E155" s="1952">
        <v>0</v>
      </c>
      <c r="F155" s="1952">
        <v>0</v>
      </c>
      <c r="G155" s="1952">
        <v>0</v>
      </c>
      <c r="H155" s="1952">
        <v>0</v>
      </c>
      <c r="I155" s="1952">
        <v>0</v>
      </c>
      <c r="J155" s="1952">
        <v>0</v>
      </c>
      <c r="K155" s="1952">
        <v>0</v>
      </c>
      <c r="L155" s="1952">
        <v>0</v>
      </c>
      <c r="M155" s="1952">
        <v>0</v>
      </c>
      <c r="N155" s="1952">
        <v>0</v>
      </c>
      <c r="O155" s="1927"/>
      <c r="P155" s="1913"/>
      <c r="Q155" s="1866" t="s">
        <v>1724</v>
      </c>
      <c r="S155" s="1931">
        <f t="shared" si="68"/>
        <v>0</v>
      </c>
      <c r="T155" s="1931">
        <f t="shared" si="68"/>
        <v>0</v>
      </c>
      <c r="U155" s="1931">
        <f t="shared" si="68"/>
        <v>0</v>
      </c>
      <c r="V155" s="1931">
        <f t="shared" si="68"/>
        <v>0</v>
      </c>
      <c r="W155" s="1931">
        <f t="shared" si="68"/>
        <v>0</v>
      </c>
      <c r="X155" s="1931">
        <f t="shared" si="68"/>
        <v>0</v>
      </c>
      <c r="AC155" s="1867">
        <f t="shared" ca="1" si="50"/>
        <v>1</v>
      </c>
      <c r="AD155" s="1867">
        <f t="shared" ca="1" si="50"/>
        <v>1</v>
      </c>
      <c r="AE155" s="1867">
        <f t="shared" ca="1" si="50"/>
        <v>1</v>
      </c>
      <c r="AF155" s="1867">
        <f t="shared" ca="1" si="50"/>
        <v>1</v>
      </c>
      <c r="AG155" s="1867">
        <f t="shared" ca="1" si="50"/>
        <v>0</v>
      </c>
      <c r="AH155" s="1867">
        <f t="shared" ca="1" si="50"/>
        <v>0</v>
      </c>
      <c r="AI155" s="1867">
        <f t="shared" ca="1" si="49"/>
        <v>0</v>
      </c>
      <c r="AJ155" s="1867">
        <f t="shared" ca="1" si="49"/>
        <v>0</v>
      </c>
      <c r="AK155" s="1867">
        <f t="shared" ca="1" si="49"/>
        <v>0</v>
      </c>
      <c r="AL155" s="1867">
        <f t="shared" ca="1" si="49"/>
        <v>0</v>
      </c>
      <c r="AM155" s="1867">
        <f t="shared" ca="1" si="60"/>
        <v>1</v>
      </c>
      <c r="AN155" s="1868" t="s">
        <v>1585</v>
      </c>
      <c r="AO155" s="1867">
        <f t="shared" ca="1" si="61"/>
        <v>1</v>
      </c>
    </row>
    <row r="156" spans="1:41" ht="13.8" outlineLevel="1">
      <c r="A156" s="1842">
        <f>ROW()</f>
        <v>156</v>
      </c>
      <c r="B156" s="1925"/>
      <c r="D156" s="1870" t="s">
        <v>1725</v>
      </c>
      <c r="E156" s="1949">
        <v>0</v>
      </c>
      <c r="F156" s="1949">
        <v>0</v>
      </c>
      <c r="G156" s="1949">
        <v>0</v>
      </c>
      <c r="H156" s="1949">
        <v>0</v>
      </c>
      <c r="I156" s="1949">
        <v>0</v>
      </c>
      <c r="J156" s="1949">
        <v>0</v>
      </c>
      <c r="K156" s="1949">
        <v>0</v>
      </c>
      <c r="L156" s="1949">
        <v>0</v>
      </c>
      <c r="M156" s="1949">
        <v>0</v>
      </c>
      <c r="N156" s="1949">
        <v>0</v>
      </c>
      <c r="O156" s="1927"/>
      <c r="P156" s="1913"/>
      <c r="Q156" s="1866"/>
      <c r="S156" s="1931">
        <f t="shared" si="68"/>
        <v>0</v>
      </c>
      <c r="T156" s="1931">
        <f t="shared" si="68"/>
        <v>0</v>
      </c>
      <c r="U156" s="1931">
        <f t="shared" si="68"/>
        <v>0</v>
      </c>
      <c r="V156" s="1931">
        <f t="shared" si="68"/>
        <v>0</v>
      </c>
      <c r="W156" s="1931">
        <f t="shared" si="68"/>
        <v>0</v>
      </c>
      <c r="X156" s="1931">
        <f t="shared" si="68"/>
        <v>0</v>
      </c>
      <c r="AC156" s="1867">
        <f t="shared" ca="1" si="50"/>
        <v>1</v>
      </c>
      <c r="AD156" s="1867">
        <f t="shared" ca="1" si="50"/>
        <v>1</v>
      </c>
      <c r="AE156" s="1867">
        <f t="shared" ca="1" si="50"/>
        <v>1</v>
      </c>
      <c r="AF156" s="1867">
        <f t="shared" ca="1" si="50"/>
        <v>1</v>
      </c>
      <c r="AG156" s="1867">
        <f t="shared" ca="1" si="50"/>
        <v>0</v>
      </c>
      <c r="AH156" s="1867">
        <f t="shared" ca="1" si="50"/>
        <v>0</v>
      </c>
      <c r="AI156" s="1867">
        <f t="shared" ca="1" si="49"/>
        <v>0</v>
      </c>
      <c r="AJ156" s="1867">
        <f t="shared" ca="1" si="49"/>
        <v>0</v>
      </c>
      <c r="AK156" s="1867">
        <f t="shared" ca="1" si="49"/>
        <v>0</v>
      </c>
      <c r="AL156" s="1867">
        <f t="shared" ca="1" si="49"/>
        <v>0</v>
      </c>
      <c r="AM156" s="1867">
        <f t="shared" ca="1" si="60"/>
        <v>1</v>
      </c>
      <c r="AN156" s="1868" t="s">
        <v>1585</v>
      </c>
      <c r="AO156" s="1867">
        <f t="shared" ca="1" si="61"/>
        <v>1</v>
      </c>
    </row>
    <row r="157" spans="1:41" ht="13.8" outlineLevel="1">
      <c r="A157" s="1842">
        <f>ROW()</f>
        <v>157</v>
      </c>
      <c r="B157" s="1925"/>
      <c r="D157" s="1870" t="s">
        <v>1726</v>
      </c>
      <c r="E157" s="1950">
        <v>0</v>
      </c>
      <c r="F157" s="1950">
        <v>0</v>
      </c>
      <c r="G157" s="1950">
        <v>0</v>
      </c>
      <c r="H157" s="1950">
        <v>0</v>
      </c>
      <c r="I157" s="1950">
        <v>0</v>
      </c>
      <c r="J157" s="1950">
        <v>0</v>
      </c>
      <c r="K157" s="1950">
        <v>0</v>
      </c>
      <c r="L157" s="1950">
        <v>0</v>
      </c>
      <c r="M157" s="1950">
        <v>0</v>
      </c>
      <c r="N157" s="1950">
        <v>0</v>
      </c>
      <c r="O157" s="1927"/>
      <c r="P157" s="1987"/>
      <c r="Q157" s="1866" t="s">
        <v>1727</v>
      </c>
      <c r="S157" s="1931">
        <f t="shared" si="68"/>
        <v>0</v>
      </c>
      <c r="T157" s="1931">
        <f t="shared" si="68"/>
        <v>0</v>
      </c>
      <c r="U157" s="1931">
        <f t="shared" si="68"/>
        <v>0</v>
      </c>
      <c r="V157" s="1931">
        <f t="shared" si="68"/>
        <v>0</v>
      </c>
      <c r="W157" s="1931">
        <f t="shared" si="68"/>
        <v>0</v>
      </c>
      <c r="X157" s="1931">
        <f t="shared" si="68"/>
        <v>0</v>
      </c>
      <c r="AC157" s="1867">
        <f t="shared" ca="1" si="50"/>
        <v>1</v>
      </c>
      <c r="AD157" s="1867">
        <f t="shared" ca="1" si="50"/>
        <v>1</v>
      </c>
      <c r="AE157" s="1867">
        <f t="shared" ca="1" si="50"/>
        <v>1</v>
      </c>
      <c r="AF157" s="1867">
        <f t="shared" ca="1" si="50"/>
        <v>1</v>
      </c>
      <c r="AG157" s="1867">
        <f t="shared" ca="1" si="50"/>
        <v>0</v>
      </c>
      <c r="AH157" s="1867">
        <f t="shared" ca="1" si="50"/>
        <v>0</v>
      </c>
      <c r="AI157" s="1867">
        <f t="shared" ca="1" si="49"/>
        <v>0</v>
      </c>
      <c r="AJ157" s="1867">
        <f t="shared" ca="1" si="49"/>
        <v>0</v>
      </c>
      <c r="AK157" s="1867">
        <f t="shared" ca="1" si="49"/>
        <v>0</v>
      </c>
      <c r="AL157" s="1867">
        <f t="shared" ca="1" si="49"/>
        <v>0</v>
      </c>
      <c r="AM157" s="1867">
        <f t="shared" ca="1" si="60"/>
        <v>1</v>
      </c>
      <c r="AN157" s="1868" t="s">
        <v>1585</v>
      </c>
      <c r="AO157" s="1867">
        <f t="shared" ca="1" si="61"/>
        <v>1</v>
      </c>
    </row>
    <row r="158" spans="1:41" ht="14.4" outlineLevel="1">
      <c r="A158" s="1842">
        <f>ROW()</f>
        <v>158</v>
      </c>
      <c r="B158" s="1925"/>
      <c r="D158" s="1979" t="s">
        <v>1728</v>
      </c>
      <c r="E158" s="1934">
        <f>SUM(E154:E157)+E149</f>
        <v>149671.66918711775</v>
      </c>
      <c r="F158" s="1934">
        <f t="shared" ref="F158:J158" si="69">SUM(F154:F157)+F149</f>
        <v>112253.75189033832</v>
      </c>
      <c r="G158" s="1934">
        <f t="shared" si="69"/>
        <v>74835.834593558873</v>
      </c>
      <c r="H158" s="1934">
        <f t="shared" si="69"/>
        <v>37417.917296779437</v>
      </c>
      <c r="I158" s="1934">
        <f t="shared" si="69"/>
        <v>1</v>
      </c>
      <c r="J158" s="1934">
        <f t="shared" si="69"/>
        <v>1</v>
      </c>
      <c r="K158" s="1934">
        <f t="shared" ref="K158:L158" si="70">SUM(K154:K157)+K149</f>
        <v>0</v>
      </c>
      <c r="L158" s="1934">
        <f t="shared" si="70"/>
        <v>0</v>
      </c>
      <c r="M158" s="1934">
        <f t="shared" ref="M158:N158" si="71">SUM(M154:M157)+M149</f>
        <v>0</v>
      </c>
      <c r="N158" s="1934">
        <f t="shared" si="71"/>
        <v>0</v>
      </c>
      <c r="O158" s="1927"/>
      <c r="P158" s="1913"/>
      <c r="Q158" s="1866"/>
      <c r="S158" s="1943">
        <f t="shared" si="68"/>
        <v>0.36473295259027172</v>
      </c>
      <c r="T158" s="1943">
        <f t="shared" si="68"/>
        <v>7.8536661333014027E-2</v>
      </c>
      <c r="U158" s="1943">
        <f t="shared" si="68"/>
        <v>3.0362646709954019E-2</v>
      </c>
      <c r="V158" s="1943">
        <f t="shared" si="68"/>
        <v>9.229158477788121E-3</v>
      </c>
      <c r="W158" s="1943">
        <f t="shared" si="68"/>
        <v>1.6857077304471321E-7</v>
      </c>
      <c r="X158" s="1943">
        <f t="shared" si="68"/>
        <v>1.2983659388891346E-7</v>
      </c>
      <c r="AC158" s="1867">
        <f t="shared" ca="1" si="50"/>
        <v>1</v>
      </c>
      <c r="AD158" s="1867">
        <f t="shared" ca="1" si="50"/>
        <v>1</v>
      </c>
      <c r="AE158" s="1867">
        <f t="shared" ca="1" si="50"/>
        <v>1</v>
      </c>
      <c r="AF158" s="1867">
        <f t="shared" ca="1" si="50"/>
        <v>1</v>
      </c>
      <c r="AG158" s="1867">
        <f t="shared" ca="1" si="50"/>
        <v>1</v>
      </c>
      <c r="AH158" s="1867">
        <f t="shared" ca="1" si="50"/>
        <v>1</v>
      </c>
      <c r="AI158" s="1867">
        <f t="shared" ca="1" si="49"/>
        <v>1</v>
      </c>
      <c r="AJ158" s="1867">
        <f t="shared" ca="1" si="49"/>
        <v>1</v>
      </c>
      <c r="AK158" s="1867">
        <f t="shared" ca="1" si="49"/>
        <v>1</v>
      </c>
      <c r="AL158" s="1867">
        <f t="shared" ca="1" si="49"/>
        <v>1</v>
      </c>
      <c r="AM158" s="1867">
        <f t="shared" ca="1" si="60"/>
        <v>1</v>
      </c>
      <c r="AN158" s="1868" t="s">
        <v>1585</v>
      </c>
      <c r="AO158" s="1867">
        <f t="shared" ca="1" si="61"/>
        <v>1</v>
      </c>
    </row>
    <row r="159" spans="1:41" ht="14.4" outlineLevel="1">
      <c r="A159" s="1842">
        <f>ROW()</f>
        <v>159</v>
      </c>
      <c r="B159" s="1925"/>
      <c r="D159" s="1979" t="s">
        <v>1729</v>
      </c>
      <c r="E159" s="1988">
        <f t="shared" ref="E159:N159" si="72">+E158-E157-E155</f>
        <v>149671.66918711775</v>
      </c>
      <c r="F159" s="1988">
        <f t="shared" si="72"/>
        <v>112253.75189033832</v>
      </c>
      <c r="G159" s="1988">
        <f t="shared" si="72"/>
        <v>74835.834593558873</v>
      </c>
      <c r="H159" s="1988">
        <f t="shared" si="72"/>
        <v>37417.917296779437</v>
      </c>
      <c r="I159" s="1988">
        <f t="shared" si="72"/>
        <v>1</v>
      </c>
      <c r="J159" s="1988">
        <f t="shared" si="72"/>
        <v>1</v>
      </c>
      <c r="K159" s="1988">
        <f t="shared" si="72"/>
        <v>0</v>
      </c>
      <c r="L159" s="1988">
        <f t="shared" si="72"/>
        <v>0</v>
      </c>
      <c r="M159" s="1988">
        <f t="shared" si="72"/>
        <v>0</v>
      </c>
      <c r="N159" s="1988">
        <f t="shared" si="72"/>
        <v>0</v>
      </c>
      <c r="O159" s="1927"/>
      <c r="P159" s="1913"/>
      <c r="Q159" s="1866" t="s">
        <v>1730</v>
      </c>
      <c r="S159" s="1931">
        <f t="shared" si="68"/>
        <v>0.36473295259027172</v>
      </c>
      <c r="T159" s="1931">
        <f t="shared" si="68"/>
        <v>7.8536661333014027E-2</v>
      </c>
      <c r="U159" s="1931">
        <f t="shared" si="68"/>
        <v>3.0362646709954019E-2</v>
      </c>
      <c r="V159" s="1931">
        <f t="shared" si="68"/>
        <v>9.229158477788121E-3</v>
      </c>
      <c r="W159" s="1931">
        <f t="shared" si="68"/>
        <v>1.6857077304471321E-7</v>
      </c>
      <c r="X159" s="1931">
        <f t="shared" si="68"/>
        <v>1.2983659388891346E-7</v>
      </c>
      <c r="AC159" s="1867">
        <f t="shared" ca="1" si="50"/>
        <v>1</v>
      </c>
      <c r="AD159" s="1867">
        <f t="shared" ca="1" si="50"/>
        <v>1</v>
      </c>
      <c r="AE159" s="1867">
        <f t="shared" ca="1" si="50"/>
        <v>1</v>
      </c>
      <c r="AF159" s="1867">
        <f t="shared" ca="1" si="50"/>
        <v>1</v>
      </c>
      <c r="AG159" s="1867">
        <f t="shared" ca="1" si="50"/>
        <v>1</v>
      </c>
      <c r="AH159" s="1867">
        <f t="shared" ca="1" si="50"/>
        <v>1</v>
      </c>
      <c r="AI159" s="1867">
        <f t="shared" ca="1" si="49"/>
        <v>1</v>
      </c>
      <c r="AJ159" s="1867">
        <f t="shared" ca="1" si="49"/>
        <v>1</v>
      </c>
      <c r="AK159" s="1867">
        <f t="shared" ca="1" si="49"/>
        <v>1</v>
      </c>
      <c r="AL159" s="1867">
        <f t="shared" ca="1" si="49"/>
        <v>1</v>
      </c>
      <c r="AM159" s="1867">
        <f t="shared" ca="1" si="60"/>
        <v>1</v>
      </c>
      <c r="AN159" s="1868" t="s">
        <v>1585</v>
      </c>
      <c r="AO159" s="1867">
        <f t="shared" ca="1" si="61"/>
        <v>1</v>
      </c>
    </row>
    <row r="160" spans="1:41" ht="14.4" outlineLevel="1">
      <c r="A160" s="1842">
        <f>ROW()</f>
        <v>160</v>
      </c>
      <c r="B160" s="1925"/>
      <c r="D160" s="1977" t="s">
        <v>1731</v>
      </c>
      <c r="E160" s="1934">
        <f t="shared" ref="E160:N160" si="73">+E134-E158</f>
        <v>260687.93260968968</v>
      </c>
      <c r="F160" s="1934">
        <f t="shared" si="73"/>
        <v>1317062.8244071421</v>
      </c>
      <c r="G160" s="1934">
        <f t="shared" si="73"/>
        <v>2389897.7345331693</v>
      </c>
      <c r="H160" s="1934">
        <f t="shared" si="73"/>
        <v>4016897.2607157547</v>
      </c>
      <c r="I160" s="1934">
        <f t="shared" si="73"/>
        <v>5932225.4585851496</v>
      </c>
      <c r="J160" s="1934">
        <f t="shared" si="73"/>
        <v>7701987.8619042737</v>
      </c>
      <c r="K160" s="1934">
        <f t="shared" si="73"/>
        <v>0</v>
      </c>
      <c r="L160" s="1934">
        <f t="shared" si="73"/>
        <v>0</v>
      </c>
      <c r="M160" s="1934">
        <f t="shared" si="73"/>
        <v>0</v>
      </c>
      <c r="N160" s="1934">
        <f t="shared" si="73"/>
        <v>0</v>
      </c>
      <c r="O160" s="1927"/>
      <c r="P160" s="1913"/>
      <c r="Q160" s="1866"/>
      <c r="S160" s="1931"/>
      <c r="T160" s="1931"/>
      <c r="U160" s="1931"/>
      <c r="V160" s="1931"/>
      <c r="W160" s="1931"/>
      <c r="X160" s="1931"/>
      <c r="AC160" s="1867">
        <f t="shared" ca="1" si="50"/>
        <v>1</v>
      </c>
      <c r="AD160" s="1867">
        <f t="shared" ca="1" si="50"/>
        <v>1</v>
      </c>
      <c r="AE160" s="1867">
        <f t="shared" ca="1" si="50"/>
        <v>1</v>
      </c>
      <c r="AF160" s="1867">
        <f t="shared" ca="1" si="50"/>
        <v>1</v>
      </c>
      <c r="AG160" s="1867">
        <f t="shared" ca="1" si="50"/>
        <v>1</v>
      </c>
      <c r="AH160" s="1867">
        <f t="shared" ca="1" si="50"/>
        <v>1</v>
      </c>
      <c r="AI160" s="1867">
        <f t="shared" ca="1" si="49"/>
        <v>1</v>
      </c>
      <c r="AJ160" s="1867">
        <f t="shared" ca="1" si="49"/>
        <v>1</v>
      </c>
      <c r="AK160" s="1867">
        <f t="shared" ca="1" si="49"/>
        <v>1</v>
      </c>
      <c r="AL160" s="1867">
        <f t="shared" ca="1" si="49"/>
        <v>1</v>
      </c>
      <c r="AM160" s="1867">
        <f t="shared" ca="1" si="60"/>
        <v>1</v>
      </c>
      <c r="AN160" s="1868" t="s">
        <v>1585</v>
      </c>
      <c r="AO160" s="1867">
        <f t="shared" ca="1" si="61"/>
        <v>1</v>
      </c>
    </row>
    <row r="161" spans="1:41" ht="13.8" outlineLevel="1">
      <c r="A161" s="1842">
        <f>ROW()</f>
        <v>161</v>
      </c>
      <c r="B161" s="1925"/>
      <c r="D161" s="1980" t="s">
        <v>1732</v>
      </c>
      <c r="E161" s="2248"/>
      <c r="F161" s="2248"/>
      <c r="G161" s="2248"/>
      <c r="H161" s="2248"/>
      <c r="I161" s="2248"/>
      <c r="J161" s="2248"/>
      <c r="K161" s="2248"/>
      <c r="L161" s="2248"/>
      <c r="M161" s="2248"/>
      <c r="N161" s="2248"/>
      <c r="O161" s="1927"/>
      <c r="P161" s="1913"/>
      <c r="Q161" s="1866"/>
      <c r="S161" s="1931"/>
      <c r="T161" s="1931"/>
      <c r="U161" s="1931"/>
      <c r="V161" s="1931"/>
      <c r="W161" s="1931"/>
      <c r="X161" s="1931"/>
      <c r="AC161" s="1867"/>
      <c r="AD161" s="1867"/>
      <c r="AE161" s="1867"/>
      <c r="AF161" s="1867"/>
      <c r="AG161" s="1867"/>
      <c r="AH161" s="1867"/>
      <c r="AI161" s="1867"/>
      <c r="AJ161" s="1867"/>
      <c r="AK161" s="1867"/>
      <c r="AL161" s="1867"/>
      <c r="AM161" s="1867"/>
      <c r="AN161" s="1868"/>
      <c r="AO161" s="1867"/>
    </row>
    <row r="162" spans="1:41" ht="14.4" outlineLevel="1">
      <c r="A162" s="1842">
        <f>ROW()</f>
        <v>162</v>
      </c>
      <c r="B162" s="1925"/>
      <c r="D162" s="1977"/>
      <c r="E162" s="1938"/>
      <c r="F162" s="1938"/>
      <c r="G162" s="1938"/>
      <c r="H162" s="1938"/>
      <c r="I162" s="1938"/>
      <c r="J162" s="1938"/>
      <c r="K162" s="1938"/>
      <c r="L162" s="1938"/>
      <c r="M162" s="1938"/>
      <c r="N162" s="1938"/>
      <c r="O162" s="1927"/>
      <c r="P162" s="1913"/>
      <c r="Q162" s="1866"/>
      <c r="S162" s="1931"/>
      <c r="T162" s="1931"/>
      <c r="U162" s="1931"/>
      <c r="V162" s="1931"/>
      <c r="W162" s="1931"/>
      <c r="X162" s="1931"/>
      <c r="AC162" s="1867"/>
      <c r="AD162" s="1867"/>
      <c r="AE162" s="1867"/>
      <c r="AF162" s="1867"/>
      <c r="AG162" s="1867"/>
      <c r="AH162" s="1867"/>
      <c r="AI162" s="1867"/>
      <c r="AJ162" s="1867"/>
      <c r="AK162" s="1867"/>
      <c r="AL162" s="1867"/>
      <c r="AM162" s="1867"/>
      <c r="AN162" s="1868"/>
      <c r="AO162" s="1867"/>
    </row>
    <row r="163" spans="1:41" ht="14.4" outlineLevel="1">
      <c r="A163" s="1842">
        <f>ROW()</f>
        <v>163</v>
      </c>
      <c r="B163" s="1925"/>
      <c r="D163" s="1989" t="s">
        <v>1648</v>
      </c>
      <c r="E163" s="1990">
        <v>0</v>
      </c>
      <c r="F163" s="1990">
        <v>0</v>
      </c>
      <c r="G163" s="1990">
        <v>0</v>
      </c>
      <c r="H163" s="1990">
        <v>0</v>
      </c>
      <c r="I163" s="1990">
        <v>0</v>
      </c>
      <c r="J163" s="1990">
        <v>0</v>
      </c>
      <c r="K163" s="1990">
        <v>0</v>
      </c>
      <c r="L163" s="1990">
        <v>0</v>
      </c>
      <c r="M163" s="1990">
        <v>0</v>
      </c>
      <c r="N163" s="1990">
        <v>0</v>
      </c>
      <c r="O163" s="1927"/>
      <c r="P163" s="1913"/>
      <c r="Q163" s="1866" t="s">
        <v>1681</v>
      </c>
      <c r="S163" s="1943">
        <f t="shared" ref="S163:X163" si="74">IFERROR(E163/E$134,0)</f>
        <v>0</v>
      </c>
      <c r="T163" s="1943">
        <f t="shared" si="74"/>
        <v>0</v>
      </c>
      <c r="U163" s="1943">
        <f t="shared" si="74"/>
        <v>0</v>
      </c>
      <c r="V163" s="1943">
        <f t="shared" si="74"/>
        <v>0</v>
      </c>
      <c r="W163" s="1943">
        <f t="shared" si="74"/>
        <v>0</v>
      </c>
      <c r="X163" s="1943">
        <f t="shared" si="74"/>
        <v>0</v>
      </c>
      <c r="AC163" s="1867">
        <f t="shared" ca="1" si="50"/>
        <v>1</v>
      </c>
      <c r="AD163" s="1867">
        <f t="shared" ca="1" si="50"/>
        <v>1</v>
      </c>
      <c r="AE163" s="1867">
        <f t="shared" ca="1" si="50"/>
        <v>1</v>
      </c>
      <c r="AF163" s="1867">
        <f t="shared" ca="1" si="50"/>
        <v>1</v>
      </c>
      <c r="AG163" s="1867">
        <f t="shared" ca="1" si="50"/>
        <v>0</v>
      </c>
      <c r="AH163" s="1867">
        <f t="shared" ca="1" si="50"/>
        <v>0</v>
      </c>
      <c r="AI163" s="1867">
        <f t="shared" ca="1" si="49"/>
        <v>0</v>
      </c>
      <c r="AJ163" s="1867">
        <f t="shared" ca="1" si="49"/>
        <v>0</v>
      </c>
      <c r="AK163" s="1867">
        <f t="shared" ca="1" si="49"/>
        <v>0</v>
      </c>
      <c r="AL163" s="1867">
        <f t="shared" ca="1" si="49"/>
        <v>0</v>
      </c>
      <c r="AM163" s="1867">
        <f t="shared" ca="1" si="60"/>
        <v>1</v>
      </c>
      <c r="AN163" s="1868" t="s">
        <v>1585</v>
      </c>
      <c r="AO163" s="1867">
        <f t="shared" ca="1" si="61"/>
        <v>1</v>
      </c>
    </row>
    <row r="164" spans="1:41" outlineLevel="1">
      <c r="A164" s="1842">
        <f>ROW()</f>
        <v>164</v>
      </c>
      <c r="E164" s="1869"/>
      <c r="F164" s="1869"/>
      <c r="G164" s="1866"/>
      <c r="H164" s="1866"/>
      <c r="I164" s="1866"/>
      <c r="J164" s="1866"/>
      <c r="K164" s="1866"/>
      <c r="L164" s="1866"/>
      <c r="M164" s="1866"/>
      <c r="N164" s="1866"/>
      <c r="P164" s="1913"/>
      <c r="AC164" s="1867">
        <f t="shared" ca="1" si="50"/>
        <v>1</v>
      </c>
      <c r="AD164" s="1867">
        <f t="shared" ca="1" si="50"/>
        <v>1</v>
      </c>
      <c r="AE164" s="1867">
        <f t="shared" ca="1" si="50"/>
        <v>1</v>
      </c>
      <c r="AF164" s="1867">
        <f t="shared" ca="1" si="50"/>
        <v>1</v>
      </c>
      <c r="AG164" s="1867">
        <f t="shared" ca="1" si="50"/>
        <v>1</v>
      </c>
      <c r="AH164" s="1867">
        <f t="shared" ca="1" si="50"/>
        <v>1</v>
      </c>
      <c r="AI164" s="1867">
        <f t="shared" ca="1" si="49"/>
        <v>1</v>
      </c>
      <c r="AJ164" s="1867">
        <f t="shared" ca="1" si="49"/>
        <v>1</v>
      </c>
      <c r="AK164" s="1867">
        <f t="shared" ca="1" si="49"/>
        <v>1</v>
      </c>
      <c r="AL164" s="1867">
        <f t="shared" ca="1" si="49"/>
        <v>1</v>
      </c>
      <c r="AM164" s="1867">
        <f t="shared" ca="1" si="60"/>
        <v>1</v>
      </c>
      <c r="AN164" s="1868" t="s">
        <v>1585</v>
      </c>
      <c r="AO164" s="1867">
        <f t="shared" ca="1" si="61"/>
        <v>1</v>
      </c>
    </row>
    <row r="165" spans="1:41" ht="14.4" outlineLevel="1">
      <c r="A165" s="1842">
        <f>ROW()</f>
        <v>165</v>
      </c>
      <c r="D165" s="1982" t="s">
        <v>1733</v>
      </c>
      <c r="E165" s="1934">
        <f>+E158+E163</f>
        <v>149671.66918711775</v>
      </c>
      <c r="F165" s="1934">
        <f t="shared" ref="F165:N165" si="75">+F158+F163</f>
        <v>112253.75189033832</v>
      </c>
      <c r="G165" s="1934">
        <f t="shared" si="75"/>
        <v>74835.834593558873</v>
      </c>
      <c r="H165" s="1934">
        <f t="shared" si="75"/>
        <v>37417.917296779437</v>
      </c>
      <c r="I165" s="1934">
        <f t="shared" si="75"/>
        <v>1</v>
      </c>
      <c r="J165" s="1934">
        <f t="shared" si="75"/>
        <v>1</v>
      </c>
      <c r="K165" s="1934">
        <f t="shared" si="75"/>
        <v>0</v>
      </c>
      <c r="L165" s="1934">
        <f t="shared" si="75"/>
        <v>0</v>
      </c>
      <c r="M165" s="1934">
        <f t="shared" si="75"/>
        <v>0</v>
      </c>
      <c r="N165" s="1934">
        <f t="shared" si="75"/>
        <v>0</v>
      </c>
      <c r="P165" s="1913"/>
      <c r="AC165" s="1867"/>
      <c r="AD165" s="1867"/>
      <c r="AE165" s="1867"/>
      <c r="AF165" s="1867"/>
      <c r="AG165" s="1867"/>
      <c r="AH165" s="1867"/>
      <c r="AI165" s="1867"/>
      <c r="AJ165" s="1867"/>
      <c r="AK165" s="1867"/>
      <c r="AL165" s="1867"/>
      <c r="AM165" s="1867"/>
      <c r="AN165" s="1868"/>
      <c r="AO165" s="1867"/>
    </row>
    <row r="166" spans="1:41" ht="14.4" outlineLevel="1">
      <c r="A166" s="1842">
        <f>ROW()</f>
        <v>166</v>
      </c>
      <c r="D166" s="1982" t="s">
        <v>1734</v>
      </c>
      <c r="E166" s="1934">
        <f>+E165-E157</f>
        <v>149671.66918711775</v>
      </c>
      <c r="F166" s="1934">
        <f t="shared" ref="F166:N166" si="76">+F165-F157</f>
        <v>112253.75189033832</v>
      </c>
      <c r="G166" s="1934">
        <f t="shared" si="76"/>
        <v>74835.834593558873</v>
      </c>
      <c r="H166" s="1934">
        <f t="shared" si="76"/>
        <v>37417.917296779437</v>
      </c>
      <c r="I166" s="1934">
        <f t="shared" si="76"/>
        <v>1</v>
      </c>
      <c r="J166" s="1934">
        <f t="shared" si="76"/>
        <v>1</v>
      </c>
      <c r="K166" s="1934">
        <f t="shared" si="76"/>
        <v>0</v>
      </c>
      <c r="L166" s="1934">
        <f t="shared" si="76"/>
        <v>0</v>
      </c>
      <c r="M166" s="1934">
        <f t="shared" si="76"/>
        <v>0</v>
      </c>
      <c r="N166" s="1934">
        <f t="shared" si="76"/>
        <v>0</v>
      </c>
      <c r="P166" s="1913"/>
      <c r="AC166" s="1867"/>
      <c r="AD166" s="1867"/>
      <c r="AE166" s="1867"/>
      <c r="AF166" s="1867"/>
      <c r="AG166" s="1867"/>
      <c r="AH166" s="1867"/>
      <c r="AI166" s="1867"/>
      <c r="AJ166" s="1867"/>
      <c r="AK166" s="1867"/>
      <c r="AL166" s="1867"/>
      <c r="AM166" s="1867"/>
      <c r="AN166" s="1868"/>
      <c r="AO166" s="1867"/>
    </row>
    <row r="167" spans="1:41" outlineLevel="1">
      <c r="A167" s="1842">
        <f>ROW()</f>
        <v>167</v>
      </c>
      <c r="E167" s="1869"/>
      <c r="F167" s="1869"/>
      <c r="G167" s="1866"/>
      <c r="H167" s="1866"/>
      <c r="I167" s="1866"/>
      <c r="J167" s="1866"/>
      <c r="K167" s="1866"/>
      <c r="L167" s="1866"/>
      <c r="M167" s="1866"/>
      <c r="N167" s="1866"/>
      <c r="P167" s="1913"/>
      <c r="AC167" s="1867"/>
      <c r="AD167" s="1867"/>
      <c r="AE167" s="1867"/>
      <c r="AF167" s="1867"/>
      <c r="AG167" s="1867"/>
      <c r="AH167" s="1867"/>
      <c r="AI167" s="1867"/>
      <c r="AJ167" s="1867"/>
      <c r="AK167" s="1867"/>
      <c r="AL167" s="1867"/>
      <c r="AM167" s="1867"/>
      <c r="AN167" s="1868"/>
      <c r="AO167" s="1867"/>
    </row>
    <row r="168" spans="1:41" ht="14.4" outlineLevel="1">
      <c r="A168" s="1960">
        <f>ROW()</f>
        <v>168</v>
      </c>
      <c r="B168" s="1925"/>
      <c r="D168" s="1985" t="s">
        <v>1735</v>
      </c>
      <c r="E168" s="1869"/>
      <c r="F168" s="1869"/>
      <c r="G168" s="1866"/>
      <c r="H168" s="1866"/>
      <c r="I168" s="1866"/>
      <c r="J168" s="1866"/>
      <c r="K168" s="1866"/>
      <c r="L168" s="1866"/>
      <c r="M168" s="1866"/>
      <c r="N168" s="1866"/>
      <c r="O168" s="1955"/>
      <c r="P168" s="1913"/>
      <c r="Q168" s="1866"/>
      <c r="AC168" s="1867">
        <f t="shared" ref="AC168:AL170" ca="1" si="77">CELL("protect",A168)</f>
        <v>1</v>
      </c>
      <c r="AD168" s="1867">
        <f t="shared" ca="1" si="77"/>
        <v>1</v>
      </c>
      <c r="AE168" s="1867">
        <f t="shared" ca="1" si="77"/>
        <v>1</v>
      </c>
      <c r="AF168" s="1867">
        <f t="shared" ca="1" si="77"/>
        <v>1</v>
      </c>
      <c r="AG168" s="1867">
        <f t="shared" ca="1" si="77"/>
        <v>1</v>
      </c>
      <c r="AH168" s="1867">
        <f t="shared" ca="1" si="77"/>
        <v>1</v>
      </c>
      <c r="AI168" s="1867">
        <f t="shared" ca="1" si="77"/>
        <v>1</v>
      </c>
      <c r="AJ168" s="1867">
        <f t="shared" ca="1" si="77"/>
        <v>1</v>
      </c>
      <c r="AK168" s="1867">
        <f t="shared" ca="1" si="77"/>
        <v>1</v>
      </c>
      <c r="AL168" s="1867">
        <f t="shared" ca="1" si="77"/>
        <v>1</v>
      </c>
      <c r="AM168" s="1867">
        <f ca="1">CELL("protect",O168)</f>
        <v>1</v>
      </c>
      <c r="AN168" s="1868" t="s">
        <v>1585</v>
      </c>
      <c r="AO168" s="1867">
        <f ca="1">CELL("protect",P168)</f>
        <v>1</v>
      </c>
    </row>
    <row r="169" spans="1:41" outlineLevel="1">
      <c r="A169" s="1960">
        <f>ROW()</f>
        <v>169</v>
      </c>
      <c r="B169" s="1925"/>
      <c r="D169" s="1866" t="s">
        <v>1736</v>
      </c>
      <c r="E169" s="1978">
        <v>0</v>
      </c>
      <c r="F169" s="1978">
        <f t="shared" ref="F169:N169" si="78">IF(F30=0,0,E171)</f>
        <v>458092.15679680742</v>
      </c>
      <c r="G169" s="1978">
        <f t="shared" si="78"/>
        <v>1543453.1829519253</v>
      </c>
      <c r="H169" s="1978">
        <f t="shared" si="78"/>
        <v>2656585.9277665066</v>
      </c>
      <c r="I169" s="1978">
        <f t="shared" si="78"/>
        <v>4335194.9889685353</v>
      </c>
      <c r="J169" s="1978">
        <f t="shared" si="78"/>
        <v>6306061.259688261</v>
      </c>
      <c r="K169" s="1978">
        <f t="shared" si="78"/>
        <v>0</v>
      </c>
      <c r="L169" s="1978">
        <f t="shared" si="78"/>
        <v>0</v>
      </c>
      <c r="M169" s="1978">
        <f t="shared" si="78"/>
        <v>0</v>
      </c>
      <c r="N169" s="1978">
        <f t="shared" si="78"/>
        <v>0</v>
      </c>
      <c r="O169" s="1955"/>
      <c r="P169" s="1913"/>
      <c r="Q169" s="1866"/>
      <c r="AC169" s="1867">
        <f t="shared" ca="1" si="77"/>
        <v>1</v>
      </c>
      <c r="AD169" s="1867">
        <f t="shared" ca="1" si="77"/>
        <v>1</v>
      </c>
      <c r="AE169" s="1867">
        <f t="shared" ca="1" si="77"/>
        <v>1</v>
      </c>
      <c r="AF169" s="1867">
        <f t="shared" ca="1" si="77"/>
        <v>1</v>
      </c>
      <c r="AG169" s="1867">
        <f t="shared" ca="1" si="77"/>
        <v>0</v>
      </c>
      <c r="AH169" s="1867">
        <f t="shared" ca="1" si="77"/>
        <v>0</v>
      </c>
      <c r="AI169" s="1867">
        <f t="shared" ca="1" si="77"/>
        <v>0</v>
      </c>
      <c r="AJ169" s="1867">
        <f t="shared" ca="1" si="77"/>
        <v>0</v>
      </c>
      <c r="AK169" s="1867">
        <f t="shared" ca="1" si="77"/>
        <v>0</v>
      </c>
      <c r="AL169" s="1867">
        <f t="shared" ca="1" si="77"/>
        <v>0</v>
      </c>
      <c r="AM169" s="1867">
        <f ca="1">CELL("protect",O169)</f>
        <v>1</v>
      </c>
      <c r="AN169" s="1868" t="s">
        <v>1585</v>
      </c>
      <c r="AO169" s="1867">
        <f ca="1">CELL("protect",P169)</f>
        <v>1</v>
      </c>
    </row>
    <row r="170" spans="1:41" outlineLevel="1">
      <c r="A170" s="1960">
        <f>ROW()</f>
        <v>170</v>
      </c>
      <c r="B170" s="1925"/>
      <c r="D170" s="1948" t="s">
        <v>1737</v>
      </c>
      <c r="E170" s="1991">
        <f t="shared" ref="E170:N170" si="79">E86</f>
        <v>458092.15679680742</v>
      </c>
      <c r="F170" s="1991">
        <f t="shared" si="79"/>
        <v>1085361.0261551179</v>
      </c>
      <c r="G170" s="1991">
        <f t="shared" si="79"/>
        <v>1113132.7448145812</v>
      </c>
      <c r="H170" s="1991">
        <f t="shared" si="79"/>
        <v>1678609.0612020288</v>
      </c>
      <c r="I170" s="1991">
        <f t="shared" si="79"/>
        <v>1970866.2707197256</v>
      </c>
      <c r="J170" s="1991">
        <f t="shared" si="79"/>
        <v>1865545.3185489587</v>
      </c>
      <c r="K170" s="1991">
        <f t="shared" si="79"/>
        <v>0</v>
      </c>
      <c r="L170" s="1991">
        <f t="shared" si="79"/>
        <v>0</v>
      </c>
      <c r="M170" s="1991">
        <f t="shared" si="79"/>
        <v>0</v>
      </c>
      <c r="N170" s="1991">
        <f t="shared" si="79"/>
        <v>0</v>
      </c>
      <c r="O170" s="1955"/>
      <c r="P170" s="1913"/>
      <c r="Q170" s="1866"/>
      <c r="AC170" s="1867">
        <f t="shared" ca="1" si="77"/>
        <v>1</v>
      </c>
      <c r="AD170" s="1867">
        <f t="shared" ca="1" si="77"/>
        <v>1</v>
      </c>
      <c r="AE170" s="1867">
        <f t="shared" ca="1" si="77"/>
        <v>1</v>
      </c>
      <c r="AF170" s="1867">
        <f t="shared" ca="1" si="77"/>
        <v>1</v>
      </c>
      <c r="AG170" s="1867">
        <f t="shared" ca="1" si="77"/>
        <v>0</v>
      </c>
      <c r="AH170" s="1867">
        <f t="shared" ca="1" si="77"/>
        <v>0</v>
      </c>
      <c r="AI170" s="1867">
        <f t="shared" ca="1" si="77"/>
        <v>0</v>
      </c>
      <c r="AJ170" s="1867">
        <f t="shared" ca="1" si="77"/>
        <v>0</v>
      </c>
      <c r="AK170" s="1867">
        <f t="shared" ca="1" si="77"/>
        <v>0</v>
      </c>
      <c r="AL170" s="1867">
        <f t="shared" ca="1" si="77"/>
        <v>0</v>
      </c>
      <c r="AM170" s="1867">
        <f ca="1">CELL("protect",O170)</f>
        <v>1</v>
      </c>
      <c r="AN170" s="1868" t="s">
        <v>1585</v>
      </c>
      <c r="AO170" s="1867">
        <f ca="1">CELL("protect",P170)</f>
        <v>1</v>
      </c>
    </row>
    <row r="171" spans="1:41" outlineLevel="1">
      <c r="A171" s="1960">
        <f>ROW()</f>
        <v>171</v>
      </c>
      <c r="B171" s="1925"/>
      <c r="D171" s="1948" t="s">
        <v>1738</v>
      </c>
      <c r="E171" s="1992">
        <f>+E169+E170</f>
        <v>458092.15679680742</v>
      </c>
      <c r="F171" s="1992">
        <f t="shared" ref="F171:N171" si="80">+F169+F170</f>
        <v>1543453.1829519253</v>
      </c>
      <c r="G171" s="1992">
        <f t="shared" si="80"/>
        <v>2656585.9277665066</v>
      </c>
      <c r="H171" s="1992">
        <f t="shared" si="80"/>
        <v>4335194.9889685353</v>
      </c>
      <c r="I171" s="1992">
        <f>+I169+I170</f>
        <v>6306061.259688261</v>
      </c>
      <c r="J171" s="1992">
        <f t="shared" si="80"/>
        <v>8171606.5782372197</v>
      </c>
      <c r="K171" s="1992">
        <f t="shared" si="80"/>
        <v>0</v>
      </c>
      <c r="L171" s="1992">
        <f t="shared" si="80"/>
        <v>0</v>
      </c>
      <c r="M171" s="1992">
        <f t="shared" si="80"/>
        <v>0</v>
      </c>
      <c r="N171" s="1992">
        <f t="shared" si="80"/>
        <v>0</v>
      </c>
      <c r="O171" s="1955"/>
      <c r="P171" s="1913"/>
      <c r="Q171" s="1866"/>
      <c r="AC171" s="1867"/>
      <c r="AD171" s="1867"/>
      <c r="AE171" s="1867"/>
      <c r="AF171" s="1867"/>
      <c r="AG171" s="1867"/>
      <c r="AH171" s="1867"/>
      <c r="AI171" s="1867"/>
      <c r="AJ171" s="1867"/>
      <c r="AK171" s="1867"/>
      <c r="AL171" s="1867"/>
      <c r="AM171" s="1867"/>
      <c r="AN171" s="1868"/>
      <c r="AO171" s="1867"/>
    </row>
    <row r="172" spans="1:41" outlineLevel="1">
      <c r="A172" s="1960">
        <f>ROW()</f>
        <v>172</v>
      </c>
      <c r="B172" s="1925"/>
      <c r="D172" s="1948" t="s">
        <v>1739</v>
      </c>
      <c r="E172" s="1869"/>
      <c r="F172" s="1869"/>
      <c r="G172" s="1866"/>
      <c r="H172" s="1866"/>
      <c r="I172" s="1866"/>
      <c r="J172" s="1866"/>
      <c r="K172" s="1866"/>
      <c r="L172" s="1866"/>
      <c r="M172" s="1866"/>
      <c r="N172" s="1866"/>
      <c r="O172" s="1955"/>
      <c r="P172" s="1913"/>
      <c r="Q172" s="1866"/>
      <c r="AC172" s="1867"/>
      <c r="AD172" s="1867"/>
      <c r="AE172" s="1867"/>
      <c r="AF172" s="1867"/>
      <c r="AG172" s="1867"/>
      <c r="AH172" s="1867"/>
      <c r="AI172" s="1867"/>
      <c r="AJ172" s="1867"/>
      <c r="AK172" s="1867"/>
      <c r="AL172" s="1867"/>
      <c r="AM172" s="1867"/>
      <c r="AN172" s="1868"/>
      <c r="AO172" s="1867"/>
    </row>
    <row r="173" spans="1:41" outlineLevel="1">
      <c r="A173" s="1960">
        <f>ROW()</f>
        <v>173</v>
      </c>
      <c r="B173" s="1925"/>
      <c r="D173" s="1866" t="s">
        <v>1736</v>
      </c>
      <c r="E173" s="1978">
        <v>0</v>
      </c>
      <c r="F173" s="1978">
        <f t="shared" ref="F173:N173" si="81">IF(F30=0,0,E175)</f>
        <v>458092.15679680742</v>
      </c>
      <c r="G173" s="1978">
        <f t="shared" si="81"/>
        <v>1543453.1829519253</v>
      </c>
      <c r="H173" s="1978">
        <f t="shared" si="81"/>
        <v>2656585.9277665066</v>
      </c>
      <c r="I173" s="1978">
        <f t="shared" si="81"/>
        <v>4335194.9889685353</v>
      </c>
      <c r="J173" s="1978">
        <f t="shared" si="81"/>
        <v>6306061.259688261</v>
      </c>
      <c r="K173" s="1978">
        <f t="shared" si="81"/>
        <v>0</v>
      </c>
      <c r="L173" s="1978">
        <f t="shared" si="81"/>
        <v>0</v>
      </c>
      <c r="M173" s="1978">
        <f t="shared" si="81"/>
        <v>0</v>
      </c>
      <c r="N173" s="1978">
        <f t="shared" si="81"/>
        <v>0</v>
      </c>
      <c r="O173" s="1955"/>
      <c r="P173" s="1913"/>
      <c r="Q173" s="1866"/>
      <c r="AC173" s="1867"/>
      <c r="AD173" s="1867"/>
      <c r="AE173" s="1867"/>
      <c r="AF173" s="1867"/>
      <c r="AG173" s="1867"/>
      <c r="AH173" s="1867"/>
      <c r="AI173" s="1867"/>
      <c r="AJ173" s="1867"/>
      <c r="AK173" s="1867"/>
      <c r="AL173" s="1867"/>
      <c r="AM173" s="1867"/>
      <c r="AN173" s="1868"/>
      <c r="AO173" s="1867"/>
    </row>
    <row r="174" spans="1:41" outlineLevel="1">
      <c r="A174" s="1960">
        <f>ROW()</f>
        <v>174</v>
      </c>
      <c r="B174" s="1925"/>
      <c r="D174" s="1948" t="s">
        <v>1737</v>
      </c>
      <c r="E174" s="1992">
        <f t="shared" ref="E174:N174" si="82">E92</f>
        <v>458092.15679680742</v>
      </c>
      <c r="F174" s="1992">
        <f t="shared" si="82"/>
        <v>1085361.0261551179</v>
      </c>
      <c r="G174" s="1992">
        <f t="shared" si="82"/>
        <v>1113132.7448145812</v>
      </c>
      <c r="H174" s="1992">
        <f t="shared" si="82"/>
        <v>1678609.0612020288</v>
      </c>
      <c r="I174" s="1992">
        <f t="shared" si="82"/>
        <v>1970866.2707197256</v>
      </c>
      <c r="J174" s="1992">
        <f t="shared" si="82"/>
        <v>1865545.3185489587</v>
      </c>
      <c r="K174" s="1992">
        <f t="shared" si="82"/>
        <v>0</v>
      </c>
      <c r="L174" s="1992">
        <f t="shared" si="82"/>
        <v>0</v>
      </c>
      <c r="M174" s="1992">
        <f t="shared" si="82"/>
        <v>0</v>
      </c>
      <c r="N174" s="1992">
        <f t="shared" si="82"/>
        <v>0</v>
      </c>
      <c r="O174" s="1955"/>
      <c r="P174" s="1913"/>
      <c r="Q174" s="1866"/>
      <c r="AC174" s="1867"/>
      <c r="AD174" s="1867"/>
      <c r="AE174" s="1867"/>
      <c r="AF174" s="1867"/>
      <c r="AG174" s="1867"/>
      <c r="AH174" s="1867"/>
      <c r="AI174" s="1867"/>
      <c r="AJ174" s="1867"/>
      <c r="AK174" s="1867"/>
      <c r="AL174" s="1867"/>
      <c r="AM174" s="1867"/>
      <c r="AN174" s="1868"/>
      <c r="AO174" s="1867"/>
    </row>
    <row r="175" spans="1:41" outlineLevel="1">
      <c r="A175" s="1960">
        <f>ROW()</f>
        <v>175</v>
      </c>
      <c r="B175" s="1925"/>
      <c r="D175" s="1948" t="s">
        <v>1738</v>
      </c>
      <c r="E175" s="1992">
        <f t="shared" ref="E175:N175" si="83">+E173+E174</f>
        <v>458092.15679680742</v>
      </c>
      <c r="F175" s="1992">
        <f t="shared" si="83"/>
        <v>1543453.1829519253</v>
      </c>
      <c r="G175" s="1992">
        <f t="shared" si="83"/>
        <v>2656585.9277665066</v>
      </c>
      <c r="H175" s="1992">
        <f t="shared" si="83"/>
        <v>4335194.9889685353</v>
      </c>
      <c r="I175" s="1992">
        <f t="shared" si="83"/>
        <v>6306061.259688261</v>
      </c>
      <c r="J175" s="1992">
        <f t="shared" si="83"/>
        <v>8171606.5782372197</v>
      </c>
      <c r="K175" s="1992">
        <f t="shared" si="83"/>
        <v>0</v>
      </c>
      <c r="L175" s="1992">
        <f t="shared" si="83"/>
        <v>0</v>
      </c>
      <c r="M175" s="1992">
        <f t="shared" si="83"/>
        <v>0</v>
      </c>
      <c r="N175" s="1992">
        <f t="shared" si="83"/>
        <v>0</v>
      </c>
      <c r="O175" s="1955"/>
      <c r="P175" s="1913"/>
      <c r="Q175" s="1866"/>
      <c r="AC175" s="1867"/>
      <c r="AD175" s="1867"/>
      <c r="AE175" s="1867"/>
      <c r="AF175" s="1867"/>
      <c r="AG175" s="1867"/>
      <c r="AH175" s="1867"/>
      <c r="AI175" s="1867"/>
      <c r="AJ175" s="1867"/>
      <c r="AK175" s="1867"/>
      <c r="AL175" s="1867"/>
      <c r="AM175" s="1867"/>
      <c r="AN175" s="1868"/>
      <c r="AO175" s="1867"/>
    </row>
    <row r="176" spans="1:41" outlineLevel="1">
      <c r="A176" s="1960">
        <f>ROW()</f>
        <v>176</v>
      </c>
      <c r="B176" s="1925"/>
      <c r="D176" s="1948" t="s">
        <v>1740</v>
      </c>
      <c r="E176" s="1869"/>
      <c r="F176" s="1869"/>
      <c r="G176" s="1866"/>
      <c r="H176" s="1866"/>
      <c r="I176" s="1866"/>
      <c r="J176" s="1866"/>
      <c r="K176" s="1866"/>
      <c r="L176" s="1866"/>
      <c r="M176" s="1866"/>
      <c r="N176" s="1866"/>
      <c r="O176" s="1955"/>
      <c r="P176" s="1913"/>
      <c r="Q176" s="1866"/>
      <c r="AC176" s="1867"/>
      <c r="AD176" s="1867"/>
      <c r="AE176" s="1867"/>
      <c r="AF176" s="1867"/>
      <c r="AG176" s="1867"/>
      <c r="AH176" s="1867"/>
      <c r="AI176" s="1867"/>
      <c r="AJ176" s="1867"/>
      <c r="AK176" s="1867"/>
      <c r="AL176" s="1867"/>
      <c r="AM176" s="1867"/>
      <c r="AN176" s="1868"/>
      <c r="AO176" s="1867"/>
    </row>
    <row r="177" spans="1:41" outlineLevel="1">
      <c r="A177" s="1960">
        <f>ROW()</f>
        <v>177</v>
      </c>
      <c r="B177" s="1925"/>
      <c r="D177" s="1948" t="s">
        <v>1741</v>
      </c>
      <c r="E177" s="1993">
        <f t="shared" ref="E177:N177" si="84">E171</f>
        <v>458092.15679680742</v>
      </c>
      <c r="F177" s="1993">
        <f t="shared" si="84"/>
        <v>1543453.1829519253</v>
      </c>
      <c r="G177" s="1993">
        <f t="shared" si="84"/>
        <v>2656585.9277665066</v>
      </c>
      <c r="H177" s="1993">
        <f t="shared" si="84"/>
        <v>4335194.9889685353</v>
      </c>
      <c r="I177" s="1993">
        <f t="shared" si="84"/>
        <v>6306061.259688261</v>
      </c>
      <c r="J177" s="1993">
        <f t="shared" si="84"/>
        <v>8171606.5782372197</v>
      </c>
      <c r="K177" s="1993">
        <f t="shared" si="84"/>
        <v>0</v>
      </c>
      <c r="L177" s="1993">
        <f t="shared" si="84"/>
        <v>0</v>
      </c>
      <c r="M177" s="1993">
        <f t="shared" si="84"/>
        <v>0</v>
      </c>
      <c r="N177" s="1993">
        <f t="shared" si="84"/>
        <v>0</v>
      </c>
      <c r="O177" s="1955"/>
      <c r="P177" s="1913"/>
      <c r="Q177" s="1866"/>
      <c r="AC177" s="1867"/>
      <c r="AD177" s="1867"/>
      <c r="AE177" s="1867"/>
      <c r="AF177" s="1867"/>
      <c r="AG177" s="1867"/>
      <c r="AH177" s="1867"/>
      <c r="AI177" s="1867"/>
      <c r="AJ177" s="1867"/>
      <c r="AK177" s="1867"/>
      <c r="AL177" s="1867"/>
      <c r="AM177" s="1867"/>
      <c r="AN177" s="1868"/>
      <c r="AO177" s="1867"/>
    </row>
    <row r="178" spans="1:41" outlineLevel="1">
      <c r="A178" s="1960">
        <f>ROW()</f>
        <v>178</v>
      </c>
      <c r="B178" s="1925"/>
      <c r="D178" s="1948" t="s">
        <v>1742</v>
      </c>
      <c r="E178" s="1993">
        <f t="shared" ref="E178:N178" si="85">-E138+E157+E163</f>
        <v>0</v>
      </c>
      <c r="F178" s="1993">
        <f t="shared" si="85"/>
        <v>0</v>
      </c>
      <c r="G178" s="1993">
        <f t="shared" si="85"/>
        <v>0</v>
      </c>
      <c r="H178" s="1993">
        <f t="shared" si="85"/>
        <v>0</v>
      </c>
      <c r="I178" s="1993">
        <f t="shared" si="85"/>
        <v>0</v>
      </c>
      <c r="J178" s="1993">
        <f t="shared" si="85"/>
        <v>0</v>
      </c>
      <c r="K178" s="1993">
        <f t="shared" si="85"/>
        <v>0</v>
      </c>
      <c r="L178" s="1993">
        <f t="shared" si="85"/>
        <v>0</v>
      </c>
      <c r="M178" s="1993">
        <f t="shared" si="85"/>
        <v>0</v>
      </c>
      <c r="N178" s="1993">
        <f t="shared" si="85"/>
        <v>0</v>
      </c>
      <c r="O178" s="1955"/>
      <c r="P178" s="1913"/>
      <c r="Q178" s="1866"/>
      <c r="AC178" s="1867"/>
      <c r="AD178" s="1867"/>
      <c r="AE178" s="1867"/>
      <c r="AF178" s="1867"/>
      <c r="AG178" s="1867"/>
      <c r="AH178" s="1867"/>
      <c r="AI178" s="1867"/>
      <c r="AJ178" s="1867"/>
      <c r="AK178" s="1867"/>
      <c r="AL178" s="1867"/>
      <c r="AM178" s="1867"/>
      <c r="AN178" s="1868"/>
      <c r="AO178" s="1867"/>
    </row>
    <row r="179" spans="1:41" outlineLevel="1">
      <c r="A179" s="1960">
        <f>ROW()</f>
        <v>179</v>
      </c>
      <c r="B179" s="1925"/>
      <c r="D179" s="1948" t="s">
        <v>1743</v>
      </c>
      <c r="E179" s="1994">
        <f t="shared" ref="E179:N179" si="86">E175</f>
        <v>458092.15679680742</v>
      </c>
      <c r="F179" s="1994">
        <f t="shared" si="86"/>
        <v>1543453.1829519253</v>
      </c>
      <c r="G179" s="1994">
        <f t="shared" si="86"/>
        <v>2656585.9277665066</v>
      </c>
      <c r="H179" s="1994">
        <f t="shared" si="86"/>
        <v>4335194.9889685353</v>
      </c>
      <c r="I179" s="1994">
        <f t="shared" si="86"/>
        <v>6306061.259688261</v>
      </c>
      <c r="J179" s="1994">
        <f t="shared" si="86"/>
        <v>8171606.5782372197</v>
      </c>
      <c r="K179" s="1994">
        <f t="shared" si="86"/>
        <v>0</v>
      </c>
      <c r="L179" s="1994">
        <f t="shared" si="86"/>
        <v>0</v>
      </c>
      <c r="M179" s="1994">
        <f t="shared" si="86"/>
        <v>0</v>
      </c>
      <c r="N179" s="1994">
        <f t="shared" si="86"/>
        <v>0</v>
      </c>
      <c r="O179" s="1955"/>
      <c r="P179" s="1913"/>
      <c r="Q179" s="1866"/>
      <c r="AC179" s="1867"/>
      <c r="AD179" s="1867"/>
      <c r="AE179" s="1867"/>
      <c r="AF179" s="1867"/>
      <c r="AG179" s="1867"/>
      <c r="AH179" s="1867"/>
      <c r="AI179" s="1867"/>
      <c r="AJ179" s="1867"/>
      <c r="AK179" s="1867"/>
      <c r="AL179" s="1867"/>
      <c r="AM179" s="1867"/>
      <c r="AN179" s="1868"/>
      <c r="AO179" s="1867"/>
    </row>
    <row r="180" spans="1:41" outlineLevel="1">
      <c r="A180" s="1960">
        <f>ROW()</f>
        <v>180</v>
      </c>
      <c r="B180" s="1925"/>
      <c r="D180" s="1948" t="s">
        <v>1744</v>
      </c>
      <c r="E180" s="1994">
        <f t="shared" ref="E180:N180" si="87">E177+E178-E179</f>
        <v>0</v>
      </c>
      <c r="F180" s="1994">
        <f t="shared" si="87"/>
        <v>0</v>
      </c>
      <c r="G180" s="1994">
        <f t="shared" si="87"/>
        <v>0</v>
      </c>
      <c r="H180" s="1994">
        <f t="shared" si="87"/>
        <v>0</v>
      </c>
      <c r="I180" s="1994">
        <f t="shared" si="87"/>
        <v>0</v>
      </c>
      <c r="J180" s="1994">
        <f t="shared" si="87"/>
        <v>0</v>
      </c>
      <c r="K180" s="1994">
        <f t="shared" si="87"/>
        <v>0</v>
      </c>
      <c r="L180" s="1994">
        <f t="shared" si="87"/>
        <v>0</v>
      </c>
      <c r="M180" s="1994">
        <f t="shared" si="87"/>
        <v>0</v>
      </c>
      <c r="N180" s="1994">
        <f t="shared" si="87"/>
        <v>0</v>
      </c>
      <c r="O180" s="1955"/>
      <c r="P180" s="1913"/>
      <c r="Q180" s="1866"/>
      <c r="AC180" s="1867"/>
      <c r="AD180" s="1867"/>
      <c r="AE180" s="1867"/>
      <c r="AF180" s="1867"/>
      <c r="AG180" s="1867"/>
      <c r="AH180" s="1867"/>
      <c r="AI180" s="1867"/>
      <c r="AJ180" s="1867"/>
      <c r="AK180" s="1867"/>
      <c r="AL180" s="1867"/>
      <c r="AM180" s="1867"/>
      <c r="AN180" s="1868"/>
      <c r="AO180" s="1867"/>
    </row>
    <row r="181" spans="1:41" outlineLevel="1">
      <c r="A181" s="1960">
        <f>ROW()</f>
        <v>181</v>
      </c>
      <c r="E181" s="1869"/>
      <c r="F181" s="1869"/>
      <c r="G181" s="1866"/>
      <c r="H181" s="1866"/>
      <c r="I181" s="1866"/>
      <c r="J181" s="1866"/>
      <c r="K181" s="1866"/>
      <c r="L181" s="1866"/>
      <c r="M181" s="1866"/>
      <c r="N181" s="1866"/>
      <c r="P181" s="1913"/>
      <c r="AC181" s="1867"/>
      <c r="AD181" s="1867"/>
      <c r="AE181" s="1867"/>
      <c r="AF181" s="1867"/>
      <c r="AG181" s="1867"/>
      <c r="AH181" s="1867"/>
      <c r="AI181" s="1867"/>
      <c r="AJ181" s="1867"/>
      <c r="AK181" s="1867"/>
      <c r="AL181" s="1867"/>
      <c r="AM181" s="1867"/>
      <c r="AN181" s="1868"/>
      <c r="AO181" s="1867"/>
    </row>
    <row r="182" spans="1:41" outlineLevel="1">
      <c r="A182" s="1960">
        <f>ROW()</f>
        <v>182</v>
      </c>
      <c r="B182" s="1925"/>
      <c r="D182" s="1849" t="s">
        <v>1745</v>
      </c>
      <c r="E182" s="2247"/>
      <c r="F182" s="2247"/>
      <c r="G182" s="2247"/>
      <c r="H182" s="2247"/>
      <c r="I182" s="2247"/>
      <c r="J182" s="2247"/>
      <c r="K182" s="2249"/>
      <c r="L182" s="2249"/>
      <c r="M182" s="2249"/>
      <c r="N182" s="2249"/>
      <c r="O182" s="1955"/>
      <c r="P182" s="1913"/>
      <c r="AC182" s="1867">
        <f t="shared" ca="1" si="50"/>
        <v>1</v>
      </c>
      <c r="AD182" s="1867">
        <f t="shared" ca="1" si="50"/>
        <v>1</v>
      </c>
      <c r="AE182" s="1867">
        <f t="shared" ca="1" si="50"/>
        <v>1</v>
      </c>
      <c r="AF182" s="1867">
        <f t="shared" ca="1" si="50"/>
        <v>1</v>
      </c>
      <c r="AG182" s="1867">
        <f t="shared" ca="1" si="50"/>
        <v>0</v>
      </c>
      <c r="AH182" s="1867">
        <f t="shared" ca="1" si="50"/>
        <v>0</v>
      </c>
      <c r="AI182" s="1867">
        <f t="shared" ca="1" si="49"/>
        <v>0</v>
      </c>
      <c r="AJ182" s="1867">
        <f t="shared" ca="1" si="49"/>
        <v>0</v>
      </c>
      <c r="AK182" s="1867">
        <f t="shared" ca="1" si="49"/>
        <v>0</v>
      </c>
      <c r="AL182" s="1867">
        <f t="shared" ca="1" si="49"/>
        <v>0</v>
      </c>
      <c r="AM182" s="1867">
        <f t="shared" ca="1" si="60"/>
        <v>1</v>
      </c>
      <c r="AN182" s="1868" t="s">
        <v>1585</v>
      </c>
      <c r="AO182" s="1867">
        <f t="shared" ca="1" si="61"/>
        <v>1</v>
      </c>
    </row>
    <row r="183" spans="1:41" outlineLevel="1">
      <c r="A183" s="1960">
        <f>ROW()</f>
        <v>183</v>
      </c>
      <c r="B183" s="1925"/>
      <c r="E183" s="2247"/>
      <c r="F183" s="2247"/>
      <c r="G183" s="2247"/>
      <c r="H183" s="2247"/>
      <c r="I183" s="2247"/>
      <c r="J183" s="2247"/>
      <c r="K183" s="2249"/>
      <c r="L183" s="2249"/>
      <c r="M183" s="2249"/>
      <c r="N183" s="2249"/>
      <c r="O183" s="1955"/>
      <c r="P183" s="1913"/>
      <c r="AC183" s="1867">
        <f t="shared" ca="1" si="50"/>
        <v>1</v>
      </c>
      <c r="AD183" s="1867">
        <f t="shared" ca="1" si="50"/>
        <v>1</v>
      </c>
      <c r="AE183" s="1867">
        <f t="shared" ca="1" si="50"/>
        <v>1</v>
      </c>
      <c r="AF183" s="1867">
        <f t="shared" ref="AF183:AL228" ca="1" si="88">CELL("protect",D183)</f>
        <v>1</v>
      </c>
      <c r="AG183" s="1867">
        <f t="shared" ca="1" si="88"/>
        <v>0</v>
      </c>
      <c r="AH183" s="1867">
        <f t="shared" ca="1" si="88"/>
        <v>0</v>
      </c>
      <c r="AI183" s="1867">
        <f t="shared" ca="1" si="49"/>
        <v>0</v>
      </c>
      <c r="AJ183" s="1867">
        <f t="shared" ca="1" si="49"/>
        <v>0</v>
      </c>
      <c r="AK183" s="1867">
        <f t="shared" ca="1" si="49"/>
        <v>0</v>
      </c>
      <c r="AL183" s="1867">
        <f t="shared" ca="1" si="49"/>
        <v>0</v>
      </c>
      <c r="AM183" s="1867">
        <f t="shared" ca="1" si="60"/>
        <v>1</v>
      </c>
      <c r="AN183" s="1868" t="s">
        <v>1585</v>
      </c>
      <c r="AO183" s="1867">
        <f t="shared" ca="1" si="61"/>
        <v>1</v>
      </c>
    </row>
    <row r="184" spans="1:41" ht="20.25" customHeight="1" outlineLevel="1">
      <c r="A184" s="1960">
        <f>ROW()</f>
        <v>184</v>
      </c>
      <c r="B184" s="1925"/>
      <c r="E184" s="1948" t="s">
        <v>1746</v>
      </c>
      <c r="F184" s="1869"/>
      <c r="G184" s="1866"/>
      <c r="H184" s="1938"/>
      <c r="I184" s="1938"/>
      <c r="J184" s="1938"/>
      <c r="K184" s="1938"/>
      <c r="L184" s="1938"/>
      <c r="M184" s="1938"/>
      <c r="N184" s="1938"/>
      <c r="O184" s="1955"/>
      <c r="P184" s="1913"/>
      <c r="AC184" s="1867">
        <f t="shared" ref="AC184:AL241" ca="1" si="89">CELL("protect",A184)</f>
        <v>1</v>
      </c>
      <c r="AD184" s="1867">
        <f t="shared" ca="1" si="89"/>
        <v>1</v>
      </c>
      <c r="AE184" s="1867">
        <f t="shared" ca="1" si="89"/>
        <v>1</v>
      </c>
      <c r="AF184" s="1867">
        <f t="shared" ca="1" si="88"/>
        <v>1</v>
      </c>
      <c r="AG184" s="1867">
        <f t="shared" ca="1" si="88"/>
        <v>1</v>
      </c>
      <c r="AH184" s="1867">
        <f t="shared" ca="1" si="88"/>
        <v>1</v>
      </c>
      <c r="AI184" s="1867">
        <f t="shared" ca="1" si="49"/>
        <v>1</v>
      </c>
      <c r="AJ184" s="1867">
        <f t="shared" ca="1" si="49"/>
        <v>1</v>
      </c>
      <c r="AK184" s="1867">
        <f t="shared" ca="1" si="49"/>
        <v>1</v>
      </c>
      <c r="AL184" s="1867">
        <f t="shared" ca="1" si="49"/>
        <v>1</v>
      </c>
      <c r="AM184" s="1867">
        <f t="shared" ca="1" si="60"/>
        <v>1</v>
      </c>
      <c r="AN184" s="1868" t="s">
        <v>1585</v>
      </c>
      <c r="AO184" s="1867">
        <f t="shared" ca="1" si="61"/>
        <v>1</v>
      </c>
    </row>
    <row r="185" spans="1:41" outlineLevel="1">
      <c r="A185" s="1960">
        <f>ROW()</f>
        <v>185</v>
      </c>
      <c r="B185" s="1925"/>
      <c r="D185" s="1938" t="s">
        <v>1747</v>
      </c>
      <c r="E185" s="2245"/>
      <c r="F185" s="2246"/>
      <c r="G185" s="2246"/>
      <c r="H185" s="2246"/>
      <c r="I185" s="2246"/>
      <c r="J185" s="2246"/>
      <c r="K185" s="1938"/>
      <c r="L185" s="1938"/>
      <c r="M185" s="1938"/>
      <c r="N185" s="1938"/>
      <c r="O185" s="1955"/>
      <c r="P185" s="1913"/>
      <c r="S185" s="1914"/>
      <c r="T185" s="1914"/>
      <c r="U185" s="1914"/>
      <c r="V185" s="1914"/>
      <c r="W185" s="1914"/>
      <c r="X185" s="1914"/>
      <c r="AC185" s="1867">
        <f t="shared" ca="1" si="89"/>
        <v>1</v>
      </c>
      <c r="AD185" s="1867">
        <f t="shared" ca="1" si="89"/>
        <v>1</v>
      </c>
      <c r="AE185" s="1867">
        <f t="shared" ca="1" si="89"/>
        <v>1</v>
      </c>
      <c r="AF185" s="1867">
        <f t="shared" ca="1" si="88"/>
        <v>1</v>
      </c>
      <c r="AG185" s="1867">
        <f t="shared" ca="1" si="88"/>
        <v>0</v>
      </c>
      <c r="AH185" s="1867">
        <f t="shared" ca="1" si="88"/>
        <v>0</v>
      </c>
      <c r="AI185" s="1867">
        <f t="shared" ca="1" si="49"/>
        <v>0</v>
      </c>
      <c r="AJ185" s="1867">
        <f t="shared" ca="1" si="49"/>
        <v>0</v>
      </c>
      <c r="AK185" s="1867">
        <f t="shared" ca="1" si="49"/>
        <v>0</v>
      </c>
      <c r="AL185" s="1867">
        <f t="shared" ca="1" si="49"/>
        <v>0</v>
      </c>
      <c r="AM185" s="1867">
        <f t="shared" ca="1" si="60"/>
        <v>1</v>
      </c>
      <c r="AN185" s="1868" t="s">
        <v>1585</v>
      </c>
      <c r="AO185" s="1867">
        <f t="shared" ca="1" si="61"/>
        <v>1</v>
      </c>
    </row>
    <row r="186" spans="1:41" outlineLevel="1">
      <c r="A186" s="1960">
        <f>ROW()</f>
        <v>186</v>
      </c>
      <c r="B186" s="1925"/>
      <c r="D186" s="1938" t="s">
        <v>1748</v>
      </c>
      <c r="E186" s="2237"/>
      <c r="F186" s="2238"/>
      <c r="G186" s="2238"/>
      <c r="H186" s="2238"/>
      <c r="I186" s="2238"/>
      <c r="J186" s="2238"/>
      <c r="K186" s="1938"/>
      <c r="L186" s="1938"/>
      <c r="M186" s="1938"/>
      <c r="N186" s="1938"/>
      <c r="O186" s="1955"/>
      <c r="P186" s="1913"/>
      <c r="S186" s="1914"/>
      <c r="T186" s="1914"/>
      <c r="U186" s="1914"/>
      <c r="V186" s="1914"/>
      <c r="W186" s="1914"/>
      <c r="X186" s="1914"/>
      <c r="AC186" s="1867">
        <f t="shared" ca="1" si="89"/>
        <v>1</v>
      </c>
      <c r="AD186" s="1867">
        <f t="shared" ca="1" si="89"/>
        <v>1</v>
      </c>
      <c r="AE186" s="1867">
        <f t="shared" ca="1" si="89"/>
        <v>1</v>
      </c>
      <c r="AF186" s="1867">
        <f t="shared" ca="1" si="88"/>
        <v>1</v>
      </c>
      <c r="AG186" s="1867">
        <f t="shared" ca="1" si="88"/>
        <v>0</v>
      </c>
      <c r="AH186" s="1867">
        <f t="shared" ca="1" si="88"/>
        <v>0</v>
      </c>
      <c r="AI186" s="1867">
        <f t="shared" ca="1" si="49"/>
        <v>0</v>
      </c>
      <c r="AJ186" s="1867">
        <f t="shared" ca="1" si="49"/>
        <v>0</v>
      </c>
      <c r="AK186" s="1867">
        <f t="shared" ca="1" si="49"/>
        <v>0</v>
      </c>
      <c r="AL186" s="1867">
        <f t="shared" ca="1" si="49"/>
        <v>0</v>
      </c>
      <c r="AM186" s="1867">
        <f t="shared" ca="1" si="60"/>
        <v>1</v>
      </c>
      <c r="AN186" s="1868" t="s">
        <v>1585</v>
      </c>
      <c r="AO186" s="1867">
        <f t="shared" ca="1" si="61"/>
        <v>1</v>
      </c>
    </row>
    <row r="187" spans="1:41" outlineLevel="1">
      <c r="A187" s="1960">
        <f>ROW()</f>
        <v>187</v>
      </c>
      <c r="B187" s="1925"/>
      <c r="D187" s="1938" t="s">
        <v>1749</v>
      </c>
      <c r="E187" s="2239"/>
      <c r="F187" s="2240"/>
      <c r="G187" s="2240"/>
      <c r="H187" s="2240"/>
      <c r="I187" s="2240"/>
      <c r="J187" s="2240"/>
      <c r="K187" s="1938"/>
      <c r="L187" s="1938"/>
      <c r="M187" s="1938"/>
      <c r="N187" s="1938"/>
      <c r="O187" s="1955"/>
      <c r="P187" s="1913"/>
      <c r="S187" s="1914"/>
      <c r="T187" s="1914"/>
      <c r="U187" s="1914"/>
      <c r="V187" s="1914"/>
      <c r="W187" s="1914"/>
      <c r="X187" s="1914"/>
      <c r="AC187" s="1867">
        <f t="shared" ca="1" si="89"/>
        <v>1</v>
      </c>
      <c r="AD187" s="1867">
        <f t="shared" ca="1" si="89"/>
        <v>1</v>
      </c>
      <c r="AE187" s="1867">
        <f t="shared" ca="1" si="89"/>
        <v>1</v>
      </c>
      <c r="AF187" s="1867">
        <f t="shared" ca="1" si="88"/>
        <v>1</v>
      </c>
      <c r="AG187" s="1867">
        <f t="shared" ca="1" si="88"/>
        <v>0</v>
      </c>
      <c r="AH187" s="1867">
        <f t="shared" ca="1" si="88"/>
        <v>0</v>
      </c>
      <c r="AI187" s="1867">
        <f t="shared" ca="1" si="49"/>
        <v>0</v>
      </c>
      <c r="AJ187" s="1867">
        <f t="shared" ca="1" si="49"/>
        <v>0</v>
      </c>
      <c r="AK187" s="1867">
        <f t="shared" ca="1" si="49"/>
        <v>0</v>
      </c>
      <c r="AL187" s="1867">
        <f t="shared" ca="1" si="49"/>
        <v>0</v>
      </c>
      <c r="AM187" s="1867">
        <f t="shared" ca="1" si="60"/>
        <v>1</v>
      </c>
      <c r="AN187" s="1868" t="s">
        <v>1585</v>
      </c>
      <c r="AO187" s="1867">
        <f t="shared" ca="1" si="61"/>
        <v>1</v>
      </c>
    </row>
    <row r="188" spans="1:41" outlineLevel="1">
      <c r="A188" s="1960">
        <f>ROW()</f>
        <v>188</v>
      </c>
      <c r="B188" s="1925"/>
      <c r="D188" s="1938" t="s">
        <v>1750</v>
      </c>
      <c r="E188" s="2241"/>
      <c r="F188" s="2242"/>
      <c r="G188" s="2243"/>
      <c r="H188" s="2243"/>
      <c r="I188" s="2243"/>
      <c r="J188" s="2243"/>
      <c r="K188" s="1938"/>
      <c r="L188" s="1938"/>
      <c r="M188" s="1938"/>
      <c r="N188" s="1938"/>
      <c r="O188" s="1955"/>
      <c r="P188" s="1913"/>
      <c r="S188" s="1914"/>
      <c r="T188" s="1914"/>
      <c r="U188" s="1914"/>
      <c r="V188" s="1914"/>
      <c r="W188" s="1914"/>
      <c r="X188" s="1914"/>
      <c r="AC188" s="1867">
        <f t="shared" ca="1" si="89"/>
        <v>1</v>
      </c>
      <c r="AD188" s="1867">
        <f t="shared" ca="1" si="89"/>
        <v>1</v>
      </c>
      <c r="AE188" s="1867">
        <f t="shared" ca="1" si="89"/>
        <v>1</v>
      </c>
      <c r="AF188" s="1867">
        <f t="shared" ca="1" si="88"/>
        <v>1</v>
      </c>
      <c r="AG188" s="1867">
        <f t="shared" ca="1" si="88"/>
        <v>0</v>
      </c>
      <c r="AH188" s="1867">
        <f t="shared" ca="1" si="88"/>
        <v>0</v>
      </c>
      <c r="AI188" s="1867">
        <f t="shared" ca="1" si="49"/>
        <v>0</v>
      </c>
      <c r="AJ188" s="1867">
        <f t="shared" ca="1" si="49"/>
        <v>0</v>
      </c>
      <c r="AK188" s="1867">
        <f t="shared" ca="1" si="49"/>
        <v>0</v>
      </c>
      <c r="AL188" s="1867">
        <f t="shared" ca="1" si="49"/>
        <v>0</v>
      </c>
      <c r="AM188" s="1867">
        <f t="shared" ca="1" si="60"/>
        <v>1</v>
      </c>
      <c r="AN188" s="1868" t="s">
        <v>1585</v>
      </c>
      <c r="AO188" s="1867">
        <f t="shared" ca="1" si="61"/>
        <v>1</v>
      </c>
    </row>
    <row r="189" spans="1:41" ht="13.8" outlineLevel="1">
      <c r="A189" s="1960">
        <f>ROW()</f>
        <v>189</v>
      </c>
      <c r="B189" s="1925"/>
      <c r="D189" s="1995" t="s">
        <v>1751</v>
      </c>
      <c r="E189" s="1870"/>
      <c r="F189" s="1869"/>
      <c r="G189" s="1869"/>
      <c r="H189" s="1866"/>
      <c r="I189" s="1866"/>
      <c r="J189" s="1866"/>
      <c r="K189" s="1866"/>
      <c r="L189" s="1866"/>
      <c r="M189" s="1866"/>
      <c r="N189" s="1866"/>
      <c r="P189" s="1996"/>
      <c r="AC189" s="1867">
        <f t="shared" ca="1" si="89"/>
        <v>1</v>
      </c>
      <c r="AD189" s="1867">
        <f t="shared" ca="1" si="89"/>
        <v>1</v>
      </c>
      <c r="AE189" s="1867">
        <f t="shared" ca="1" si="89"/>
        <v>1</v>
      </c>
      <c r="AF189" s="1867">
        <f t="shared" ca="1" si="88"/>
        <v>1</v>
      </c>
      <c r="AG189" s="1867">
        <f t="shared" ca="1" si="88"/>
        <v>1</v>
      </c>
      <c r="AH189" s="1867">
        <f t="shared" ca="1" si="88"/>
        <v>1</v>
      </c>
      <c r="AI189" s="1867">
        <f t="shared" ca="1" si="49"/>
        <v>1</v>
      </c>
      <c r="AJ189" s="1867">
        <f t="shared" ca="1" si="49"/>
        <v>1</v>
      </c>
      <c r="AK189" s="1867">
        <f t="shared" ca="1" si="49"/>
        <v>1</v>
      </c>
      <c r="AL189" s="1867">
        <f t="shared" ca="1" si="49"/>
        <v>1</v>
      </c>
      <c r="AM189" s="1867">
        <f t="shared" ca="1" si="60"/>
        <v>1</v>
      </c>
      <c r="AN189" s="1868" t="s">
        <v>1585</v>
      </c>
      <c r="AO189" s="1867">
        <f t="shared" ca="1" si="61"/>
        <v>1</v>
      </c>
    </row>
    <row r="190" spans="1:41" outlineLevel="1">
      <c r="A190" s="1960">
        <f>ROW()</f>
        <v>190</v>
      </c>
      <c r="B190" s="1925"/>
      <c r="D190" s="1860"/>
      <c r="G190" s="1860"/>
      <c r="P190" s="1996"/>
      <c r="AC190" s="1867">
        <f t="shared" ca="1" si="89"/>
        <v>1</v>
      </c>
      <c r="AD190" s="1867">
        <f t="shared" ca="1" si="89"/>
        <v>1</v>
      </c>
      <c r="AE190" s="1867">
        <f t="shared" ca="1" si="89"/>
        <v>1</v>
      </c>
      <c r="AF190" s="1867">
        <f t="shared" ca="1" si="88"/>
        <v>1</v>
      </c>
      <c r="AG190" s="1867">
        <f t="shared" ca="1" si="88"/>
        <v>1</v>
      </c>
      <c r="AH190" s="1867">
        <f t="shared" ca="1" si="88"/>
        <v>1</v>
      </c>
      <c r="AI190" s="1867">
        <f t="shared" ca="1" si="49"/>
        <v>1</v>
      </c>
      <c r="AJ190" s="1867">
        <f t="shared" ca="1" si="49"/>
        <v>1</v>
      </c>
      <c r="AK190" s="1867">
        <f t="shared" ca="1" si="49"/>
        <v>1</v>
      </c>
      <c r="AL190" s="1867">
        <f t="shared" ca="1" si="49"/>
        <v>1</v>
      </c>
      <c r="AM190" s="1867">
        <f t="shared" ca="1" si="60"/>
        <v>1</v>
      </c>
      <c r="AN190" s="1868" t="s">
        <v>1585</v>
      </c>
      <c r="AO190" s="1867">
        <f t="shared" ca="1" si="61"/>
        <v>1</v>
      </c>
    </row>
    <row r="191" spans="1:41" ht="15.6">
      <c r="A191" s="1960">
        <f>ROW()</f>
        <v>191</v>
      </c>
      <c r="B191" s="1925"/>
      <c r="D191" s="1905" t="s">
        <v>1752</v>
      </c>
      <c r="E191" s="1905"/>
      <c r="F191" s="1905"/>
      <c r="G191" s="1905"/>
      <c r="H191" s="1905"/>
      <c r="I191" s="1905"/>
      <c r="J191" s="1905"/>
      <c r="K191" s="1905"/>
      <c r="L191" s="1905"/>
      <c r="M191" s="1905"/>
      <c r="N191" s="1905"/>
      <c r="P191" s="1996"/>
      <c r="AC191" s="1867">
        <f t="shared" ca="1" si="89"/>
        <v>1</v>
      </c>
      <c r="AD191" s="1867">
        <f t="shared" ca="1" si="89"/>
        <v>1</v>
      </c>
      <c r="AE191" s="1867">
        <f t="shared" ca="1" si="89"/>
        <v>1</v>
      </c>
      <c r="AF191" s="1867">
        <f t="shared" ca="1" si="88"/>
        <v>1</v>
      </c>
      <c r="AG191" s="1867">
        <f t="shared" ca="1" si="88"/>
        <v>1</v>
      </c>
      <c r="AH191" s="1867">
        <f t="shared" ca="1" si="88"/>
        <v>1</v>
      </c>
      <c r="AI191" s="1867">
        <f t="shared" ca="1" si="49"/>
        <v>1</v>
      </c>
      <c r="AJ191" s="1867">
        <f t="shared" ca="1" si="49"/>
        <v>1</v>
      </c>
      <c r="AK191" s="1867">
        <f t="shared" ca="1" si="49"/>
        <v>1</v>
      </c>
      <c r="AL191" s="1867">
        <f t="shared" ca="1" si="49"/>
        <v>1</v>
      </c>
      <c r="AM191" s="1867">
        <f t="shared" ca="1" si="60"/>
        <v>1</v>
      </c>
      <c r="AN191" s="1868" t="s">
        <v>1585</v>
      </c>
      <c r="AO191" s="1867">
        <f t="shared" ca="1" si="61"/>
        <v>1</v>
      </c>
    </row>
    <row r="192" spans="1:41" ht="15.6">
      <c r="A192" s="1960">
        <f>ROW()</f>
        <v>192</v>
      </c>
      <c r="B192" s="1925"/>
      <c r="D192" s="1997"/>
      <c r="E192" s="1997"/>
      <c r="F192" s="1997"/>
      <c r="G192" s="1997"/>
      <c r="H192" s="1997"/>
      <c r="I192" s="1997"/>
      <c r="J192" s="1997"/>
      <c r="K192" s="1997"/>
      <c r="L192" s="1997"/>
      <c r="M192" s="1997"/>
      <c r="N192" s="1997"/>
      <c r="P192" s="1996"/>
      <c r="AC192" s="1867">
        <f t="shared" ca="1" si="89"/>
        <v>1</v>
      </c>
      <c r="AD192" s="1867">
        <f t="shared" ca="1" si="89"/>
        <v>1</v>
      </c>
      <c r="AE192" s="1867">
        <f t="shared" ca="1" si="89"/>
        <v>1</v>
      </c>
      <c r="AF192" s="1867">
        <f t="shared" ca="1" si="88"/>
        <v>1</v>
      </c>
      <c r="AG192" s="1867">
        <f t="shared" ca="1" si="88"/>
        <v>1</v>
      </c>
      <c r="AH192" s="1867">
        <f t="shared" ca="1" si="88"/>
        <v>1</v>
      </c>
      <c r="AI192" s="1867">
        <f t="shared" ca="1" si="49"/>
        <v>1</v>
      </c>
      <c r="AJ192" s="1867">
        <f t="shared" ca="1" si="49"/>
        <v>1</v>
      </c>
      <c r="AK192" s="1867">
        <f t="shared" ca="1" si="49"/>
        <v>1</v>
      </c>
      <c r="AL192" s="1867">
        <f t="shared" ca="1" si="49"/>
        <v>1</v>
      </c>
      <c r="AM192" s="1867">
        <f t="shared" ca="1" si="60"/>
        <v>1</v>
      </c>
      <c r="AN192" s="1868" t="s">
        <v>1585</v>
      </c>
      <c r="AO192" s="1867">
        <f t="shared" ca="1" si="61"/>
        <v>1</v>
      </c>
    </row>
    <row r="193" spans="1:41" ht="14.4">
      <c r="A193" s="1960">
        <f>ROW()</f>
        <v>193</v>
      </c>
      <c r="B193" s="1925"/>
      <c r="D193" s="1866" t="s">
        <v>1753</v>
      </c>
      <c r="E193" s="1888"/>
      <c r="G193" s="1860"/>
      <c r="P193" s="1913"/>
      <c r="AC193" s="1867">
        <f t="shared" ca="1" si="89"/>
        <v>1</v>
      </c>
      <c r="AD193" s="1867">
        <f t="shared" ca="1" si="89"/>
        <v>1</v>
      </c>
      <c r="AE193" s="1867">
        <f t="shared" ca="1" si="89"/>
        <v>1</v>
      </c>
      <c r="AF193" s="1867">
        <f t="shared" ca="1" si="88"/>
        <v>1</v>
      </c>
      <c r="AG193" s="1867">
        <f t="shared" ca="1" si="88"/>
        <v>1</v>
      </c>
      <c r="AH193" s="1867">
        <f t="shared" ca="1" si="88"/>
        <v>1</v>
      </c>
      <c r="AI193" s="1867">
        <f t="shared" ca="1" si="49"/>
        <v>1</v>
      </c>
      <c r="AJ193" s="1867">
        <f t="shared" ca="1" si="49"/>
        <v>1</v>
      </c>
      <c r="AK193" s="1867">
        <f t="shared" ca="1" si="49"/>
        <v>1</v>
      </c>
      <c r="AL193" s="1867">
        <f t="shared" ca="1" si="49"/>
        <v>1</v>
      </c>
      <c r="AM193" s="1867">
        <f t="shared" ca="1" si="60"/>
        <v>1</v>
      </c>
      <c r="AN193" s="1868" t="s">
        <v>1585</v>
      </c>
      <c r="AO193" s="1867">
        <f t="shared" ca="1" si="61"/>
        <v>1</v>
      </c>
    </row>
    <row r="194" spans="1:41" ht="14.4">
      <c r="A194" s="1960">
        <f>ROW()</f>
        <v>194</v>
      </c>
      <c r="B194" s="1998" t="s">
        <v>1754</v>
      </c>
      <c r="C194" s="1999"/>
      <c r="D194" s="2000" t="s">
        <v>1755</v>
      </c>
      <c r="E194" s="2001"/>
      <c r="F194" s="2002"/>
      <c r="G194" s="2002"/>
      <c r="H194" s="2002"/>
      <c r="I194" s="2002"/>
      <c r="J194" s="2002"/>
      <c r="K194" s="2002"/>
      <c r="L194" s="2002"/>
      <c r="M194" s="2002"/>
      <c r="N194" s="2002"/>
      <c r="O194" s="1860"/>
      <c r="P194" s="1913"/>
      <c r="Q194" s="1866" t="s">
        <v>1756</v>
      </c>
      <c r="AC194" s="1867">
        <f t="shared" ca="1" si="89"/>
        <v>1</v>
      </c>
      <c r="AD194" s="1867">
        <f t="shared" ca="1" si="89"/>
        <v>1</v>
      </c>
      <c r="AE194" s="1867">
        <f t="shared" ca="1" si="89"/>
        <v>1</v>
      </c>
      <c r="AF194" s="1867">
        <f t="shared" ca="1" si="88"/>
        <v>1</v>
      </c>
      <c r="AG194" s="1867">
        <f t="shared" ca="1" si="88"/>
        <v>1</v>
      </c>
      <c r="AH194" s="1867">
        <f t="shared" ca="1" si="88"/>
        <v>1</v>
      </c>
      <c r="AI194" s="1867">
        <f t="shared" ca="1" si="49"/>
        <v>1</v>
      </c>
      <c r="AJ194" s="1867">
        <f t="shared" ca="1" si="49"/>
        <v>1</v>
      </c>
      <c r="AK194" s="1867">
        <f t="shared" ca="1" si="49"/>
        <v>1</v>
      </c>
      <c r="AL194" s="1867">
        <f t="shared" ca="1" si="49"/>
        <v>1</v>
      </c>
      <c r="AM194" s="1867">
        <f t="shared" ca="1" si="60"/>
        <v>1</v>
      </c>
      <c r="AN194" s="1868" t="s">
        <v>1585</v>
      </c>
      <c r="AO194" s="1867">
        <f t="shared" ca="1" si="61"/>
        <v>1</v>
      </c>
    </row>
    <row r="195" spans="1:41" outlineLevel="1">
      <c r="A195" s="1960">
        <f>ROW()</f>
        <v>195</v>
      </c>
      <c r="B195" s="2003">
        <f>ROW(B129)</f>
        <v>129</v>
      </c>
      <c r="C195" s="1866"/>
      <c r="D195" s="1866" t="s">
        <v>1757</v>
      </c>
      <c r="E195" s="1936">
        <f t="shared" ref="E195:N195" si="90">+E129</f>
        <v>410359.60179680743</v>
      </c>
      <c r="F195" s="1936">
        <f t="shared" si="90"/>
        <v>1429316.5762974804</v>
      </c>
      <c r="G195" s="1936">
        <f t="shared" si="90"/>
        <v>2464733.569126728</v>
      </c>
      <c r="H195" s="1936">
        <f t="shared" si="90"/>
        <v>4054315.178012534</v>
      </c>
      <c r="I195" s="1936">
        <f t="shared" si="90"/>
        <v>5932226.4585851496</v>
      </c>
      <c r="J195" s="1936">
        <f t="shared" si="90"/>
        <v>7701988.8619042737</v>
      </c>
      <c r="K195" s="1936">
        <f t="shared" si="90"/>
        <v>0</v>
      </c>
      <c r="L195" s="1936">
        <f t="shared" si="90"/>
        <v>0</v>
      </c>
      <c r="M195" s="1936">
        <f t="shared" si="90"/>
        <v>0</v>
      </c>
      <c r="N195" s="1936">
        <f t="shared" si="90"/>
        <v>0</v>
      </c>
      <c r="O195" s="1927"/>
      <c r="P195" s="1913"/>
      <c r="Q195" s="1866" t="s">
        <v>1758</v>
      </c>
      <c r="AC195" s="1867">
        <f t="shared" ca="1" si="89"/>
        <v>1</v>
      </c>
      <c r="AD195" s="1867">
        <f t="shared" ca="1" si="89"/>
        <v>1</v>
      </c>
      <c r="AE195" s="1867">
        <f t="shared" ca="1" si="89"/>
        <v>1</v>
      </c>
      <c r="AF195" s="1867">
        <f t="shared" ca="1" si="88"/>
        <v>1</v>
      </c>
      <c r="AG195" s="1867">
        <f t="shared" ca="1" si="88"/>
        <v>1</v>
      </c>
      <c r="AH195" s="1867">
        <f t="shared" ca="1" si="88"/>
        <v>1</v>
      </c>
      <c r="AI195" s="1867">
        <f t="shared" ca="1" si="49"/>
        <v>1</v>
      </c>
      <c r="AJ195" s="1867">
        <f t="shared" ca="1" si="49"/>
        <v>1</v>
      </c>
      <c r="AK195" s="1867">
        <f t="shared" ca="1" si="49"/>
        <v>1</v>
      </c>
      <c r="AL195" s="1867">
        <f t="shared" ca="1" si="49"/>
        <v>1</v>
      </c>
      <c r="AM195" s="1867">
        <f t="shared" ca="1" si="60"/>
        <v>1</v>
      </c>
      <c r="AN195" s="1868" t="s">
        <v>1585</v>
      </c>
      <c r="AO195" s="1867">
        <f t="shared" ca="1" si="61"/>
        <v>1</v>
      </c>
    </row>
    <row r="196" spans="1:41" outlineLevel="1">
      <c r="A196" s="1960">
        <f>ROW()</f>
        <v>196</v>
      </c>
      <c r="B196" s="2003">
        <f>ROW(B149)</f>
        <v>149</v>
      </c>
      <c r="C196" s="1866"/>
      <c r="D196" s="1866" t="s">
        <v>1759</v>
      </c>
      <c r="E196" s="1904">
        <f t="shared" ref="E196:N196" si="91">+E149</f>
        <v>37417.917296779437</v>
      </c>
      <c r="F196" s="1904">
        <f t="shared" si="91"/>
        <v>37417.917296779437</v>
      </c>
      <c r="G196" s="1904">
        <f t="shared" si="91"/>
        <v>37417.917296779437</v>
      </c>
      <c r="H196" s="1904">
        <f t="shared" si="91"/>
        <v>37417.917296779437</v>
      </c>
      <c r="I196" s="1904">
        <f t="shared" si="91"/>
        <v>1</v>
      </c>
      <c r="J196" s="1904">
        <f t="shared" si="91"/>
        <v>1</v>
      </c>
      <c r="K196" s="1904">
        <f t="shared" si="91"/>
        <v>0</v>
      </c>
      <c r="L196" s="1904">
        <f t="shared" si="91"/>
        <v>0</v>
      </c>
      <c r="M196" s="1904">
        <f t="shared" si="91"/>
        <v>0</v>
      </c>
      <c r="N196" s="1904">
        <f t="shared" si="91"/>
        <v>0</v>
      </c>
      <c r="O196" s="2004"/>
      <c r="P196" s="1913"/>
      <c r="Q196" s="1866" t="s">
        <v>1760</v>
      </c>
      <c r="AC196" s="1867">
        <f t="shared" ca="1" si="89"/>
        <v>1</v>
      </c>
      <c r="AD196" s="1867">
        <f t="shared" ca="1" si="89"/>
        <v>1</v>
      </c>
      <c r="AE196" s="1867">
        <f t="shared" ca="1" si="89"/>
        <v>1</v>
      </c>
      <c r="AF196" s="1867">
        <f t="shared" ca="1" si="88"/>
        <v>1</v>
      </c>
      <c r="AG196" s="1867">
        <f t="shared" ca="1" si="88"/>
        <v>1</v>
      </c>
      <c r="AH196" s="1867">
        <f t="shared" ca="1" si="88"/>
        <v>1</v>
      </c>
      <c r="AI196" s="1867">
        <f t="shared" ca="1" si="49"/>
        <v>1</v>
      </c>
      <c r="AJ196" s="1867">
        <f t="shared" ca="1" si="49"/>
        <v>1</v>
      </c>
      <c r="AK196" s="1867">
        <f t="shared" ca="1" si="49"/>
        <v>1</v>
      </c>
      <c r="AL196" s="1867">
        <f t="shared" ca="1" si="49"/>
        <v>1</v>
      </c>
      <c r="AM196" s="1867">
        <f t="shared" ca="1" si="60"/>
        <v>1</v>
      </c>
      <c r="AN196" s="1868" t="s">
        <v>1585</v>
      </c>
      <c r="AO196" s="1867">
        <f t="shared" ca="1" si="61"/>
        <v>1</v>
      </c>
    </row>
    <row r="197" spans="1:41" ht="13.8" outlineLevel="1" thickBot="1">
      <c r="A197" s="1960">
        <f>ROW()</f>
        <v>197</v>
      </c>
      <c r="B197" s="2005"/>
      <c r="C197" s="1866"/>
      <c r="D197" s="2006" t="s">
        <v>1761</v>
      </c>
      <c r="E197" s="2007">
        <f>IF(OR(E195=0,E196=0),0,E195/E196)</f>
        <v>10.966927916966856</v>
      </c>
      <c r="F197" s="2007">
        <f t="shared" ref="F197:N197" si="92">IF(OR(F195=0,F196=0),0,F195/F196)</f>
        <v>38.198720814974429</v>
      </c>
      <c r="G197" s="2007">
        <f t="shared" si="92"/>
        <v>65.870410412683981</v>
      </c>
      <c r="H197" s="2007">
        <f t="shared" si="92"/>
        <v>108.35224060857843</v>
      </c>
      <c r="I197" s="2007">
        <f t="shared" si="92"/>
        <v>5932226.4585851496</v>
      </c>
      <c r="J197" s="2008">
        <f t="shared" si="92"/>
        <v>7701988.8619042737</v>
      </c>
      <c r="K197" s="2008">
        <f t="shared" si="92"/>
        <v>0</v>
      </c>
      <c r="L197" s="2008">
        <f t="shared" si="92"/>
        <v>0</v>
      </c>
      <c r="M197" s="2008">
        <f t="shared" si="92"/>
        <v>0</v>
      </c>
      <c r="N197" s="2008">
        <f t="shared" si="92"/>
        <v>0</v>
      </c>
      <c r="O197" s="2009"/>
      <c r="P197" s="1913"/>
      <c r="Q197" s="1866" t="s">
        <v>1762</v>
      </c>
      <c r="AC197" s="1867">
        <f t="shared" ca="1" si="89"/>
        <v>1</v>
      </c>
      <c r="AD197" s="1867">
        <f t="shared" ca="1" si="89"/>
        <v>1</v>
      </c>
      <c r="AE197" s="1867">
        <f t="shared" ca="1" si="89"/>
        <v>1</v>
      </c>
      <c r="AF197" s="1867">
        <f t="shared" ca="1" si="88"/>
        <v>1</v>
      </c>
      <c r="AG197" s="1867">
        <f t="shared" ca="1" si="88"/>
        <v>1</v>
      </c>
      <c r="AH197" s="1867">
        <f t="shared" ca="1" si="88"/>
        <v>1</v>
      </c>
      <c r="AI197" s="1867">
        <f t="shared" ca="1" si="49"/>
        <v>1</v>
      </c>
      <c r="AJ197" s="1867">
        <f t="shared" ca="1" si="49"/>
        <v>1</v>
      </c>
      <c r="AK197" s="1867">
        <f t="shared" ca="1" si="49"/>
        <v>1</v>
      </c>
      <c r="AL197" s="1867">
        <f t="shared" ca="1" si="49"/>
        <v>1</v>
      </c>
      <c r="AM197" s="1867">
        <f t="shared" ca="1" si="60"/>
        <v>1</v>
      </c>
      <c r="AN197" s="1868" t="s">
        <v>1585</v>
      </c>
      <c r="AO197" s="1867">
        <f t="shared" ca="1" si="61"/>
        <v>1</v>
      </c>
    </row>
    <row r="198" spans="1:41" ht="13.8" outlineLevel="1" thickTop="1">
      <c r="A198" s="1960">
        <f>ROW()</f>
        <v>198</v>
      </c>
      <c r="B198" s="2005"/>
      <c r="C198" s="1866"/>
      <c r="D198" s="1948"/>
      <c r="E198" s="2010"/>
      <c r="F198" s="2011" t="str">
        <f t="shared" ref="F198:N198" si="93">IFERROR(IF(F197=0,0,IF(F197-E197&gt;0,"Pos Chg","Neg")),0)</f>
        <v>Pos Chg</v>
      </c>
      <c r="G198" s="2011" t="str">
        <f t="shared" si="93"/>
        <v>Pos Chg</v>
      </c>
      <c r="H198" s="2011" t="str">
        <f t="shared" si="93"/>
        <v>Pos Chg</v>
      </c>
      <c r="I198" s="2011" t="str">
        <f t="shared" si="93"/>
        <v>Pos Chg</v>
      </c>
      <c r="J198" s="2011" t="str">
        <f t="shared" si="93"/>
        <v>Pos Chg</v>
      </c>
      <c r="K198" s="2011">
        <f t="shared" si="93"/>
        <v>0</v>
      </c>
      <c r="L198" s="2011">
        <f t="shared" si="93"/>
        <v>0</v>
      </c>
      <c r="M198" s="2011">
        <f t="shared" si="93"/>
        <v>0</v>
      </c>
      <c r="N198" s="2011">
        <f t="shared" si="93"/>
        <v>0</v>
      </c>
      <c r="O198" s="2009"/>
      <c r="P198" s="1913"/>
      <c r="Q198" s="1866" t="s">
        <v>1763</v>
      </c>
      <c r="AC198" s="1867">
        <f t="shared" ca="1" si="89"/>
        <v>1</v>
      </c>
      <c r="AD198" s="1867">
        <f t="shared" ca="1" si="89"/>
        <v>1</v>
      </c>
      <c r="AE198" s="1867">
        <f t="shared" ca="1" si="89"/>
        <v>1</v>
      </c>
      <c r="AF198" s="1867">
        <f t="shared" ca="1" si="88"/>
        <v>1</v>
      </c>
      <c r="AG198" s="1867">
        <f t="shared" ca="1" si="88"/>
        <v>1</v>
      </c>
      <c r="AH198" s="1867">
        <f t="shared" ca="1" si="88"/>
        <v>1</v>
      </c>
      <c r="AI198" s="1867">
        <f t="shared" ca="1" si="88"/>
        <v>1</v>
      </c>
      <c r="AJ198" s="1867">
        <f t="shared" ca="1" si="88"/>
        <v>1</v>
      </c>
      <c r="AK198" s="1867">
        <f t="shared" ca="1" si="88"/>
        <v>1</v>
      </c>
      <c r="AL198" s="1867">
        <f t="shared" ca="1" si="88"/>
        <v>1</v>
      </c>
      <c r="AM198" s="1867">
        <f t="shared" ca="1" si="60"/>
        <v>1</v>
      </c>
      <c r="AN198" s="1868" t="s">
        <v>1585</v>
      </c>
      <c r="AO198" s="1867">
        <f t="shared" ca="1" si="61"/>
        <v>1</v>
      </c>
    </row>
    <row r="199" spans="1:41" outlineLevel="1">
      <c r="A199" s="1960">
        <f>ROW()</f>
        <v>199</v>
      </c>
      <c r="B199" s="2005"/>
      <c r="C199" s="1866"/>
      <c r="D199" s="1948" t="s">
        <v>1764</v>
      </c>
      <c r="E199" s="2012" t="str">
        <f>E355</f>
        <v>MS</v>
      </c>
      <c r="F199" s="2012" t="str">
        <f t="shared" ref="F199:N199" si="94">F355</f>
        <v>MS</v>
      </c>
      <c r="G199" s="2012" t="str">
        <f t="shared" si="94"/>
        <v>MS</v>
      </c>
      <c r="H199" s="2012" t="str">
        <f t="shared" si="94"/>
        <v>MS</v>
      </c>
      <c r="I199" s="2012" t="str">
        <f t="shared" si="94"/>
        <v>MS</v>
      </c>
      <c r="J199" s="2012" t="str">
        <f t="shared" si="94"/>
        <v>MS</v>
      </c>
      <c r="K199" s="2012">
        <f t="shared" si="94"/>
        <v>0</v>
      </c>
      <c r="L199" s="2012">
        <f t="shared" si="94"/>
        <v>0</v>
      </c>
      <c r="M199" s="2012">
        <f t="shared" si="94"/>
        <v>0</v>
      </c>
      <c r="N199" s="2012">
        <f t="shared" si="94"/>
        <v>0</v>
      </c>
      <c r="O199" s="2013"/>
      <c r="P199" s="1913"/>
      <c r="Q199" s="1866"/>
      <c r="AC199" s="1867">
        <f t="shared" ca="1" si="89"/>
        <v>1</v>
      </c>
      <c r="AD199" s="1867">
        <f t="shared" ca="1" si="89"/>
        <v>1</v>
      </c>
      <c r="AE199" s="1867">
        <f t="shared" ca="1" si="89"/>
        <v>1</v>
      </c>
      <c r="AF199" s="1867">
        <f t="shared" ca="1" si="88"/>
        <v>1</v>
      </c>
      <c r="AG199" s="1867">
        <f t="shared" ca="1" si="88"/>
        <v>1</v>
      </c>
      <c r="AH199" s="1867">
        <f t="shared" ca="1" si="88"/>
        <v>1</v>
      </c>
      <c r="AI199" s="1867">
        <f t="shared" ca="1" si="88"/>
        <v>1</v>
      </c>
      <c r="AJ199" s="1867">
        <f t="shared" ca="1" si="88"/>
        <v>1</v>
      </c>
      <c r="AK199" s="1867">
        <f t="shared" ca="1" si="88"/>
        <v>1</v>
      </c>
      <c r="AL199" s="1867">
        <f t="shared" ca="1" si="88"/>
        <v>1</v>
      </c>
      <c r="AM199" s="1867">
        <f t="shared" ca="1" si="60"/>
        <v>1</v>
      </c>
      <c r="AN199" s="1868" t="s">
        <v>1585</v>
      </c>
      <c r="AO199" s="1867">
        <f t="shared" ca="1" si="61"/>
        <v>1</v>
      </c>
    </row>
    <row r="200" spans="1:41" outlineLevel="1">
      <c r="A200" s="1960">
        <f>ROW()</f>
        <v>200</v>
      </c>
      <c r="B200" s="2014" t="s">
        <v>1532</v>
      </c>
      <c r="C200" s="1866"/>
      <c r="D200" s="2235"/>
      <c r="E200" s="2234"/>
      <c r="F200" s="2234"/>
      <c r="G200" s="2234"/>
      <c r="H200" s="2234"/>
      <c r="I200" s="2234"/>
      <c r="J200" s="2234"/>
      <c r="K200" s="2234"/>
      <c r="L200" s="2234"/>
      <c r="M200" s="2234"/>
      <c r="N200" s="2234"/>
      <c r="O200" s="2013"/>
      <c r="P200" s="1913"/>
      <c r="Q200" s="1866" t="s">
        <v>1765</v>
      </c>
      <c r="AC200" s="1867">
        <f t="shared" ca="1" si="89"/>
        <v>1</v>
      </c>
      <c r="AD200" s="1867">
        <f t="shared" ca="1" si="89"/>
        <v>1</v>
      </c>
      <c r="AE200" s="1867">
        <f t="shared" ca="1" si="89"/>
        <v>1</v>
      </c>
      <c r="AF200" s="1867">
        <f t="shared" ca="1" si="88"/>
        <v>0</v>
      </c>
      <c r="AG200" s="1867">
        <f t="shared" ca="1" si="88"/>
        <v>0</v>
      </c>
      <c r="AH200" s="1867">
        <f t="shared" ca="1" si="88"/>
        <v>0</v>
      </c>
      <c r="AI200" s="1867">
        <f t="shared" ca="1" si="88"/>
        <v>0</v>
      </c>
      <c r="AJ200" s="1867">
        <f t="shared" ca="1" si="88"/>
        <v>0</v>
      </c>
      <c r="AK200" s="1867">
        <f t="shared" ca="1" si="88"/>
        <v>0</v>
      </c>
      <c r="AL200" s="1867">
        <f t="shared" ca="1" si="88"/>
        <v>0</v>
      </c>
      <c r="AM200" s="1867">
        <f t="shared" ca="1" si="60"/>
        <v>1</v>
      </c>
      <c r="AN200" s="1868" t="s">
        <v>1585</v>
      </c>
      <c r="AO200" s="1867">
        <f t="shared" ca="1" si="61"/>
        <v>1</v>
      </c>
    </row>
    <row r="201" spans="1:41" outlineLevel="1">
      <c r="A201" s="1960">
        <f>ROW()</f>
        <v>201</v>
      </c>
      <c r="B201" s="2005"/>
      <c r="C201" s="1866"/>
      <c r="D201" s="2234"/>
      <c r="E201" s="2234"/>
      <c r="F201" s="2234"/>
      <c r="G201" s="2234"/>
      <c r="H201" s="2234"/>
      <c r="I201" s="2234"/>
      <c r="J201" s="2234"/>
      <c r="K201" s="2234"/>
      <c r="L201" s="2234"/>
      <c r="M201" s="2234"/>
      <c r="N201" s="2234"/>
      <c r="O201" s="2013"/>
      <c r="P201" s="1913"/>
      <c r="Q201" s="1866" t="s">
        <v>1766</v>
      </c>
      <c r="AC201" s="1867">
        <f t="shared" ca="1" si="89"/>
        <v>1</v>
      </c>
      <c r="AD201" s="1867">
        <f t="shared" ca="1" si="89"/>
        <v>1</v>
      </c>
      <c r="AE201" s="1867">
        <f t="shared" ca="1" si="89"/>
        <v>1</v>
      </c>
      <c r="AF201" s="1867">
        <f t="shared" ca="1" si="88"/>
        <v>0</v>
      </c>
      <c r="AG201" s="1867">
        <f t="shared" ca="1" si="88"/>
        <v>0</v>
      </c>
      <c r="AH201" s="1867">
        <f t="shared" ca="1" si="88"/>
        <v>0</v>
      </c>
      <c r="AI201" s="1867">
        <f t="shared" ca="1" si="88"/>
        <v>0</v>
      </c>
      <c r="AJ201" s="1867">
        <f t="shared" ca="1" si="88"/>
        <v>0</v>
      </c>
      <c r="AK201" s="1867">
        <f t="shared" ca="1" si="88"/>
        <v>0</v>
      </c>
      <c r="AL201" s="1867">
        <f t="shared" ca="1" si="88"/>
        <v>0</v>
      </c>
      <c r="AM201" s="1867">
        <f t="shared" ca="1" si="60"/>
        <v>1</v>
      </c>
      <c r="AN201" s="1868" t="s">
        <v>1585</v>
      </c>
      <c r="AO201" s="1867">
        <f t="shared" ca="1" si="61"/>
        <v>1</v>
      </c>
    </row>
    <row r="202" spans="1:41" outlineLevel="1">
      <c r="A202" s="1960">
        <f>ROW()</f>
        <v>202</v>
      </c>
      <c r="B202" s="2005"/>
      <c r="C202" s="1866"/>
      <c r="D202" s="1948"/>
      <c r="E202" s="1904"/>
      <c r="F202" s="1904"/>
      <c r="G202" s="1904"/>
      <c r="H202" s="1904"/>
      <c r="I202" s="1904"/>
      <c r="J202" s="1904"/>
      <c r="K202" s="1904"/>
      <c r="L202" s="1904"/>
      <c r="M202" s="1904"/>
      <c r="N202" s="1904"/>
      <c r="O202" s="2013"/>
      <c r="P202" s="1913"/>
      <c r="Q202" s="1866" t="s">
        <v>1767</v>
      </c>
      <c r="AC202" s="1867">
        <f t="shared" ca="1" si="89"/>
        <v>1</v>
      </c>
      <c r="AD202" s="1867">
        <f t="shared" ca="1" si="89"/>
        <v>1</v>
      </c>
      <c r="AE202" s="1867">
        <f t="shared" ca="1" si="89"/>
        <v>1</v>
      </c>
      <c r="AF202" s="1867">
        <f t="shared" ca="1" si="88"/>
        <v>1</v>
      </c>
      <c r="AG202" s="1867">
        <f t="shared" ca="1" si="88"/>
        <v>1</v>
      </c>
      <c r="AH202" s="1867">
        <f t="shared" ca="1" si="88"/>
        <v>1</v>
      </c>
      <c r="AI202" s="1867">
        <f t="shared" ca="1" si="88"/>
        <v>1</v>
      </c>
      <c r="AJ202" s="1867">
        <f t="shared" ca="1" si="88"/>
        <v>1</v>
      </c>
      <c r="AK202" s="1867">
        <f t="shared" ca="1" si="88"/>
        <v>1</v>
      </c>
      <c r="AL202" s="1867">
        <f t="shared" ca="1" si="88"/>
        <v>1</v>
      </c>
      <c r="AM202" s="1867">
        <f t="shared" ca="1" si="60"/>
        <v>1</v>
      </c>
      <c r="AN202" s="1868" t="s">
        <v>1585</v>
      </c>
      <c r="AO202" s="1867">
        <f t="shared" ca="1" si="61"/>
        <v>1</v>
      </c>
    </row>
    <row r="203" spans="1:41" outlineLevel="1">
      <c r="A203" s="1960">
        <f>ROW()</f>
        <v>203</v>
      </c>
      <c r="B203" s="2005"/>
      <c r="C203" s="1866"/>
      <c r="D203" s="1866" t="s">
        <v>1768</v>
      </c>
      <c r="E203" s="1938"/>
      <c r="F203" s="1938"/>
      <c r="G203" s="1938"/>
      <c r="H203" s="1938"/>
      <c r="I203" s="1938"/>
      <c r="J203" s="1938"/>
      <c r="K203" s="1938"/>
      <c r="L203" s="1938"/>
      <c r="M203" s="1938"/>
      <c r="N203" s="1938"/>
      <c r="O203" s="1909"/>
      <c r="P203" s="1913"/>
      <c r="Q203" s="1866"/>
      <c r="AC203" s="1867">
        <f t="shared" ca="1" si="89"/>
        <v>1</v>
      </c>
      <c r="AD203" s="1867">
        <f t="shared" ca="1" si="89"/>
        <v>1</v>
      </c>
      <c r="AE203" s="1867">
        <f t="shared" ca="1" si="89"/>
        <v>1</v>
      </c>
      <c r="AF203" s="1867">
        <f t="shared" ca="1" si="88"/>
        <v>1</v>
      </c>
      <c r="AG203" s="1867">
        <f t="shared" ca="1" si="88"/>
        <v>1</v>
      </c>
      <c r="AH203" s="1867">
        <f t="shared" ca="1" si="88"/>
        <v>1</v>
      </c>
      <c r="AI203" s="1867">
        <f t="shared" ca="1" si="88"/>
        <v>1</v>
      </c>
      <c r="AJ203" s="1867">
        <f t="shared" ca="1" si="88"/>
        <v>1</v>
      </c>
      <c r="AK203" s="1867">
        <f t="shared" ca="1" si="88"/>
        <v>1</v>
      </c>
      <c r="AL203" s="1867">
        <f t="shared" ca="1" si="88"/>
        <v>1</v>
      </c>
      <c r="AM203" s="1867">
        <f t="shared" ca="1" si="60"/>
        <v>1</v>
      </c>
      <c r="AN203" s="1868" t="s">
        <v>1585</v>
      </c>
      <c r="AO203" s="1867">
        <f t="shared" ca="1" si="61"/>
        <v>1</v>
      </c>
    </row>
    <row r="204" spans="1:41">
      <c r="A204" s="1960">
        <f>ROW()</f>
        <v>204</v>
      </c>
      <c r="B204" s="1998" t="s">
        <v>1769</v>
      </c>
      <c r="C204" s="1999"/>
      <c r="D204" s="2000" t="s">
        <v>1770</v>
      </c>
      <c r="E204" s="2015"/>
      <c r="F204" s="2015"/>
      <c r="G204" s="2015"/>
      <c r="H204" s="2015"/>
      <c r="I204" s="2015"/>
      <c r="J204" s="2015"/>
      <c r="K204" s="2015"/>
      <c r="L204" s="2015"/>
      <c r="M204" s="2015"/>
      <c r="N204" s="2015"/>
      <c r="O204" s="1909"/>
      <c r="P204" s="1913"/>
      <c r="Q204" s="1866"/>
      <c r="AC204" s="1867">
        <f t="shared" ca="1" si="89"/>
        <v>1</v>
      </c>
      <c r="AD204" s="1867">
        <f t="shared" ca="1" si="89"/>
        <v>1</v>
      </c>
      <c r="AE204" s="1867">
        <f t="shared" ca="1" si="89"/>
        <v>1</v>
      </c>
      <c r="AF204" s="1867">
        <f t="shared" ca="1" si="88"/>
        <v>1</v>
      </c>
      <c r="AG204" s="1867">
        <f t="shared" ca="1" si="88"/>
        <v>1</v>
      </c>
      <c r="AH204" s="1867">
        <f t="shared" ca="1" si="88"/>
        <v>1</v>
      </c>
      <c r="AI204" s="1867">
        <f t="shared" ca="1" si="88"/>
        <v>1</v>
      </c>
      <c r="AJ204" s="1867">
        <f t="shared" ca="1" si="88"/>
        <v>1</v>
      </c>
      <c r="AK204" s="1867">
        <f t="shared" ca="1" si="88"/>
        <v>1</v>
      </c>
      <c r="AL204" s="1867">
        <f t="shared" ca="1" si="88"/>
        <v>1</v>
      </c>
      <c r="AM204" s="1867">
        <f t="shared" ca="1" si="60"/>
        <v>1</v>
      </c>
      <c r="AN204" s="1868" t="s">
        <v>1585</v>
      </c>
      <c r="AO204" s="1867">
        <f t="shared" ca="1" si="61"/>
        <v>1</v>
      </c>
    </row>
    <row r="205" spans="1:41">
      <c r="A205" s="1960">
        <f>ROW()</f>
        <v>205</v>
      </c>
      <c r="B205" s="2003">
        <f>ROW(B121)</f>
        <v>121</v>
      </c>
      <c r="C205" s="1866"/>
      <c r="D205" s="1866" t="s">
        <v>1771</v>
      </c>
      <c r="E205" s="1936">
        <f t="shared" ref="E205:K205" si="95">+E115</f>
        <v>410359.60179680743</v>
      </c>
      <c r="F205" s="1936">
        <f t="shared" si="95"/>
        <v>1429316.5762974804</v>
      </c>
      <c r="G205" s="1936">
        <f t="shared" si="95"/>
        <v>2464733.569126728</v>
      </c>
      <c r="H205" s="1936">
        <f t="shared" si="95"/>
        <v>4054315.178012534</v>
      </c>
      <c r="I205" s="1936">
        <f t="shared" si="95"/>
        <v>5932226.4585851496</v>
      </c>
      <c r="J205" s="1936">
        <f t="shared" si="95"/>
        <v>7701988.8619042737</v>
      </c>
      <c r="K205" s="1936">
        <f t="shared" si="95"/>
        <v>0</v>
      </c>
      <c r="L205" s="1936">
        <f>+L121</f>
        <v>0</v>
      </c>
      <c r="M205" s="1936">
        <f>+M121</f>
        <v>0</v>
      </c>
      <c r="N205" s="1936">
        <f>+N121</f>
        <v>0</v>
      </c>
      <c r="O205" s="1927"/>
      <c r="P205" s="1913"/>
      <c r="Q205" s="1866" t="s">
        <v>1756</v>
      </c>
      <c r="AC205" s="1867">
        <f t="shared" ca="1" si="89"/>
        <v>1</v>
      </c>
      <c r="AD205" s="1867">
        <f t="shared" ca="1" si="89"/>
        <v>1</v>
      </c>
      <c r="AE205" s="1867">
        <f t="shared" ca="1" si="89"/>
        <v>1</v>
      </c>
      <c r="AF205" s="1867">
        <f t="shared" ca="1" si="88"/>
        <v>1</v>
      </c>
      <c r="AG205" s="1867">
        <f t="shared" ca="1" si="88"/>
        <v>1</v>
      </c>
      <c r="AH205" s="1867">
        <f t="shared" ca="1" si="88"/>
        <v>1</v>
      </c>
      <c r="AI205" s="1867">
        <f t="shared" ca="1" si="88"/>
        <v>1</v>
      </c>
      <c r="AJ205" s="1867">
        <f t="shared" ca="1" si="88"/>
        <v>1</v>
      </c>
      <c r="AK205" s="1867">
        <f t="shared" ca="1" si="88"/>
        <v>1</v>
      </c>
      <c r="AL205" s="1867">
        <f t="shared" ca="1" si="88"/>
        <v>1</v>
      </c>
      <c r="AM205" s="1867">
        <f t="shared" ca="1" si="60"/>
        <v>1</v>
      </c>
      <c r="AN205" s="1868" t="s">
        <v>1585</v>
      </c>
      <c r="AO205" s="1867">
        <f t="shared" ca="1" si="61"/>
        <v>1</v>
      </c>
    </row>
    <row r="206" spans="1:41">
      <c r="A206" s="1960">
        <f>ROW()</f>
        <v>206</v>
      </c>
      <c r="B206" s="2003">
        <f>ROW(B68)</f>
        <v>68</v>
      </c>
      <c r="C206" s="1866"/>
      <c r="D206" s="1866" t="s">
        <v>1772</v>
      </c>
      <c r="E206" s="1904">
        <f t="shared" ref="E206:N206" si="96">E$68</f>
        <v>4844870.2432031929</v>
      </c>
      <c r="F206" s="1904">
        <f t="shared" si="96"/>
        <v>6177360.601203193</v>
      </c>
      <c r="G206" s="1904">
        <f t="shared" si="96"/>
        <v>7282864.1360153938</v>
      </c>
      <c r="H206" s="1904">
        <f t="shared" si="96"/>
        <v>7950663.0730996076</v>
      </c>
      <c r="I206" s="1904">
        <f t="shared" si="96"/>
        <v>8144422.0970535725</v>
      </c>
      <c r="J206" s="1904">
        <f t="shared" si="96"/>
        <v>8558061.8625922557</v>
      </c>
      <c r="K206" s="1904">
        <f t="shared" si="96"/>
        <v>0</v>
      </c>
      <c r="L206" s="1904">
        <f t="shared" si="96"/>
        <v>0</v>
      </c>
      <c r="M206" s="1904">
        <f t="shared" si="96"/>
        <v>0</v>
      </c>
      <c r="N206" s="1904">
        <f t="shared" si="96"/>
        <v>0</v>
      </c>
      <c r="O206" s="1927"/>
      <c r="P206" s="1913"/>
      <c r="Q206" s="1866" t="s">
        <v>1773</v>
      </c>
      <c r="AC206" s="1867">
        <f t="shared" ca="1" si="89"/>
        <v>1</v>
      </c>
      <c r="AD206" s="1867">
        <f t="shared" ca="1" si="89"/>
        <v>1</v>
      </c>
      <c r="AE206" s="1867">
        <f t="shared" ca="1" si="89"/>
        <v>1</v>
      </c>
      <c r="AF206" s="1867">
        <f t="shared" ca="1" si="88"/>
        <v>1</v>
      </c>
      <c r="AG206" s="1867">
        <f t="shared" ca="1" si="88"/>
        <v>1</v>
      </c>
      <c r="AH206" s="1867">
        <f t="shared" ca="1" si="88"/>
        <v>1</v>
      </c>
      <c r="AI206" s="1867">
        <f t="shared" ca="1" si="88"/>
        <v>1</v>
      </c>
      <c r="AJ206" s="1867">
        <f t="shared" ca="1" si="88"/>
        <v>1</v>
      </c>
      <c r="AK206" s="1867">
        <f t="shared" ca="1" si="88"/>
        <v>1</v>
      </c>
      <c r="AL206" s="1867">
        <f t="shared" ca="1" si="88"/>
        <v>1</v>
      </c>
      <c r="AM206" s="1867">
        <f t="shared" ca="1" si="60"/>
        <v>1</v>
      </c>
      <c r="AN206" s="1868" t="s">
        <v>1585</v>
      </c>
      <c r="AO206" s="1867">
        <f t="shared" ca="1" si="61"/>
        <v>1</v>
      </c>
    </row>
    <row r="207" spans="1:41">
      <c r="A207" s="1960">
        <f>ROW()</f>
        <v>207</v>
      </c>
      <c r="B207" s="2003">
        <f>ROW(B81)</f>
        <v>81</v>
      </c>
      <c r="C207" s="1866"/>
      <c r="D207" s="1866" t="s">
        <v>1774</v>
      </c>
      <c r="E207" s="1904">
        <f t="shared" ref="E207:N207" si="97">E$81</f>
        <v>0</v>
      </c>
      <c r="F207" s="1904">
        <f t="shared" si="97"/>
        <v>0</v>
      </c>
      <c r="G207" s="1904">
        <f t="shared" si="97"/>
        <v>0</v>
      </c>
      <c r="H207" s="1904">
        <f t="shared" si="97"/>
        <v>0</v>
      </c>
      <c r="I207" s="1904">
        <f t="shared" si="97"/>
        <v>0</v>
      </c>
      <c r="J207" s="1904">
        <f t="shared" si="97"/>
        <v>0</v>
      </c>
      <c r="K207" s="1904">
        <f t="shared" si="97"/>
        <v>0</v>
      </c>
      <c r="L207" s="1904">
        <f t="shared" si="97"/>
        <v>0</v>
      </c>
      <c r="M207" s="1904">
        <f t="shared" si="97"/>
        <v>0</v>
      </c>
      <c r="N207" s="1904">
        <f t="shared" si="97"/>
        <v>0</v>
      </c>
      <c r="O207" s="1927"/>
      <c r="P207" s="1913"/>
      <c r="Q207" s="1866"/>
      <c r="AC207" s="1867">
        <f t="shared" ca="1" si="89"/>
        <v>1</v>
      </c>
      <c r="AD207" s="1867">
        <f t="shared" ca="1" si="89"/>
        <v>1</v>
      </c>
      <c r="AE207" s="1867">
        <f t="shared" ca="1" si="89"/>
        <v>1</v>
      </c>
      <c r="AF207" s="1867">
        <f t="shared" ca="1" si="88"/>
        <v>1</v>
      </c>
      <c r="AG207" s="1867">
        <f t="shared" ca="1" si="88"/>
        <v>1</v>
      </c>
      <c r="AH207" s="1867">
        <f t="shared" ca="1" si="88"/>
        <v>1</v>
      </c>
      <c r="AI207" s="1867">
        <f t="shared" ca="1" si="88"/>
        <v>1</v>
      </c>
      <c r="AJ207" s="1867">
        <f t="shared" ca="1" si="88"/>
        <v>1</v>
      </c>
      <c r="AK207" s="1867">
        <f t="shared" ca="1" si="88"/>
        <v>1</v>
      </c>
      <c r="AL207" s="1867">
        <f t="shared" ca="1" si="88"/>
        <v>1</v>
      </c>
      <c r="AM207" s="1867">
        <f t="shared" ca="1" si="60"/>
        <v>1</v>
      </c>
      <c r="AN207" s="1868" t="s">
        <v>1585</v>
      </c>
      <c r="AO207" s="1867">
        <f t="shared" ca="1" si="61"/>
        <v>1</v>
      </c>
    </row>
    <row r="208" spans="1:41">
      <c r="A208" s="1960">
        <f>ROW()</f>
        <v>208</v>
      </c>
      <c r="B208" s="2003">
        <f>ROW(B82)</f>
        <v>82</v>
      </c>
      <c r="C208" s="1866"/>
      <c r="D208" s="1866" t="s">
        <v>1775</v>
      </c>
      <c r="E208" s="1904">
        <f t="shared" ref="E208:N208" si="98">E$82</f>
        <v>0</v>
      </c>
      <c r="F208" s="1904">
        <f t="shared" si="98"/>
        <v>0</v>
      </c>
      <c r="G208" s="1904">
        <f t="shared" si="98"/>
        <v>0</v>
      </c>
      <c r="H208" s="1904">
        <f t="shared" si="98"/>
        <v>0</v>
      </c>
      <c r="I208" s="1904">
        <f t="shared" si="98"/>
        <v>0</v>
      </c>
      <c r="J208" s="1904">
        <f t="shared" si="98"/>
        <v>0</v>
      </c>
      <c r="K208" s="1904">
        <f t="shared" si="98"/>
        <v>0</v>
      </c>
      <c r="L208" s="1904">
        <f t="shared" si="98"/>
        <v>0</v>
      </c>
      <c r="M208" s="1904">
        <f t="shared" si="98"/>
        <v>0</v>
      </c>
      <c r="N208" s="1904">
        <f t="shared" si="98"/>
        <v>0</v>
      </c>
      <c r="O208" s="2004"/>
      <c r="P208" s="1913"/>
      <c r="Q208" s="1866"/>
      <c r="AC208" s="1867">
        <f t="shared" ca="1" si="89"/>
        <v>1</v>
      </c>
      <c r="AD208" s="1867">
        <f t="shared" ca="1" si="89"/>
        <v>1</v>
      </c>
      <c r="AE208" s="1867">
        <f t="shared" ca="1" si="89"/>
        <v>1</v>
      </c>
      <c r="AF208" s="1867">
        <f t="shared" ca="1" si="88"/>
        <v>1</v>
      </c>
      <c r="AG208" s="1867">
        <f t="shared" ca="1" si="88"/>
        <v>1</v>
      </c>
      <c r="AH208" s="1867">
        <f t="shared" ca="1" si="88"/>
        <v>1</v>
      </c>
      <c r="AI208" s="1867">
        <f t="shared" ca="1" si="88"/>
        <v>1</v>
      </c>
      <c r="AJ208" s="1867">
        <f t="shared" ca="1" si="88"/>
        <v>1</v>
      </c>
      <c r="AK208" s="1867">
        <f t="shared" ca="1" si="88"/>
        <v>1</v>
      </c>
      <c r="AL208" s="1867">
        <f t="shared" ca="1" si="88"/>
        <v>1</v>
      </c>
      <c r="AM208" s="1867">
        <f t="shared" ca="1" si="60"/>
        <v>1</v>
      </c>
      <c r="AN208" s="1868" t="s">
        <v>1585</v>
      </c>
      <c r="AO208" s="1867">
        <f t="shared" ca="1" si="61"/>
        <v>1</v>
      </c>
    </row>
    <row r="209" spans="1:41">
      <c r="A209" s="1960">
        <f>ROW()</f>
        <v>209</v>
      </c>
      <c r="B209" s="2005"/>
      <c r="C209" s="1866"/>
      <c r="D209" s="1866" t="s">
        <v>1776</v>
      </c>
      <c r="E209" s="1934">
        <f t="shared" ref="E209:N209" si="99">+E206-E208-E207</f>
        <v>4844870.2432031929</v>
      </c>
      <c r="F209" s="1934">
        <f t="shared" si="99"/>
        <v>6177360.601203193</v>
      </c>
      <c r="G209" s="1934">
        <f t="shared" si="99"/>
        <v>7282864.1360153938</v>
      </c>
      <c r="H209" s="1934">
        <f t="shared" si="99"/>
        <v>7950663.0730996076</v>
      </c>
      <c r="I209" s="1934">
        <f t="shared" si="99"/>
        <v>8144422.0970535725</v>
      </c>
      <c r="J209" s="1934">
        <f t="shared" si="99"/>
        <v>8558061.8625922557</v>
      </c>
      <c r="K209" s="1934">
        <f t="shared" si="99"/>
        <v>0</v>
      </c>
      <c r="L209" s="1934">
        <f t="shared" si="99"/>
        <v>0</v>
      </c>
      <c r="M209" s="1934">
        <f t="shared" si="99"/>
        <v>0</v>
      </c>
      <c r="N209" s="1934">
        <f t="shared" si="99"/>
        <v>0</v>
      </c>
      <c r="O209" s="1927"/>
      <c r="P209" s="1913"/>
      <c r="Q209" s="1866"/>
      <c r="AC209" s="1867">
        <f t="shared" ca="1" si="89"/>
        <v>1</v>
      </c>
      <c r="AD209" s="1867">
        <f t="shared" ca="1" si="89"/>
        <v>1</v>
      </c>
      <c r="AE209" s="1867">
        <f t="shared" ca="1" si="89"/>
        <v>1</v>
      </c>
      <c r="AF209" s="1867">
        <f t="shared" ca="1" si="88"/>
        <v>1</v>
      </c>
      <c r="AG209" s="1867">
        <f t="shared" ca="1" si="88"/>
        <v>1</v>
      </c>
      <c r="AH209" s="1867">
        <f t="shared" ca="1" si="88"/>
        <v>1</v>
      </c>
      <c r="AI209" s="1867">
        <f t="shared" ca="1" si="88"/>
        <v>1</v>
      </c>
      <c r="AJ209" s="1867">
        <f t="shared" ca="1" si="88"/>
        <v>1</v>
      </c>
      <c r="AK209" s="1867">
        <f t="shared" ca="1" si="88"/>
        <v>1</v>
      </c>
      <c r="AL209" s="1867">
        <f t="shared" ca="1" si="88"/>
        <v>1</v>
      </c>
      <c r="AM209" s="1867">
        <f t="shared" ca="1" si="60"/>
        <v>1</v>
      </c>
      <c r="AN209" s="1868" t="s">
        <v>1585</v>
      </c>
      <c r="AO209" s="1867">
        <f t="shared" ca="1" si="61"/>
        <v>1</v>
      </c>
    </row>
    <row r="210" spans="1:41">
      <c r="A210" s="1960">
        <f>ROW()</f>
        <v>210</v>
      </c>
      <c r="B210" s="2005"/>
      <c r="C210" s="1866"/>
      <c r="D210" s="1866" t="s">
        <v>1777</v>
      </c>
      <c r="E210" s="1936">
        <f t="shared" ref="E210:N210" si="100">+E209/365</f>
        <v>13273.617104666282</v>
      </c>
      <c r="F210" s="1936">
        <f t="shared" si="100"/>
        <v>16924.275619734773</v>
      </c>
      <c r="G210" s="1936">
        <f t="shared" si="100"/>
        <v>19953.052427439434</v>
      </c>
      <c r="H210" s="1936">
        <f t="shared" si="100"/>
        <v>21782.638556437279</v>
      </c>
      <c r="I210" s="1936">
        <f t="shared" si="100"/>
        <v>22313.485197407048</v>
      </c>
      <c r="J210" s="1936">
        <f t="shared" si="100"/>
        <v>23446.744829019877</v>
      </c>
      <c r="K210" s="1936">
        <f t="shared" si="100"/>
        <v>0</v>
      </c>
      <c r="L210" s="1936">
        <f t="shared" si="100"/>
        <v>0</v>
      </c>
      <c r="M210" s="1936">
        <f t="shared" si="100"/>
        <v>0</v>
      </c>
      <c r="N210" s="1936">
        <f t="shared" si="100"/>
        <v>0</v>
      </c>
      <c r="O210" s="1927"/>
      <c r="P210" s="1913"/>
      <c r="Q210" s="1866"/>
      <c r="AC210" s="1867">
        <f t="shared" ca="1" si="89"/>
        <v>1</v>
      </c>
      <c r="AD210" s="1867">
        <f t="shared" ca="1" si="89"/>
        <v>1</v>
      </c>
      <c r="AE210" s="1867">
        <f t="shared" ca="1" si="89"/>
        <v>1</v>
      </c>
      <c r="AF210" s="1867">
        <f t="shared" ca="1" si="88"/>
        <v>1</v>
      </c>
      <c r="AG210" s="1867">
        <f t="shared" ca="1" si="88"/>
        <v>1</v>
      </c>
      <c r="AH210" s="1867">
        <f t="shared" ca="1" si="88"/>
        <v>1</v>
      </c>
      <c r="AI210" s="1867">
        <f t="shared" ca="1" si="88"/>
        <v>1</v>
      </c>
      <c r="AJ210" s="1867">
        <f t="shared" ca="1" si="88"/>
        <v>1</v>
      </c>
      <c r="AK210" s="1867">
        <f t="shared" ca="1" si="88"/>
        <v>1</v>
      </c>
      <c r="AL210" s="1867">
        <f t="shared" ca="1" si="88"/>
        <v>1</v>
      </c>
      <c r="AM210" s="1867">
        <f t="shared" ca="1" si="60"/>
        <v>1</v>
      </c>
      <c r="AN210" s="1868" t="s">
        <v>1585</v>
      </c>
      <c r="AO210" s="1867">
        <f t="shared" ca="1" si="61"/>
        <v>1</v>
      </c>
    </row>
    <row r="211" spans="1:41" ht="13.8" thickBot="1">
      <c r="A211" s="1960">
        <f>ROW()</f>
        <v>211</v>
      </c>
      <c r="B211" s="2005"/>
      <c r="C211" s="1866"/>
      <c r="D211" s="2006" t="s">
        <v>1778</v>
      </c>
      <c r="E211" s="2016">
        <f>IF(E210=0,0,E205/E210)</f>
        <v>30.915431608506118</v>
      </c>
      <c r="F211" s="2016">
        <f t="shared" ref="F211:N211" si="101">IF(F210=0,0,F205/F210)</f>
        <v>84.453633845977251</v>
      </c>
      <c r="G211" s="2016">
        <f t="shared" si="101"/>
        <v>123.52664225636109</v>
      </c>
      <c r="H211" s="2016">
        <f t="shared" si="101"/>
        <v>186.12599054554798</v>
      </c>
      <c r="I211" s="2016">
        <f t="shared" si="101"/>
        <v>265.85835453775314</v>
      </c>
      <c r="J211" s="2017">
        <f t="shared" si="101"/>
        <v>328.48862040634202</v>
      </c>
      <c r="K211" s="2017">
        <f t="shared" si="101"/>
        <v>0</v>
      </c>
      <c r="L211" s="2017">
        <f t="shared" si="101"/>
        <v>0</v>
      </c>
      <c r="M211" s="2017">
        <f t="shared" si="101"/>
        <v>0</v>
      </c>
      <c r="N211" s="2017">
        <f t="shared" si="101"/>
        <v>0</v>
      </c>
      <c r="O211" s="2018"/>
      <c r="P211" s="1913"/>
      <c r="Q211" s="1866" t="s">
        <v>1779</v>
      </c>
      <c r="AC211" s="1867">
        <f t="shared" ca="1" si="89"/>
        <v>1</v>
      </c>
      <c r="AD211" s="1867">
        <f t="shared" ca="1" si="89"/>
        <v>1</v>
      </c>
      <c r="AE211" s="1867">
        <f t="shared" ca="1" si="89"/>
        <v>1</v>
      </c>
      <c r="AF211" s="1867">
        <f t="shared" ca="1" si="88"/>
        <v>1</v>
      </c>
      <c r="AG211" s="1867">
        <f t="shared" ca="1" si="88"/>
        <v>1</v>
      </c>
      <c r="AH211" s="1867">
        <f t="shared" ca="1" si="88"/>
        <v>1</v>
      </c>
      <c r="AI211" s="1867">
        <f t="shared" ca="1" si="88"/>
        <v>1</v>
      </c>
      <c r="AJ211" s="1867">
        <f t="shared" ca="1" si="88"/>
        <v>1</v>
      </c>
      <c r="AK211" s="1867">
        <f t="shared" ca="1" si="88"/>
        <v>1</v>
      </c>
      <c r="AL211" s="1867">
        <f t="shared" ca="1" si="88"/>
        <v>1</v>
      </c>
      <c r="AM211" s="1867">
        <f t="shared" ca="1" si="60"/>
        <v>1</v>
      </c>
      <c r="AN211" s="1868" t="s">
        <v>1585</v>
      </c>
      <c r="AO211" s="1867">
        <f t="shared" ca="1" si="61"/>
        <v>1</v>
      </c>
    </row>
    <row r="212" spans="1:41" ht="13.8" thickTop="1">
      <c r="A212" s="1960">
        <f>ROW()</f>
        <v>212</v>
      </c>
      <c r="B212" s="2005"/>
      <c r="C212" s="1866"/>
      <c r="D212" s="2019" t="s">
        <v>1780</v>
      </c>
      <c r="E212" s="2011">
        <f>IFERROR(IF(E211=0,0,IF(E211-D211&gt;0,"Pos Chg","Neg")),0)</f>
        <v>0</v>
      </c>
      <c r="F212" s="2011" t="str">
        <f t="shared" ref="F212:N212" si="102">IFERROR(IF(F211=0,0,IF(F211-E211&gt;0,"Pos Chg","Neg")),0)</f>
        <v>Pos Chg</v>
      </c>
      <c r="G212" s="2011" t="str">
        <f t="shared" si="102"/>
        <v>Pos Chg</v>
      </c>
      <c r="H212" s="2011" t="str">
        <f t="shared" si="102"/>
        <v>Pos Chg</v>
      </c>
      <c r="I212" s="2011" t="str">
        <f t="shared" si="102"/>
        <v>Pos Chg</v>
      </c>
      <c r="J212" s="2011" t="str">
        <f t="shared" si="102"/>
        <v>Pos Chg</v>
      </c>
      <c r="K212" s="2011">
        <f t="shared" si="102"/>
        <v>0</v>
      </c>
      <c r="L212" s="2011">
        <f t="shared" si="102"/>
        <v>0</v>
      </c>
      <c r="M212" s="2011">
        <f t="shared" si="102"/>
        <v>0</v>
      </c>
      <c r="N212" s="2011">
        <f t="shared" si="102"/>
        <v>0</v>
      </c>
      <c r="O212" s="2018"/>
      <c r="P212" s="1913"/>
      <c r="Q212" s="1866"/>
      <c r="AC212" s="1867">
        <f t="shared" ca="1" si="89"/>
        <v>1</v>
      </c>
      <c r="AD212" s="1867">
        <f t="shared" ca="1" si="89"/>
        <v>1</v>
      </c>
      <c r="AE212" s="1867">
        <f t="shared" ca="1" si="89"/>
        <v>1</v>
      </c>
      <c r="AF212" s="1867">
        <f t="shared" ca="1" si="88"/>
        <v>1</v>
      </c>
      <c r="AG212" s="1867">
        <f t="shared" ca="1" si="88"/>
        <v>1</v>
      </c>
      <c r="AH212" s="1867">
        <f t="shared" ca="1" si="88"/>
        <v>1</v>
      </c>
      <c r="AI212" s="1867">
        <f t="shared" ca="1" si="88"/>
        <v>1</v>
      </c>
      <c r="AJ212" s="1867">
        <f t="shared" ca="1" si="88"/>
        <v>1</v>
      </c>
      <c r="AK212" s="1867">
        <f t="shared" ca="1" si="88"/>
        <v>1</v>
      </c>
      <c r="AL212" s="1867">
        <f t="shared" ca="1" si="88"/>
        <v>1</v>
      </c>
      <c r="AM212" s="1867">
        <f t="shared" ca="1" si="60"/>
        <v>1</v>
      </c>
      <c r="AN212" s="1868" t="s">
        <v>1585</v>
      </c>
      <c r="AO212" s="1867">
        <f t="shared" ca="1" si="61"/>
        <v>1</v>
      </c>
    </row>
    <row r="213" spans="1:41">
      <c r="A213" s="1960">
        <f>ROW()</f>
        <v>213</v>
      </c>
      <c r="B213" s="2005"/>
      <c r="C213" s="1866"/>
      <c r="D213" s="2020" t="s">
        <v>1764</v>
      </c>
      <c r="E213" s="2021" t="str">
        <f t="shared" ref="E213:N213" si="103">E$363</f>
        <v>n/a</v>
      </c>
      <c r="F213" s="2021" t="str">
        <f t="shared" si="103"/>
        <v>MS</v>
      </c>
      <c r="G213" s="2021" t="str">
        <f t="shared" si="103"/>
        <v>MS</v>
      </c>
      <c r="H213" s="2021" t="str">
        <f t="shared" si="103"/>
        <v>MS</v>
      </c>
      <c r="I213" s="2021" t="str">
        <f t="shared" si="103"/>
        <v>MS</v>
      </c>
      <c r="J213" s="2021" t="str">
        <f t="shared" si="103"/>
        <v>MS</v>
      </c>
      <c r="K213" s="2021">
        <f t="shared" si="103"/>
        <v>0</v>
      </c>
      <c r="L213" s="2021">
        <f t="shared" si="103"/>
        <v>0</v>
      </c>
      <c r="M213" s="2021">
        <f t="shared" si="103"/>
        <v>0</v>
      </c>
      <c r="N213" s="2021">
        <f t="shared" si="103"/>
        <v>0</v>
      </c>
      <c r="O213" s="1909"/>
      <c r="P213" s="1913"/>
      <c r="Q213" s="1866"/>
      <c r="AC213" s="1867">
        <f t="shared" ca="1" si="89"/>
        <v>1</v>
      </c>
      <c r="AD213" s="1867">
        <f t="shared" ca="1" si="89"/>
        <v>1</v>
      </c>
      <c r="AE213" s="1867">
        <f t="shared" ca="1" si="89"/>
        <v>1</v>
      </c>
      <c r="AF213" s="1867">
        <f t="shared" ca="1" si="88"/>
        <v>1</v>
      </c>
      <c r="AG213" s="1867">
        <f t="shared" ca="1" si="88"/>
        <v>1</v>
      </c>
      <c r="AH213" s="1867">
        <f t="shared" ca="1" si="88"/>
        <v>1</v>
      </c>
      <c r="AI213" s="1867">
        <f t="shared" ca="1" si="88"/>
        <v>1</v>
      </c>
      <c r="AJ213" s="1867">
        <f t="shared" ca="1" si="88"/>
        <v>1</v>
      </c>
      <c r="AK213" s="1867">
        <f t="shared" ca="1" si="88"/>
        <v>1</v>
      </c>
      <c r="AL213" s="1867">
        <f t="shared" ca="1" si="88"/>
        <v>1</v>
      </c>
      <c r="AM213" s="1867">
        <f t="shared" ca="1" si="60"/>
        <v>1</v>
      </c>
      <c r="AN213" s="1868" t="s">
        <v>1585</v>
      </c>
      <c r="AO213" s="1867">
        <f t="shared" ca="1" si="61"/>
        <v>1</v>
      </c>
    </row>
    <row r="214" spans="1:41">
      <c r="A214" s="1960">
        <f>ROW()</f>
        <v>214</v>
      </c>
      <c r="B214" s="2014" t="s">
        <v>1532</v>
      </c>
      <c r="C214" s="1866"/>
      <c r="D214" s="2235"/>
      <c r="E214" s="2234"/>
      <c r="F214" s="2234"/>
      <c r="G214" s="2234"/>
      <c r="H214" s="2234"/>
      <c r="I214" s="2234"/>
      <c r="J214" s="2234"/>
      <c r="K214" s="2234"/>
      <c r="L214" s="2234"/>
      <c r="M214" s="2234"/>
      <c r="N214" s="2234"/>
      <c r="O214" s="1909"/>
      <c r="P214" s="1913"/>
      <c r="Q214" s="1866"/>
      <c r="AC214" s="1867">
        <f t="shared" ca="1" si="89"/>
        <v>1</v>
      </c>
      <c r="AD214" s="1867">
        <f t="shared" ca="1" si="89"/>
        <v>1</v>
      </c>
      <c r="AE214" s="1867">
        <f t="shared" ca="1" si="89"/>
        <v>1</v>
      </c>
      <c r="AF214" s="1867">
        <f t="shared" ca="1" si="88"/>
        <v>0</v>
      </c>
      <c r="AG214" s="1867">
        <f t="shared" ca="1" si="88"/>
        <v>0</v>
      </c>
      <c r="AH214" s="1867">
        <f t="shared" ca="1" si="88"/>
        <v>0</v>
      </c>
      <c r="AI214" s="1867">
        <f t="shared" ca="1" si="88"/>
        <v>0</v>
      </c>
      <c r="AJ214" s="1867">
        <f t="shared" ca="1" si="88"/>
        <v>0</v>
      </c>
      <c r="AK214" s="1867">
        <f t="shared" ca="1" si="88"/>
        <v>0</v>
      </c>
      <c r="AL214" s="1867">
        <f t="shared" ca="1" si="88"/>
        <v>0</v>
      </c>
      <c r="AM214" s="1867">
        <f t="shared" ca="1" si="60"/>
        <v>1</v>
      </c>
      <c r="AN214" s="1868" t="s">
        <v>1585</v>
      </c>
      <c r="AO214" s="1867">
        <f t="shared" ca="1" si="61"/>
        <v>1</v>
      </c>
    </row>
    <row r="215" spans="1:41">
      <c r="A215" s="1960">
        <f>ROW()</f>
        <v>215</v>
      </c>
      <c r="B215" s="2005"/>
      <c r="C215" s="1866"/>
      <c r="D215" s="2234"/>
      <c r="E215" s="2234"/>
      <c r="F215" s="2234"/>
      <c r="G215" s="2234"/>
      <c r="H215" s="2234"/>
      <c r="I215" s="2234"/>
      <c r="J215" s="2234"/>
      <c r="K215" s="2234"/>
      <c r="L215" s="2234"/>
      <c r="M215" s="2234"/>
      <c r="N215" s="2234"/>
      <c r="O215" s="1909"/>
      <c r="P215" s="1913"/>
      <c r="Q215" s="1866"/>
      <c r="AC215" s="1867">
        <f t="shared" ca="1" si="89"/>
        <v>1</v>
      </c>
      <c r="AD215" s="1867">
        <f t="shared" ca="1" si="89"/>
        <v>1</v>
      </c>
      <c r="AE215" s="1867">
        <f t="shared" ca="1" si="89"/>
        <v>1</v>
      </c>
      <c r="AF215" s="1867">
        <f t="shared" ca="1" si="88"/>
        <v>0</v>
      </c>
      <c r="AG215" s="1867">
        <f t="shared" ca="1" si="88"/>
        <v>0</v>
      </c>
      <c r="AH215" s="1867">
        <f t="shared" ca="1" si="88"/>
        <v>0</v>
      </c>
      <c r="AI215" s="1867">
        <f t="shared" ca="1" si="88"/>
        <v>0</v>
      </c>
      <c r="AJ215" s="1867">
        <f t="shared" ca="1" si="88"/>
        <v>0</v>
      </c>
      <c r="AK215" s="1867">
        <f t="shared" ca="1" si="88"/>
        <v>0</v>
      </c>
      <c r="AL215" s="1867">
        <f t="shared" ca="1" si="88"/>
        <v>0</v>
      </c>
      <c r="AM215" s="1867">
        <f t="shared" ca="1" si="60"/>
        <v>1</v>
      </c>
      <c r="AN215" s="1868" t="s">
        <v>1585</v>
      </c>
      <c r="AO215" s="1867">
        <f t="shared" ca="1" si="61"/>
        <v>1</v>
      </c>
    </row>
    <row r="216" spans="1:41">
      <c r="A216" s="1960">
        <f>ROW()</f>
        <v>216</v>
      </c>
      <c r="B216" s="2005"/>
      <c r="C216" s="1866"/>
      <c r="D216" s="1866"/>
      <c r="E216" s="1904"/>
      <c r="F216" s="1904"/>
      <c r="G216" s="1904"/>
      <c r="H216" s="1904"/>
      <c r="I216" s="1904"/>
      <c r="J216" s="1904"/>
      <c r="K216" s="1904"/>
      <c r="L216" s="1904"/>
      <c r="M216" s="1904"/>
      <c r="N216" s="1904"/>
      <c r="O216" s="1909"/>
      <c r="P216" s="1913"/>
      <c r="Q216" s="1866"/>
      <c r="AC216" s="1867">
        <f t="shared" ca="1" si="89"/>
        <v>1</v>
      </c>
      <c r="AD216" s="1867">
        <f t="shared" ca="1" si="89"/>
        <v>1</v>
      </c>
      <c r="AE216" s="1867">
        <f t="shared" ca="1" si="89"/>
        <v>1</v>
      </c>
      <c r="AF216" s="1867">
        <f t="shared" ca="1" si="88"/>
        <v>1</v>
      </c>
      <c r="AG216" s="1867">
        <f t="shared" ca="1" si="88"/>
        <v>1</v>
      </c>
      <c r="AH216" s="1867">
        <f t="shared" ca="1" si="88"/>
        <v>1</v>
      </c>
      <c r="AI216" s="1867">
        <f t="shared" ca="1" si="88"/>
        <v>1</v>
      </c>
      <c r="AJ216" s="1867">
        <f t="shared" ca="1" si="88"/>
        <v>1</v>
      </c>
      <c r="AK216" s="1867">
        <f t="shared" ca="1" si="88"/>
        <v>1</v>
      </c>
      <c r="AL216" s="1867">
        <f t="shared" ca="1" si="88"/>
        <v>1</v>
      </c>
      <c r="AM216" s="1867">
        <f t="shared" ca="1" si="60"/>
        <v>1</v>
      </c>
      <c r="AN216" s="1868" t="s">
        <v>1585</v>
      </c>
      <c r="AO216" s="1867">
        <f t="shared" ca="1" si="61"/>
        <v>1</v>
      </c>
    </row>
    <row r="217" spans="1:41">
      <c r="A217" s="1960">
        <f>ROW()</f>
        <v>217</v>
      </c>
      <c r="B217" s="2005"/>
      <c r="C217" s="1866"/>
      <c r="D217" s="1866" t="s">
        <v>1781</v>
      </c>
      <c r="E217" s="1938"/>
      <c r="F217" s="1938"/>
      <c r="G217" s="1938"/>
      <c r="H217" s="1938"/>
      <c r="I217" s="1938"/>
      <c r="J217" s="1938"/>
      <c r="K217" s="1938"/>
      <c r="L217" s="1938"/>
      <c r="M217" s="1938"/>
      <c r="N217" s="1938"/>
      <c r="O217" s="1909"/>
      <c r="P217" s="1913"/>
      <c r="Q217" s="1866"/>
      <c r="AC217" s="1867">
        <f t="shared" ca="1" si="89"/>
        <v>1</v>
      </c>
      <c r="AD217" s="1867">
        <f t="shared" ca="1" si="89"/>
        <v>1</v>
      </c>
      <c r="AE217" s="1867">
        <f t="shared" ca="1" si="89"/>
        <v>1</v>
      </c>
      <c r="AF217" s="1867">
        <f t="shared" ca="1" si="88"/>
        <v>1</v>
      </c>
      <c r="AG217" s="1867">
        <f t="shared" ca="1" si="88"/>
        <v>1</v>
      </c>
      <c r="AH217" s="1867">
        <f t="shared" ca="1" si="88"/>
        <v>1</v>
      </c>
      <c r="AI217" s="1867">
        <f t="shared" ca="1" si="88"/>
        <v>1</v>
      </c>
      <c r="AJ217" s="1867">
        <f t="shared" ca="1" si="88"/>
        <v>1</v>
      </c>
      <c r="AK217" s="1867">
        <f t="shared" ca="1" si="88"/>
        <v>1</v>
      </c>
      <c r="AL217" s="1867">
        <f t="shared" ca="1" si="88"/>
        <v>1</v>
      </c>
      <c r="AM217" s="1867">
        <f t="shared" ca="1" si="60"/>
        <v>1</v>
      </c>
      <c r="AN217" s="1868" t="s">
        <v>1585</v>
      </c>
      <c r="AO217" s="1867">
        <f t="shared" ca="1" si="61"/>
        <v>1</v>
      </c>
    </row>
    <row r="218" spans="1:41">
      <c r="A218" s="1960">
        <f>ROW()</f>
        <v>218</v>
      </c>
      <c r="B218" s="1998" t="s">
        <v>1782</v>
      </c>
      <c r="C218" s="1999"/>
      <c r="D218" s="2000" t="s">
        <v>1783</v>
      </c>
      <c r="E218" s="2015"/>
      <c r="F218" s="2015"/>
      <c r="G218" s="2015"/>
      <c r="H218" s="2015"/>
      <c r="I218" s="2015"/>
      <c r="J218" s="2015"/>
      <c r="K218" s="2015"/>
      <c r="L218" s="2015"/>
      <c r="M218" s="2015"/>
      <c r="N218" s="2015"/>
      <c r="O218" s="1909"/>
      <c r="P218" s="1913"/>
      <c r="Q218" s="1866" t="s">
        <v>1756</v>
      </c>
      <c r="AC218" s="1867">
        <f t="shared" ca="1" si="89"/>
        <v>1</v>
      </c>
      <c r="AD218" s="1867">
        <f t="shared" ca="1" si="89"/>
        <v>1</v>
      </c>
      <c r="AE218" s="1867">
        <f t="shared" ca="1" si="89"/>
        <v>1</v>
      </c>
      <c r="AF218" s="1867">
        <f t="shared" ca="1" si="88"/>
        <v>1</v>
      </c>
      <c r="AG218" s="1867">
        <f t="shared" ca="1" si="88"/>
        <v>1</v>
      </c>
      <c r="AH218" s="1867">
        <f t="shared" ca="1" si="88"/>
        <v>1</v>
      </c>
      <c r="AI218" s="1867">
        <f t="shared" ca="1" si="88"/>
        <v>1</v>
      </c>
      <c r="AJ218" s="1867">
        <f t="shared" ca="1" si="88"/>
        <v>1</v>
      </c>
      <c r="AK218" s="1867">
        <f t="shared" ca="1" si="88"/>
        <v>1</v>
      </c>
      <c r="AL218" s="1867">
        <f t="shared" ca="1" si="88"/>
        <v>1</v>
      </c>
      <c r="AM218" s="1867">
        <f t="shared" ca="1" si="60"/>
        <v>1</v>
      </c>
      <c r="AN218" s="1868" t="s">
        <v>1585</v>
      </c>
      <c r="AO218" s="1867">
        <f t="shared" ca="1" si="61"/>
        <v>1</v>
      </c>
    </row>
    <row r="219" spans="1:41">
      <c r="A219" s="1960">
        <f>ROW()</f>
        <v>219</v>
      </c>
      <c r="B219" s="2003" t="str">
        <f>ROW(A115)&amp;","&amp;ROW(A126)</f>
        <v>115,126</v>
      </c>
      <c r="C219" s="1866"/>
      <c r="D219" s="1866" t="s">
        <v>1784</v>
      </c>
      <c r="E219" s="1936">
        <f t="shared" ref="E219:N219" si="104">+E115+E126</f>
        <v>410359.60179680743</v>
      </c>
      <c r="F219" s="1936">
        <f t="shared" si="104"/>
        <v>1429316.5762974804</v>
      </c>
      <c r="G219" s="1936">
        <f t="shared" si="104"/>
        <v>2464733.569126728</v>
      </c>
      <c r="H219" s="1936">
        <f t="shared" si="104"/>
        <v>4054315.178012534</v>
      </c>
      <c r="I219" s="1936">
        <f t="shared" si="104"/>
        <v>5932226.4585851496</v>
      </c>
      <c r="J219" s="1936">
        <f t="shared" si="104"/>
        <v>7701988.8619042737</v>
      </c>
      <c r="K219" s="1936">
        <f t="shared" si="104"/>
        <v>0</v>
      </c>
      <c r="L219" s="1936">
        <f t="shared" si="104"/>
        <v>0</v>
      </c>
      <c r="M219" s="1936">
        <f t="shared" si="104"/>
        <v>0</v>
      </c>
      <c r="N219" s="1936">
        <f t="shared" si="104"/>
        <v>0</v>
      </c>
      <c r="O219" s="1909"/>
      <c r="P219" s="1913"/>
      <c r="Q219" s="1866"/>
      <c r="AC219" s="1867">
        <f t="shared" ca="1" si="89"/>
        <v>1</v>
      </c>
      <c r="AD219" s="1867">
        <f t="shared" ca="1" si="89"/>
        <v>1</v>
      </c>
      <c r="AE219" s="1867">
        <f t="shared" ca="1" si="89"/>
        <v>1</v>
      </c>
      <c r="AF219" s="1867">
        <f t="shared" ca="1" si="88"/>
        <v>1</v>
      </c>
      <c r="AG219" s="1867">
        <f t="shared" ca="1" si="88"/>
        <v>1</v>
      </c>
      <c r="AH219" s="1867">
        <f t="shared" ca="1" si="88"/>
        <v>1</v>
      </c>
      <c r="AI219" s="1867">
        <f t="shared" ca="1" si="88"/>
        <v>1</v>
      </c>
      <c r="AJ219" s="1867">
        <f t="shared" ca="1" si="88"/>
        <v>1</v>
      </c>
      <c r="AK219" s="1867">
        <f t="shared" ca="1" si="88"/>
        <v>1</v>
      </c>
      <c r="AL219" s="1867">
        <f t="shared" ca="1" si="88"/>
        <v>1</v>
      </c>
      <c r="AM219" s="1867">
        <f t="shared" ref="AM219:AM306" ca="1" si="105">CELL("protect",O219)</f>
        <v>1</v>
      </c>
      <c r="AN219" s="1868" t="s">
        <v>1585</v>
      </c>
      <c r="AO219" s="1867">
        <f t="shared" ref="AO219:AO306" ca="1" si="106">CELL("protect",P219)</f>
        <v>1</v>
      </c>
    </row>
    <row r="220" spans="1:41">
      <c r="A220" s="1960">
        <f>ROW()</f>
        <v>220</v>
      </c>
      <c r="B220" s="2003">
        <f>ROW(B84)</f>
        <v>84</v>
      </c>
      <c r="C220" s="1866"/>
      <c r="D220" s="1866" t="s">
        <v>1772</v>
      </c>
      <c r="E220" s="1904">
        <f t="shared" ref="E220:N220" si="107">E$68</f>
        <v>4844870.2432031929</v>
      </c>
      <c r="F220" s="1904">
        <f t="shared" si="107"/>
        <v>6177360.601203193</v>
      </c>
      <c r="G220" s="1904">
        <f t="shared" si="107"/>
        <v>7282864.1360153938</v>
      </c>
      <c r="H220" s="1904">
        <f t="shared" si="107"/>
        <v>7950663.0730996076</v>
      </c>
      <c r="I220" s="1904">
        <f t="shared" si="107"/>
        <v>8144422.0970535725</v>
      </c>
      <c r="J220" s="1904">
        <f t="shared" si="107"/>
        <v>8558061.8625922557</v>
      </c>
      <c r="K220" s="1904">
        <f t="shared" si="107"/>
        <v>0</v>
      </c>
      <c r="L220" s="1904">
        <f t="shared" si="107"/>
        <v>0</v>
      </c>
      <c r="M220" s="1904">
        <f t="shared" si="107"/>
        <v>0</v>
      </c>
      <c r="N220" s="1904">
        <f t="shared" si="107"/>
        <v>0</v>
      </c>
      <c r="O220" s="1909"/>
      <c r="P220" s="1913"/>
      <c r="Q220" s="1866"/>
      <c r="AC220" s="1867">
        <f t="shared" ca="1" si="89"/>
        <v>1</v>
      </c>
      <c r="AD220" s="1867">
        <f t="shared" ca="1" si="89"/>
        <v>1</v>
      </c>
      <c r="AE220" s="1867">
        <f t="shared" ca="1" si="89"/>
        <v>1</v>
      </c>
      <c r="AF220" s="1867">
        <f t="shared" ca="1" si="88"/>
        <v>1</v>
      </c>
      <c r="AG220" s="1867">
        <f t="shared" ca="1" si="88"/>
        <v>1</v>
      </c>
      <c r="AH220" s="1867">
        <f t="shared" ca="1" si="88"/>
        <v>1</v>
      </c>
      <c r="AI220" s="1867">
        <f t="shared" ca="1" si="88"/>
        <v>1</v>
      </c>
      <c r="AJ220" s="1867">
        <f t="shared" ca="1" si="88"/>
        <v>1</v>
      </c>
      <c r="AK220" s="1867">
        <f t="shared" ca="1" si="88"/>
        <v>1</v>
      </c>
      <c r="AL220" s="1867">
        <f t="shared" ca="1" si="88"/>
        <v>1</v>
      </c>
      <c r="AM220" s="1867">
        <f t="shared" ca="1" si="105"/>
        <v>1</v>
      </c>
      <c r="AN220" s="1868" t="s">
        <v>1585</v>
      </c>
      <c r="AO220" s="1867">
        <f t="shared" ca="1" si="106"/>
        <v>1</v>
      </c>
    </row>
    <row r="221" spans="1:41">
      <c r="A221" s="1960">
        <f>ROW()</f>
        <v>221</v>
      </c>
      <c r="B221" s="2003">
        <f>ROW(B96)</f>
        <v>96</v>
      </c>
      <c r="C221" s="1866"/>
      <c r="D221" s="1866" t="s">
        <v>1774</v>
      </c>
      <c r="E221" s="1904">
        <f t="shared" ref="E221:N221" si="108">E$81</f>
        <v>0</v>
      </c>
      <c r="F221" s="1904">
        <f t="shared" si="108"/>
        <v>0</v>
      </c>
      <c r="G221" s="1904">
        <f t="shared" si="108"/>
        <v>0</v>
      </c>
      <c r="H221" s="1904">
        <f t="shared" si="108"/>
        <v>0</v>
      </c>
      <c r="I221" s="1904">
        <f t="shared" si="108"/>
        <v>0</v>
      </c>
      <c r="J221" s="1904">
        <f t="shared" si="108"/>
        <v>0</v>
      </c>
      <c r="K221" s="1904">
        <f t="shared" si="108"/>
        <v>0</v>
      </c>
      <c r="L221" s="1904">
        <f t="shared" si="108"/>
        <v>0</v>
      </c>
      <c r="M221" s="1904">
        <f t="shared" si="108"/>
        <v>0</v>
      </c>
      <c r="N221" s="1904">
        <f t="shared" si="108"/>
        <v>0</v>
      </c>
      <c r="O221" s="1909"/>
      <c r="P221" s="1913"/>
      <c r="Q221" s="1866"/>
      <c r="AC221" s="1867">
        <f t="shared" ca="1" si="89"/>
        <v>1</v>
      </c>
      <c r="AD221" s="1867">
        <f t="shared" ca="1" si="89"/>
        <v>1</v>
      </c>
      <c r="AE221" s="1867">
        <f t="shared" ca="1" si="89"/>
        <v>1</v>
      </c>
      <c r="AF221" s="1867">
        <f t="shared" ca="1" si="88"/>
        <v>1</v>
      </c>
      <c r="AG221" s="1867">
        <f t="shared" ca="1" si="88"/>
        <v>1</v>
      </c>
      <c r="AH221" s="1867">
        <f t="shared" ca="1" si="88"/>
        <v>1</v>
      </c>
      <c r="AI221" s="1867">
        <f t="shared" ca="1" si="88"/>
        <v>1</v>
      </c>
      <c r="AJ221" s="1867">
        <f t="shared" ca="1" si="88"/>
        <v>1</v>
      </c>
      <c r="AK221" s="1867">
        <f t="shared" ca="1" si="88"/>
        <v>1</v>
      </c>
      <c r="AL221" s="1867">
        <f t="shared" ca="1" si="88"/>
        <v>1</v>
      </c>
      <c r="AM221" s="1867">
        <f t="shared" ca="1" si="105"/>
        <v>1</v>
      </c>
      <c r="AN221" s="1868" t="s">
        <v>1585</v>
      </c>
      <c r="AO221" s="1867">
        <f t="shared" ca="1" si="106"/>
        <v>1</v>
      </c>
    </row>
    <row r="222" spans="1:41">
      <c r="A222" s="1960">
        <f>ROW()</f>
        <v>222</v>
      </c>
      <c r="B222" s="2003">
        <f>ROW(B82)</f>
        <v>82</v>
      </c>
      <c r="C222" s="1866"/>
      <c r="D222" s="1866" t="s">
        <v>1775</v>
      </c>
      <c r="E222" s="1904">
        <f t="shared" ref="E222:N222" si="109">E$82</f>
        <v>0</v>
      </c>
      <c r="F222" s="1904">
        <f t="shared" si="109"/>
        <v>0</v>
      </c>
      <c r="G222" s="1904">
        <f t="shared" si="109"/>
        <v>0</v>
      </c>
      <c r="H222" s="1904">
        <f t="shared" si="109"/>
        <v>0</v>
      </c>
      <c r="I222" s="1904">
        <f t="shared" si="109"/>
        <v>0</v>
      </c>
      <c r="J222" s="1904">
        <f t="shared" si="109"/>
        <v>0</v>
      </c>
      <c r="K222" s="1904">
        <f t="shared" si="109"/>
        <v>0</v>
      </c>
      <c r="L222" s="1904">
        <f t="shared" si="109"/>
        <v>0</v>
      </c>
      <c r="M222" s="1904">
        <f t="shared" si="109"/>
        <v>0</v>
      </c>
      <c r="N222" s="1904">
        <f t="shared" si="109"/>
        <v>0</v>
      </c>
      <c r="O222" s="1909"/>
      <c r="P222" s="1913"/>
      <c r="Q222" s="1866"/>
      <c r="AC222" s="1867">
        <f t="shared" ca="1" si="89"/>
        <v>1</v>
      </c>
      <c r="AD222" s="1867">
        <f t="shared" ca="1" si="89"/>
        <v>1</v>
      </c>
      <c r="AE222" s="1867">
        <f t="shared" ca="1" si="89"/>
        <v>1</v>
      </c>
      <c r="AF222" s="1867">
        <f t="shared" ca="1" si="88"/>
        <v>1</v>
      </c>
      <c r="AG222" s="1867">
        <f t="shared" ca="1" si="88"/>
        <v>1</v>
      </c>
      <c r="AH222" s="1867">
        <f t="shared" ca="1" si="88"/>
        <v>1</v>
      </c>
      <c r="AI222" s="1867">
        <f t="shared" ca="1" si="88"/>
        <v>1</v>
      </c>
      <c r="AJ222" s="1867">
        <f t="shared" ca="1" si="88"/>
        <v>1</v>
      </c>
      <c r="AK222" s="1867">
        <f t="shared" ca="1" si="88"/>
        <v>1</v>
      </c>
      <c r="AL222" s="1867">
        <f t="shared" ca="1" si="88"/>
        <v>1</v>
      </c>
      <c r="AM222" s="1867">
        <f t="shared" ca="1" si="105"/>
        <v>1</v>
      </c>
      <c r="AN222" s="1868" t="s">
        <v>1585</v>
      </c>
      <c r="AO222" s="1867">
        <f t="shared" ca="1" si="106"/>
        <v>1</v>
      </c>
    </row>
    <row r="223" spans="1:41">
      <c r="A223" s="1960">
        <f>ROW()</f>
        <v>223</v>
      </c>
      <c r="B223" s="2003"/>
      <c r="C223" s="1866"/>
      <c r="D223" s="1866"/>
      <c r="E223" s="1904"/>
      <c r="F223" s="1904"/>
      <c r="G223" s="1904"/>
      <c r="H223" s="1904"/>
      <c r="I223" s="1904"/>
      <c r="J223" s="1904"/>
      <c r="K223" s="1904"/>
      <c r="L223" s="1904"/>
      <c r="M223" s="1904"/>
      <c r="N223" s="1904"/>
      <c r="O223" s="1909"/>
      <c r="P223" s="1913"/>
      <c r="Q223" s="1866"/>
      <c r="AC223" s="1867"/>
      <c r="AD223" s="1867"/>
      <c r="AE223" s="1867"/>
      <c r="AF223" s="1867"/>
      <c r="AG223" s="1867"/>
      <c r="AH223" s="1867"/>
      <c r="AI223" s="1867"/>
      <c r="AJ223" s="1867"/>
      <c r="AK223" s="1867"/>
      <c r="AL223" s="1867"/>
      <c r="AM223" s="1867"/>
      <c r="AN223" s="1868"/>
      <c r="AO223" s="1867"/>
    </row>
    <row r="224" spans="1:41">
      <c r="A224" s="1960">
        <f>ROW()</f>
        <v>224</v>
      </c>
      <c r="B224" s="2005"/>
      <c r="C224" s="1866"/>
      <c r="D224" s="1866" t="s">
        <v>1776</v>
      </c>
      <c r="E224" s="1934">
        <f t="shared" ref="E224:N224" si="110">+E220-E222-E221</f>
        <v>4844870.2432031929</v>
      </c>
      <c r="F224" s="1934">
        <f t="shared" si="110"/>
        <v>6177360.601203193</v>
      </c>
      <c r="G224" s="1934">
        <f t="shared" si="110"/>
        <v>7282864.1360153938</v>
      </c>
      <c r="H224" s="1934">
        <f t="shared" si="110"/>
        <v>7950663.0730996076</v>
      </c>
      <c r="I224" s="1934">
        <f t="shared" si="110"/>
        <v>8144422.0970535725</v>
      </c>
      <c r="J224" s="1934">
        <f t="shared" si="110"/>
        <v>8558061.8625922557</v>
      </c>
      <c r="K224" s="1934">
        <f t="shared" si="110"/>
        <v>0</v>
      </c>
      <c r="L224" s="1934">
        <f t="shared" si="110"/>
        <v>0</v>
      </c>
      <c r="M224" s="1934">
        <f t="shared" si="110"/>
        <v>0</v>
      </c>
      <c r="N224" s="1934">
        <f t="shared" si="110"/>
        <v>0</v>
      </c>
      <c r="O224" s="1909"/>
      <c r="P224" s="1913"/>
      <c r="Q224" s="1866"/>
      <c r="AC224" s="1867">
        <f t="shared" ca="1" si="89"/>
        <v>1</v>
      </c>
      <c r="AD224" s="1867">
        <f t="shared" ca="1" si="89"/>
        <v>1</v>
      </c>
      <c r="AE224" s="1867">
        <f t="shared" ca="1" si="89"/>
        <v>1</v>
      </c>
      <c r="AF224" s="1867">
        <f t="shared" ca="1" si="88"/>
        <v>1</v>
      </c>
      <c r="AG224" s="1867">
        <f t="shared" ca="1" si="88"/>
        <v>1</v>
      </c>
      <c r="AH224" s="1867">
        <f t="shared" ca="1" si="88"/>
        <v>1</v>
      </c>
      <c r="AI224" s="1867">
        <f t="shared" ca="1" si="88"/>
        <v>1</v>
      </c>
      <c r="AJ224" s="1867">
        <f t="shared" ca="1" si="88"/>
        <v>1</v>
      </c>
      <c r="AK224" s="1867">
        <f t="shared" ca="1" si="88"/>
        <v>1</v>
      </c>
      <c r="AL224" s="1867">
        <f t="shared" ca="1" si="88"/>
        <v>1</v>
      </c>
      <c r="AM224" s="1867">
        <f t="shared" ca="1" si="105"/>
        <v>1</v>
      </c>
      <c r="AN224" s="1868" t="s">
        <v>1585</v>
      </c>
      <c r="AO224" s="1867">
        <f t="shared" ca="1" si="106"/>
        <v>1</v>
      </c>
    </row>
    <row r="225" spans="1:41">
      <c r="A225" s="1960">
        <f>ROW()</f>
        <v>225</v>
      </c>
      <c r="B225" s="2005"/>
      <c r="C225" s="1866"/>
      <c r="D225" s="1866" t="s">
        <v>1777</v>
      </c>
      <c r="E225" s="1936">
        <f t="shared" ref="E225:N225" si="111">+E224/365</f>
        <v>13273.617104666282</v>
      </c>
      <c r="F225" s="1936">
        <f t="shared" si="111"/>
        <v>16924.275619734773</v>
      </c>
      <c r="G225" s="1936">
        <f t="shared" si="111"/>
        <v>19953.052427439434</v>
      </c>
      <c r="H225" s="1936">
        <f t="shared" si="111"/>
        <v>21782.638556437279</v>
      </c>
      <c r="I225" s="1936">
        <f t="shared" si="111"/>
        <v>22313.485197407048</v>
      </c>
      <c r="J225" s="1936">
        <f t="shared" si="111"/>
        <v>23446.744829019877</v>
      </c>
      <c r="K225" s="1936">
        <f t="shared" si="111"/>
        <v>0</v>
      </c>
      <c r="L225" s="1936">
        <f t="shared" si="111"/>
        <v>0</v>
      </c>
      <c r="M225" s="1936">
        <f t="shared" si="111"/>
        <v>0</v>
      </c>
      <c r="N225" s="1936">
        <f t="shared" si="111"/>
        <v>0</v>
      </c>
      <c r="O225" s="1909"/>
      <c r="P225" s="1913"/>
      <c r="Q225" s="1866"/>
      <c r="AC225" s="1867">
        <f t="shared" ca="1" si="89"/>
        <v>1</v>
      </c>
      <c r="AD225" s="1867">
        <f t="shared" ca="1" si="89"/>
        <v>1</v>
      </c>
      <c r="AE225" s="1867">
        <f t="shared" ca="1" si="89"/>
        <v>1</v>
      </c>
      <c r="AF225" s="1867">
        <f t="shared" ca="1" si="88"/>
        <v>1</v>
      </c>
      <c r="AG225" s="1867">
        <f t="shared" ca="1" si="88"/>
        <v>1</v>
      </c>
      <c r="AH225" s="1867">
        <f t="shared" ca="1" si="88"/>
        <v>1</v>
      </c>
      <c r="AI225" s="1867">
        <f t="shared" ca="1" si="88"/>
        <v>1</v>
      </c>
      <c r="AJ225" s="1867">
        <f t="shared" ca="1" si="88"/>
        <v>1</v>
      </c>
      <c r="AK225" s="1867">
        <f t="shared" ca="1" si="88"/>
        <v>1</v>
      </c>
      <c r="AL225" s="1867">
        <f t="shared" ca="1" si="88"/>
        <v>1</v>
      </c>
      <c r="AM225" s="1867">
        <f t="shared" ca="1" si="105"/>
        <v>1</v>
      </c>
      <c r="AN225" s="1868" t="s">
        <v>1585</v>
      </c>
      <c r="AO225" s="1867">
        <f t="shared" ca="1" si="106"/>
        <v>1</v>
      </c>
    </row>
    <row r="226" spans="1:41" ht="13.8" thickBot="1">
      <c r="A226" s="1960">
        <f>ROW()</f>
        <v>226</v>
      </c>
      <c r="B226" s="2005"/>
      <c r="C226" s="1866"/>
      <c r="D226" s="2006" t="s">
        <v>1778</v>
      </c>
      <c r="E226" s="2016">
        <f t="shared" ref="E226:N226" si="112">IF(E225=0,0,E219/E225)</f>
        <v>30.915431608506118</v>
      </c>
      <c r="F226" s="2016">
        <f t="shared" si="112"/>
        <v>84.453633845977251</v>
      </c>
      <c r="G226" s="2016">
        <f t="shared" si="112"/>
        <v>123.52664225636109</v>
      </c>
      <c r="H226" s="2016">
        <f t="shared" si="112"/>
        <v>186.12599054554798</v>
      </c>
      <c r="I226" s="2016">
        <f t="shared" si="112"/>
        <v>265.85835453775314</v>
      </c>
      <c r="J226" s="2017">
        <f t="shared" si="112"/>
        <v>328.48862040634202</v>
      </c>
      <c r="K226" s="2017">
        <f t="shared" si="112"/>
        <v>0</v>
      </c>
      <c r="L226" s="2017">
        <f t="shared" si="112"/>
        <v>0</v>
      </c>
      <c r="M226" s="2017">
        <f t="shared" si="112"/>
        <v>0</v>
      </c>
      <c r="N226" s="2017">
        <f t="shared" si="112"/>
        <v>0</v>
      </c>
      <c r="O226" s="1909"/>
      <c r="P226" s="1913"/>
      <c r="Q226" s="1866"/>
      <c r="AC226" s="1867">
        <f t="shared" ca="1" si="89"/>
        <v>1</v>
      </c>
      <c r="AD226" s="1867">
        <f t="shared" ca="1" si="89"/>
        <v>1</v>
      </c>
      <c r="AE226" s="1867">
        <f t="shared" ca="1" si="89"/>
        <v>1</v>
      </c>
      <c r="AF226" s="1867">
        <f t="shared" ca="1" si="88"/>
        <v>1</v>
      </c>
      <c r="AG226" s="1867">
        <f t="shared" ca="1" si="88"/>
        <v>1</v>
      </c>
      <c r="AH226" s="1867">
        <f t="shared" ca="1" si="88"/>
        <v>1</v>
      </c>
      <c r="AI226" s="1867">
        <f t="shared" ca="1" si="88"/>
        <v>1</v>
      </c>
      <c r="AJ226" s="1867">
        <f t="shared" ca="1" si="88"/>
        <v>1</v>
      </c>
      <c r="AK226" s="1867">
        <f t="shared" ca="1" si="88"/>
        <v>1</v>
      </c>
      <c r="AL226" s="1867">
        <f t="shared" ca="1" si="88"/>
        <v>1</v>
      </c>
      <c r="AM226" s="1867">
        <f t="shared" ca="1" si="105"/>
        <v>1</v>
      </c>
      <c r="AN226" s="1868" t="s">
        <v>1585</v>
      </c>
      <c r="AO226" s="1867">
        <f t="shared" ca="1" si="106"/>
        <v>1</v>
      </c>
    </row>
    <row r="227" spans="1:41" ht="13.8" thickTop="1">
      <c r="A227" s="1960">
        <f>ROW()</f>
        <v>227</v>
      </c>
      <c r="B227" s="2005"/>
      <c r="C227" s="1866"/>
      <c r="D227" s="2019" t="s">
        <v>1780</v>
      </c>
      <c r="E227" s="2011">
        <f>IFERROR(IF(E226=0,0,IF(E226-D226&gt;0,"Pos Chg","Neg")),0)</f>
        <v>0</v>
      </c>
      <c r="F227" s="2011" t="str">
        <f t="shared" ref="F227:N227" si="113">IFERROR(IF(F226=0,0,IF(F226-E226&gt;0,"Pos Chg","Neg")),0)</f>
        <v>Pos Chg</v>
      </c>
      <c r="G227" s="2011" t="str">
        <f t="shared" si="113"/>
        <v>Pos Chg</v>
      </c>
      <c r="H227" s="2011" t="str">
        <f t="shared" si="113"/>
        <v>Pos Chg</v>
      </c>
      <c r="I227" s="2011" t="str">
        <f t="shared" si="113"/>
        <v>Pos Chg</v>
      </c>
      <c r="J227" s="2011" t="str">
        <f t="shared" si="113"/>
        <v>Pos Chg</v>
      </c>
      <c r="K227" s="2011">
        <f t="shared" si="113"/>
        <v>0</v>
      </c>
      <c r="L227" s="2011">
        <f t="shared" si="113"/>
        <v>0</v>
      </c>
      <c r="M227" s="2011">
        <f t="shared" si="113"/>
        <v>0</v>
      </c>
      <c r="N227" s="2011">
        <f t="shared" si="113"/>
        <v>0</v>
      </c>
      <c r="O227" s="1909"/>
      <c r="P227" s="1913"/>
      <c r="Q227" s="1866"/>
      <c r="AC227" s="1867">
        <f t="shared" ca="1" si="89"/>
        <v>1</v>
      </c>
      <c r="AD227" s="1867">
        <f t="shared" ca="1" si="89"/>
        <v>1</v>
      </c>
      <c r="AE227" s="1867">
        <f t="shared" ca="1" si="89"/>
        <v>1</v>
      </c>
      <c r="AF227" s="1867">
        <f t="shared" ca="1" si="88"/>
        <v>1</v>
      </c>
      <c r="AG227" s="1867">
        <f t="shared" ca="1" si="88"/>
        <v>1</v>
      </c>
      <c r="AH227" s="1867">
        <f t="shared" ca="1" si="88"/>
        <v>1</v>
      </c>
      <c r="AI227" s="1867">
        <f t="shared" ca="1" si="88"/>
        <v>1</v>
      </c>
      <c r="AJ227" s="1867">
        <f t="shared" ca="1" si="88"/>
        <v>1</v>
      </c>
      <c r="AK227" s="1867">
        <f t="shared" ca="1" si="88"/>
        <v>1</v>
      </c>
      <c r="AL227" s="1867">
        <f t="shared" ca="1" si="88"/>
        <v>1</v>
      </c>
      <c r="AM227" s="1867">
        <f t="shared" ca="1" si="105"/>
        <v>1</v>
      </c>
      <c r="AN227" s="1868" t="s">
        <v>1585</v>
      </c>
      <c r="AO227" s="1867">
        <f t="shared" ca="1" si="106"/>
        <v>1</v>
      </c>
    </row>
    <row r="228" spans="1:41">
      <c r="A228" s="1960">
        <f>ROW()</f>
        <v>228</v>
      </c>
      <c r="B228" s="2005"/>
      <c r="C228" s="1866"/>
      <c r="D228" s="2020" t="s">
        <v>1764</v>
      </c>
      <c r="E228" s="2022" t="str">
        <f t="shared" ref="E228:N228" si="114">E$381</f>
        <v>n/a</v>
      </c>
      <c r="F228" s="2022" t="str">
        <f t="shared" si="114"/>
        <v>MS</v>
      </c>
      <c r="G228" s="2022" t="str">
        <f t="shared" si="114"/>
        <v>MS</v>
      </c>
      <c r="H228" s="2022" t="str">
        <f t="shared" si="114"/>
        <v>MS</v>
      </c>
      <c r="I228" s="2022" t="str">
        <f t="shared" si="114"/>
        <v>MS</v>
      </c>
      <c r="J228" s="2022" t="str">
        <f t="shared" si="114"/>
        <v>MS</v>
      </c>
      <c r="K228" s="2022">
        <f t="shared" si="114"/>
        <v>0</v>
      </c>
      <c r="L228" s="2022">
        <f t="shared" si="114"/>
        <v>0</v>
      </c>
      <c r="M228" s="2022">
        <f t="shared" si="114"/>
        <v>0</v>
      </c>
      <c r="N228" s="2022">
        <f t="shared" si="114"/>
        <v>0</v>
      </c>
      <c r="O228" s="1909"/>
      <c r="P228" s="1913"/>
      <c r="Q228" s="1866"/>
      <c r="AC228" s="1867">
        <f t="shared" ca="1" si="89"/>
        <v>1</v>
      </c>
      <c r="AD228" s="1867">
        <f t="shared" ca="1" si="89"/>
        <v>1</v>
      </c>
      <c r="AE228" s="1867">
        <f t="shared" ca="1" si="89"/>
        <v>1</v>
      </c>
      <c r="AF228" s="1867">
        <f t="shared" ca="1" si="88"/>
        <v>1</v>
      </c>
      <c r="AG228" s="1867">
        <f t="shared" ca="1" si="88"/>
        <v>1</v>
      </c>
      <c r="AH228" s="1867">
        <f t="shared" ca="1" si="88"/>
        <v>1</v>
      </c>
      <c r="AI228" s="1867">
        <f t="shared" ca="1" si="88"/>
        <v>1</v>
      </c>
      <c r="AJ228" s="1867">
        <f t="shared" ca="1" si="88"/>
        <v>1</v>
      </c>
      <c r="AK228" s="1867">
        <f t="shared" ca="1" si="88"/>
        <v>1</v>
      </c>
      <c r="AL228" s="1867">
        <f t="shared" ca="1" si="88"/>
        <v>1</v>
      </c>
      <c r="AM228" s="1867">
        <f t="shared" ca="1" si="105"/>
        <v>1</v>
      </c>
      <c r="AN228" s="1868" t="s">
        <v>1585</v>
      </c>
      <c r="AO228" s="1867">
        <f t="shared" ca="1" si="106"/>
        <v>1</v>
      </c>
    </row>
    <row r="229" spans="1:41">
      <c r="A229" s="1960">
        <f>ROW()</f>
        <v>229</v>
      </c>
      <c r="B229" s="2014" t="s">
        <v>1532</v>
      </c>
      <c r="C229" s="1866"/>
      <c r="D229" s="2234"/>
      <c r="E229" s="2244"/>
      <c r="F229" s="2234"/>
      <c r="G229" s="2234"/>
      <c r="H229" s="2234"/>
      <c r="I229" s="2234"/>
      <c r="J229" s="2234"/>
      <c r="K229" s="2234"/>
      <c r="L229" s="2234"/>
      <c r="M229" s="2234"/>
      <c r="N229" s="2234"/>
      <c r="O229" s="1909"/>
      <c r="P229" s="1913"/>
      <c r="Q229" s="1866"/>
      <c r="AC229" s="1867">
        <f t="shared" ca="1" si="89"/>
        <v>1</v>
      </c>
      <c r="AD229" s="1867">
        <f t="shared" ca="1" si="89"/>
        <v>1</v>
      </c>
      <c r="AE229" s="1867">
        <f t="shared" ca="1" si="89"/>
        <v>1</v>
      </c>
      <c r="AF229" s="1867">
        <f t="shared" ca="1" si="89"/>
        <v>0</v>
      </c>
      <c r="AG229" s="1867">
        <f t="shared" ca="1" si="89"/>
        <v>0</v>
      </c>
      <c r="AH229" s="1867">
        <f t="shared" ca="1" si="89"/>
        <v>0</v>
      </c>
      <c r="AI229" s="1867">
        <f t="shared" ca="1" si="89"/>
        <v>0</v>
      </c>
      <c r="AJ229" s="1867">
        <f t="shared" ca="1" si="89"/>
        <v>0</v>
      </c>
      <c r="AK229" s="1867">
        <f t="shared" ca="1" si="89"/>
        <v>0</v>
      </c>
      <c r="AL229" s="1867">
        <f t="shared" ca="1" si="89"/>
        <v>0</v>
      </c>
      <c r="AM229" s="1867">
        <f t="shared" ca="1" si="105"/>
        <v>1</v>
      </c>
      <c r="AN229" s="1868" t="s">
        <v>1585</v>
      </c>
      <c r="AO229" s="1867">
        <f t="shared" ca="1" si="106"/>
        <v>1</v>
      </c>
    </row>
    <row r="230" spans="1:41">
      <c r="A230" s="1960">
        <f>ROW()</f>
        <v>230</v>
      </c>
      <c r="B230" s="2005"/>
      <c r="C230" s="1866"/>
      <c r="D230" s="2234"/>
      <c r="E230" s="2234"/>
      <c r="F230" s="2234"/>
      <c r="G230" s="2234"/>
      <c r="H230" s="2234"/>
      <c r="I230" s="2234"/>
      <c r="J230" s="2234"/>
      <c r="K230" s="2234"/>
      <c r="L230" s="2234"/>
      <c r="M230" s="2234"/>
      <c r="N230" s="2234"/>
      <c r="O230" s="1909"/>
      <c r="P230" s="1913"/>
      <c r="Q230" s="1866"/>
      <c r="AC230" s="1867">
        <f t="shared" ca="1" si="89"/>
        <v>1</v>
      </c>
      <c r="AD230" s="1867">
        <f t="shared" ca="1" si="89"/>
        <v>1</v>
      </c>
      <c r="AE230" s="1867">
        <f t="shared" ca="1" si="89"/>
        <v>1</v>
      </c>
      <c r="AF230" s="1867">
        <f t="shared" ca="1" si="89"/>
        <v>0</v>
      </c>
      <c r="AG230" s="1867">
        <f t="shared" ca="1" si="89"/>
        <v>0</v>
      </c>
      <c r="AH230" s="1867">
        <f t="shared" ca="1" si="89"/>
        <v>0</v>
      </c>
      <c r="AI230" s="1867">
        <f t="shared" ca="1" si="89"/>
        <v>0</v>
      </c>
      <c r="AJ230" s="1867">
        <f t="shared" ca="1" si="89"/>
        <v>0</v>
      </c>
      <c r="AK230" s="1867">
        <f t="shared" ca="1" si="89"/>
        <v>0</v>
      </c>
      <c r="AL230" s="1867">
        <f t="shared" ca="1" si="89"/>
        <v>0</v>
      </c>
      <c r="AM230" s="1867">
        <f t="shared" ca="1" si="105"/>
        <v>1</v>
      </c>
      <c r="AN230" s="1868" t="s">
        <v>1585</v>
      </c>
      <c r="AO230" s="1867">
        <f t="shared" ca="1" si="106"/>
        <v>1</v>
      </c>
    </row>
    <row r="231" spans="1:41">
      <c r="A231" s="1960">
        <f>ROW()</f>
        <v>231</v>
      </c>
      <c r="B231" s="2005"/>
      <c r="C231" s="1866"/>
      <c r="D231" s="1866"/>
      <c r="E231" s="1904"/>
      <c r="F231" s="1904"/>
      <c r="G231" s="1904"/>
      <c r="H231" s="1904"/>
      <c r="I231" s="1904"/>
      <c r="J231" s="1904"/>
      <c r="K231" s="1904"/>
      <c r="L231" s="1904"/>
      <c r="M231" s="1904"/>
      <c r="N231" s="1904"/>
      <c r="O231" s="1909"/>
      <c r="P231" s="1913"/>
      <c r="Q231" s="1866"/>
      <c r="AC231" s="1867">
        <f t="shared" ca="1" si="89"/>
        <v>1</v>
      </c>
      <c r="AD231" s="1867">
        <f t="shared" ca="1" si="89"/>
        <v>1</v>
      </c>
      <c r="AE231" s="1867">
        <f t="shared" ca="1" si="89"/>
        <v>1</v>
      </c>
      <c r="AF231" s="1867">
        <f t="shared" ca="1" si="89"/>
        <v>1</v>
      </c>
      <c r="AG231" s="1867">
        <f t="shared" ca="1" si="89"/>
        <v>1</v>
      </c>
      <c r="AH231" s="1867">
        <f t="shared" ca="1" si="89"/>
        <v>1</v>
      </c>
      <c r="AI231" s="1867">
        <f t="shared" ca="1" si="89"/>
        <v>1</v>
      </c>
      <c r="AJ231" s="1867">
        <f t="shared" ca="1" si="89"/>
        <v>1</v>
      </c>
      <c r="AK231" s="1867">
        <f t="shared" ca="1" si="89"/>
        <v>1</v>
      </c>
      <c r="AL231" s="1867">
        <f t="shared" ca="1" si="89"/>
        <v>1</v>
      </c>
      <c r="AM231" s="1867">
        <f t="shared" ca="1" si="105"/>
        <v>1</v>
      </c>
      <c r="AN231" s="1868" t="s">
        <v>1585</v>
      </c>
      <c r="AO231" s="1867">
        <f t="shared" ca="1" si="106"/>
        <v>1</v>
      </c>
    </row>
    <row r="232" spans="1:41">
      <c r="A232" s="1960">
        <f>ROW()</f>
        <v>232</v>
      </c>
      <c r="B232" s="2023"/>
      <c r="C232" s="1866"/>
      <c r="D232" s="1948" t="s">
        <v>1785</v>
      </c>
      <c r="E232" s="1938"/>
      <c r="F232" s="1938"/>
      <c r="G232" s="1938"/>
      <c r="H232" s="1938"/>
      <c r="I232" s="1938"/>
      <c r="J232" s="1938"/>
      <c r="K232" s="1938"/>
      <c r="L232" s="1938"/>
      <c r="M232" s="1938"/>
      <c r="N232" s="1938"/>
      <c r="O232" s="1909"/>
      <c r="P232" s="1913"/>
      <c r="Q232" s="1866"/>
      <c r="AC232" s="1867">
        <f t="shared" ca="1" si="89"/>
        <v>1</v>
      </c>
      <c r="AD232" s="1867">
        <f t="shared" ca="1" si="89"/>
        <v>1</v>
      </c>
      <c r="AE232" s="1867">
        <f t="shared" ca="1" si="89"/>
        <v>1</v>
      </c>
      <c r="AF232" s="1867">
        <f t="shared" ca="1" si="89"/>
        <v>1</v>
      </c>
      <c r="AG232" s="1867">
        <f t="shared" ca="1" si="89"/>
        <v>1</v>
      </c>
      <c r="AH232" s="1867">
        <f t="shared" ca="1" si="89"/>
        <v>1</v>
      </c>
      <c r="AI232" s="1867">
        <f t="shared" ca="1" si="89"/>
        <v>1</v>
      </c>
      <c r="AJ232" s="1867">
        <f t="shared" ca="1" si="89"/>
        <v>1</v>
      </c>
      <c r="AK232" s="1867">
        <f t="shared" ca="1" si="89"/>
        <v>1</v>
      </c>
      <c r="AL232" s="1867">
        <f t="shared" ca="1" si="89"/>
        <v>1</v>
      </c>
      <c r="AM232" s="1867">
        <f t="shared" ca="1" si="105"/>
        <v>1</v>
      </c>
      <c r="AN232" s="1868" t="s">
        <v>1585</v>
      </c>
      <c r="AO232" s="1867">
        <f t="shared" ca="1" si="106"/>
        <v>1</v>
      </c>
    </row>
    <row r="233" spans="1:41">
      <c r="A233" s="1960">
        <f>ROW()</f>
        <v>233</v>
      </c>
      <c r="B233" s="1998">
        <v>3</v>
      </c>
      <c r="C233" s="1999"/>
      <c r="D233" s="2000" t="s">
        <v>1786</v>
      </c>
      <c r="E233" s="2024"/>
      <c r="F233" s="2024"/>
      <c r="G233" s="2024"/>
      <c r="H233" s="2024"/>
      <c r="I233" s="2024"/>
      <c r="J233" s="2024"/>
      <c r="K233" s="2024"/>
      <c r="L233" s="2024"/>
      <c r="M233" s="2024"/>
      <c r="N233" s="2024"/>
      <c r="O233" s="1909"/>
      <c r="P233" s="1913"/>
      <c r="Q233" s="1866"/>
      <c r="S233" s="2025"/>
      <c r="T233" s="2025"/>
      <c r="U233" s="2025"/>
      <c r="V233" s="2025"/>
      <c r="W233" s="2025"/>
      <c r="X233" s="2025"/>
      <c r="Y233" s="2025"/>
      <c r="Z233" s="2025"/>
      <c r="AA233" s="2025"/>
      <c r="AB233" s="2025"/>
      <c r="AC233" s="1867">
        <f t="shared" ca="1" si="89"/>
        <v>1</v>
      </c>
      <c r="AD233" s="1867">
        <f t="shared" ca="1" si="89"/>
        <v>1</v>
      </c>
      <c r="AE233" s="1867">
        <f t="shared" ca="1" si="89"/>
        <v>1</v>
      </c>
      <c r="AF233" s="1867">
        <f t="shared" ca="1" si="89"/>
        <v>1</v>
      </c>
      <c r="AG233" s="1867">
        <f t="shared" ca="1" si="89"/>
        <v>1</v>
      </c>
      <c r="AH233" s="1867">
        <f t="shared" ca="1" si="89"/>
        <v>1</v>
      </c>
      <c r="AI233" s="1867">
        <f t="shared" ca="1" si="89"/>
        <v>1</v>
      </c>
      <c r="AJ233" s="1867">
        <f t="shared" ca="1" si="89"/>
        <v>1</v>
      </c>
      <c r="AK233" s="1867">
        <f t="shared" ca="1" si="89"/>
        <v>1</v>
      </c>
      <c r="AL233" s="1867">
        <f t="shared" ca="1" si="89"/>
        <v>1</v>
      </c>
      <c r="AM233" s="1867">
        <f t="shared" ca="1" si="105"/>
        <v>1</v>
      </c>
      <c r="AN233" s="1868" t="s">
        <v>1585</v>
      </c>
      <c r="AO233" s="1867">
        <f t="shared" ca="1" si="106"/>
        <v>1</v>
      </c>
    </row>
    <row r="234" spans="1:41">
      <c r="A234" s="1960">
        <f>ROW()</f>
        <v>234</v>
      </c>
      <c r="B234" s="2003">
        <f>ROW(B52)</f>
        <v>52</v>
      </c>
      <c r="C234" s="1866"/>
      <c r="D234" s="1866" t="s">
        <v>1787</v>
      </c>
      <c r="E234" s="2026">
        <f t="shared" ref="E234:J235" si="115">+E241</f>
        <v>540</v>
      </c>
      <c r="F234" s="2026">
        <f t="shared" si="115"/>
        <v>648</v>
      </c>
      <c r="G234" s="2026">
        <f t="shared" si="115"/>
        <v>756</v>
      </c>
      <c r="H234" s="2026">
        <f t="shared" si="115"/>
        <v>864</v>
      </c>
      <c r="I234" s="2026">
        <f t="shared" si="115"/>
        <v>891</v>
      </c>
      <c r="J234" s="2026">
        <f t="shared" si="115"/>
        <v>918</v>
      </c>
      <c r="K234" s="2026">
        <f t="shared" ref="K234:N235" si="116">K52</f>
        <v>0</v>
      </c>
      <c r="L234" s="2026">
        <f t="shared" si="116"/>
        <v>0</v>
      </c>
      <c r="M234" s="2026">
        <f t="shared" si="116"/>
        <v>0</v>
      </c>
      <c r="N234" s="2026">
        <f t="shared" si="116"/>
        <v>0</v>
      </c>
      <c r="O234" s="1909"/>
      <c r="P234" s="1913"/>
      <c r="Q234" s="1866"/>
      <c r="S234" s="2027" t="s">
        <v>1788</v>
      </c>
      <c r="T234" s="2025"/>
      <c r="U234" s="2025"/>
      <c r="V234" s="2025"/>
      <c r="W234" s="2025"/>
      <c r="X234" s="2025"/>
      <c r="Y234" s="2025"/>
      <c r="Z234" s="2025"/>
      <c r="AA234" s="2025"/>
      <c r="AB234" s="2025"/>
      <c r="AC234" s="1867">
        <f t="shared" ca="1" si="89"/>
        <v>1</v>
      </c>
      <c r="AD234" s="1867">
        <f t="shared" ca="1" si="89"/>
        <v>1</v>
      </c>
      <c r="AE234" s="1867">
        <f t="shared" ca="1" si="89"/>
        <v>1</v>
      </c>
      <c r="AF234" s="1867">
        <f t="shared" ca="1" si="89"/>
        <v>1</v>
      </c>
      <c r="AG234" s="1867">
        <f t="shared" ca="1" si="89"/>
        <v>1</v>
      </c>
      <c r="AH234" s="1867">
        <f t="shared" ca="1" si="89"/>
        <v>1</v>
      </c>
      <c r="AI234" s="1867">
        <f t="shared" ca="1" si="89"/>
        <v>1</v>
      </c>
      <c r="AJ234" s="1867">
        <f t="shared" ca="1" si="89"/>
        <v>1</v>
      </c>
      <c r="AK234" s="1867">
        <f t="shared" ca="1" si="89"/>
        <v>1</v>
      </c>
      <c r="AL234" s="1867">
        <f t="shared" ca="1" si="89"/>
        <v>1</v>
      </c>
      <c r="AM234" s="1867">
        <f t="shared" ca="1" si="105"/>
        <v>1</v>
      </c>
      <c r="AN234" s="1868" t="s">
        <v>1585</v>
      </c>
      <c r="AO234" s="1867">
        <f t="shared" ca="1" si="106"/>
        <v>1</v>
      </c>
    </row>
    <row r="235" spans="1:41">
      <c r="A235" s="1960">
        <f>ROW()</f>
        <v>235</v>
      </c>
      <c r="B235" s="2003">
        <f>ROW(B53)</f>
        <v>53</v>
      </c>
      <c r="C235" s="1866"/>
      <c r="D235" s="1866" t="s">
        <v>1789</v>
      </c>
      <c r="E235" s="2028">
        <f t="shared" si="115"/>
        <v>540</v>
      </c>
      <c r="F235" s="2028">
        <f t="shared" si="115"/>
        <v>648</v>
      </c>
      <c r="G235" s="2028">
        <f t="shared" si="115"/>
        <v>756</v>
      </c>
      <c r="H235" s="2028">
        <f t="shared" si="115"/>
        <v>864</v>
      </c>
      <c r="I235" s="2028">
        <f t="shared" si="115"/>
        <v>891</v>
      </c>
      <c r="J235" s="2028">
        <f t="shared" si="115"/>
        <v>918</v>
      </c>
      <c r="K235" s="2028">
        <f t="shared" si="116"/>
        <v>0</v>
      </c>
      <c r="L235" s="2028">
        <f t="shared" si="116"/>
        <v>0</v>
      </c>
      <c r="M235" s="2028">
        <f t="shared" si="116"/>
        <v>0</v>
      </c>
      <c r="N235" s="2028">
        <f t="shared" si="116"/>
        <v>0</v>
      </c>
      <c r="O235" s="1909"/>
      <c r="P235" s="1913"/>
      <c r="Q235" s="1866"/>
      <c r="S235" s="2027" t="s">
        <v>1790</v>
      </c>
      <c r="T235" s="2025"/>
      <c r="U235" s="2025"/>
      <c r="V235" s="2025"/>
      <c r="W235" s="2025"/>
      <c r="X235" s="2025"/>
      <c r="Y235" s="2025"/>
      <c r="Z235" s="2025"/>
      <c r="AA235" s="2025"/>
      <c r="AB235" s="2025"/>
      <c r="AC235" s="1867">
        <f t="shared" ca="1" si="89"/>
        <v>1</v>
      </c>
      <c r="AD235" s="1867">
        <f t="shared" ca="1" si="89"/>
        <v>1</v>
      </c>
      <c r="AE235" s="1867">
        <f t="shared" ca="1" si="89"/>
        <v>1</v>
      </c>
      <c r="AF235" s="1867">
        <f t="shared" ca="1" si="89"/>
        <v>1</v>
      </c>
      <c r="AG235" s="1867">
        <f t="shared" ca="1" si="89"/>
        <v>1</v>
      </c>
      <c r="AH235" s="1867">
        <f t="shared" ca="1" si="89"/>
        <v>1</v>
      </c>
      <c r="AI235" s="1867">
        <f t="shared" ca="1" si="89"/>
        <v>1</v>
      </c>
      <c r="AJ235" s="1867">
        <f t="shared" ca="1" si="89"/>
        <v>1</v>
      </c>
      <c r="AK235" s="1867">
        <f t="shared" ca="1" si="89"/>
        <v>1</v>
      </c>
      <c r="AL235" s="1867">
        <f t="shared" ca="1" si="89"/>
        <v>1</v>
      </c>
      <c r="AM235" s="1867">
        <f t="shared" ca="1" si="105"/>
        <v>1</v>
      </c>
      <c r="AN235" s="1868" t="s">
        <v>1585</v>
      </c>
      <c r="AO235" s="1867">
        <f t="shared" ca="1" si="106"/>
        <v>1</v>
      </c>
    </row>
    <row r="236" spans="1:41" ht="13.8" thickBot="1">
      <c r="A236" s="1960">
        <f>ROW()</f>
        <v>236</v>
      </c>
      <c r="B236" s="2003"/>
      <c r="C236" s="1866"/>
      <c r="D236" s="2006" t="s">
        <v>1791</v>
      </c>
      <c r="E236" s="2029">
        <f t="shared" ref="E236:N236" si="117">IF(OR(E234=0,E235=0),0,(E234/E235))</f>
        <v>1</v>
      </c>
      <c r="F236" s="2029">
        <f t="shared" si="117"/>
        <v>1</v>
      </c>
      <c r="G236" s="2029">
        <f t="shared" si="117"/>
        <v>1</v>
      </c>
      <c r="H236" s="2029">
        <f t="shared" si="117"/>
        <v>1</v>
      </c>
      <c r="I236" s="2029">
        <f t="shared" si="117"/>
        <v>1</v>
      </c>
      <c r="J236" s="2029">
        <f t="shared" si="117"/>
        <v>1</v>
      </c>
      <c r="K236" s="2029">
        <f t="shared" si="117"/>
        <v>0</v>
      </c>
      <c r="L236" s="2029">
        <f t="shared" si="117"/>
        <v>0</v>
      </c>
      <c r="M236" s="2029">
        <f t="shared" si="117"/>
        <v>0</v>
      </c>
      <c r="N236" s="2029">
        <f t="shared" si="117"/>
        <v>0</v>
      </c>
      <c r="O236" s="1909"/>
      <c r="P236" s="1913"/>
      <c r="Q236" s="1866"/>
      <c r="S236" s="2025"/>
      <c r="T236" s="2025"/>
      <c r="U236" s="2025"/>
      <c r="V236" s="2025"/>
      <c r="W236" s="2025"/>
      <c r="X236" s="2025"/>
      <c r="Y236" s="2025"/>
      <c r="Z236" s="2025"/>
      <c r="AA236" s="2025"/>
      <c r="AB236" s="2025"/>
      <c r="AC236" s="1867">
        <f t="shared" ca="1" si="89"/>
        <v>1</v>
      </c>
      <c r="AD236" s="1867">
        <f t="shared" ca="1" si="89"/>
        <v>1</v>
      </c>
      <c r="AE236" s="1867">
        <f t="shared" ca="1" si="89"/>
        <v>1</v>
      </c>
      <c r="AF236" s="1867">
        <f t="shared" ca="1" si="89"/>
        <v>1</v>
      </c>
      <c r="AG236" s="1867">
        <f t="shared" ca="1" si="89"/>
        <v>1</v>
      </c>
      <c r="AH236" s="1867">
        <f t="shared" ca="1" si="89"/>
        <v>1</v>
      </c>
      <c r="AI236" s="1867">
        <f t="shared" ca="1" si="89"/>
        <v>1</v>
      </c>
      <c r="AJ236" s="1867">
        <f t="shared" ca="1" si="89"/>
        <v>1</v>
      </c>
      <c r="AK236" s="1867">
        <f t="shared" ca="1" si="89"/>
        <v>1</v>
      </c>
      <c r="AL236" s="1867">
        <f t="shared" ca="1" si="89"/>
        <v>1</v>
      </c>
      <c r="AM236" s="1867">
        <f t="shared" ca="1" si="105"/>
        <v>1</v>
      </c>
      <c r="AN236" s="1868" t="s">
        <v>1585</v>
      </c>
      <c r="AO236" s="1867">
        <f t="shared" ca="1" si="106"/>
        <v>1</v>
      </c>
    </row>
    <row r="237" spans="1:41" ht="13.8" thickTop="1">
      <c r="A237" s="1960">
        <f>ROW()</f>
        <v>237</v>
      </c>
      <c r="B237" s="2003"/>
      <c r="C237" s="1866"/>
      <c r="D237" s="1948" t="s">
        <v>1764</v>
      </c>
      <c r="E237" s="1904" t="str">
        <f t="shared" ref="E237:J237" si="118">E425</f>
        <v>MS</v>
      </c>
      <c r="F237" s="1904" t="str">
        <f t="shared" si="118"/>
        <v>MS</v>
      </c>
      <c r="G237" s="1904" t="str">
        <f t="shared" si="118"/>
        <v>MS</v>
      </c>
      <c r="H237" s="1904" t="str">
        <f t="shared" si="118"/>
        <v>MS</v>
      </c>
      <c r="I237" s="1904" t="str">
        <f t="shared" si="118"/>
        <v>MS</v>
      </c>
      <c r="J237" s="1904" t="str">
        <f t="shared" si="118"/>
        <v>MS</v>
      </c>
      <c r="K237" s="1904">
        <f>K432</f>
        <v>0</v>
      </c>
      <c r="L237" s="1904">
        <f>L432</f>
        <v>0</v>
      </c>
      <c r="M237" s="1904">
        <f>M432</f>
        <v>0</v>
      </c>
      <c r="N237" s="1904">
        <f>N432</f>
        <v>0</v>
      </c>
      <c r="O237" s="1909"/>
      <c r="P237" s="1913"/>
      <c r="Q237" s="1866"/>
      <c r="S237" s="2025"/>
      <c r="T237" s="2025"/>
      <c r="U237" s="2025"/>
      <c r="V237" s="2025"/>
      <c r="W237" s="2025"/>
      <c r="X237" s="2025"/>
      <c r="Y237" s="2025"/>
      <c r="Z237" s="2025"/>
      <c r="AA237" s="2025"/>
      <c r="AB237" s="2025"/>
      <c r="AC237" s="1867">
        <f t="shared" ca="1" si="89"/>
        <v>1</v>
      </c>
      <c r="AD237" s="1867">
        <f t="shared" ca="1" si="89"/>
        <v>1</v>
      </c>
      <c r="AE237" s="1867">
        <f t="shared" ca="1" si="89"/>
        <v>1</v>
      </c>
      <c r="AF237" s="1867">
        <f t="shared" ca="1" si="89"/>
        <v>1</v>
      </c>
      <c r="AG237" s="1867">
        <f t="shared" ca="1" si="89"/>
        <v>1</v>
      </c>
      <c r="AH237" s="1867">
        <f t="shared" ca="1" si="89"/>
        <v>1</v>
      </c>
      <c r="AI237" s="1867">
        <f t="shared" ca="1" si="89"/>
        <v>1</v>
      </c>
      <c r="AJ237" s="1867">
        <f t="shared" ca="1" si="89"/>
        <v>1</v>
      </c>
      <c r="AK237" s="1867">
        <f t="shared" ca="1" si="89"/>
        <v>1</v>
      </c>
      <c r="AL237" s="1867">
        <f t="shared" ca="1" si="89"/>
        <v>1</v>
      </c>
      <c r="AM237" s="1867">
        <f t="shared" ca="1" si="105"/>
        <v>1</v>
      </c>
      <c r="AN237" s="1868" t="s">
        <v>1585</v>
      </c>
      <c r="AO237" s="1867">
        <f t="shared" ca="1" si="106"/>
        <v>1</v>
      </c>
    </row>
    <row r="238" spans="1:41">
      <c r="A238" s="1960">
        <f>ROW()</f>
        <v>238</v>
      </c>
      <c r="B238" s="2014" t="s">
        <v>1532</v>
      </c>
      <c r="C238" s="1866"/>
      <c r="D238" s="2235"/>
      <c r="E238" s="2234"/>
      <c r="F238" s="2234"/>
      <c r="G238" s="2234"/>
      <c r="H238" s="2234"/>
      <c r="I238" s="2234"/>
      <c r="J238" s="2234"/>
      <c r="K238" s="2234"/>
      <c r="L238" s="2234"/>
      <c r="M238" s="2234"/>
      <c r="N238" s="2234"/>
      <c r="O238" s="1909"/>
      <c r="P238" s="1913"/>
      <c r="Q238" s="1866"/>
      <c r="S238" s="2025"/>
      <c r="T238" s="2025"/>
      <c r="U238" s="2025"/>
      <c r="V238" s="2025"/>
      <c r="W238" s="2025"/>
      <c r="X238" s="2025"/>
      <c r="Y238" s="2025"/>
      <c r="Z238" s="2025"/>
      <c r="AA238" s="2025"/>
      <c r="AB238" s="2025"/>
      <c r="AC238" s="1867">
        <f t="shared" ca="1" si="89"/>
        <v>1</v>
      </c>
      <c r="AD238" s="1867">
        <f t="shared" ca="1" si="89"/>
        <v>1</v>
      </c>
      <c r="AE238" s="1867">
        <f t="shared" ca="1" si="89"/>
        <v>1</v>
      </c>
      <c r="AF238" s="1867">
        <f t="shared" ca="1" si="89"/>
        <v>0</v>
      </c>
      <c r="AG238" s="1867">
        <f t="shared" ca="1" si="89"/>
        <v>0</v>
      </c>
      <c r="AH238" s="1867">
        <f t="shared" ca="1" si="89"/>
        <v>0</v>
      </c>
      <c r="AI238" s="1867">
        <f t="shared" ca="1" si="89"/>
        <v>0</v>
      </c>
      <c r="AJ238" s="1867">
        <f t="shared" ca="1" si="89"/>
        <v>0</v>
      </c>
      <c r="AK238" s="1867">
        <f t="shared" ca="1" si="89"/>
        <v>0</v>
      </c>
      <c r="AL238" s="1867">
        <f t="shared" ca="1" si="89"/>
        <v>0</v>
      </c>
      <c r="AM238" s="1867">
        <f t="shared" ca="1" si="105"/>
        <v>1</v>
      </c>
      <c r="AN238" s="1868" t="s">
        <v>1585</v>
      </c>
      <c r="AO238" s="1867">
        <f t="shared" ca="1" si="106"/>
        <v>1</v>
      </c>
    </row>
    <row r="239" spans="1:41">
      <c r="A239" s="1960">
        <f>ROW()</f>
        <v>239</v>
      </c>
      <c r="B239" s="2005"/>
      <c r="C239" s="1866"/>
      <c r="D239" s="2234"/>
      <c r="E239" s="2234"/>
      <c r="F239" s="2234"/>
      <c r="G239" s="2234"/>
      <c r="H239" s="2234"/>
      <c r="I239" s="2234"/>
      <c r="J239" s="2234"/>
      <c r="K239" s="2234"/>
      <c r="L239" s="2234"/>
      <c r="M239" s="2234"/>
      <c r="N239" s="2234"/>
      <c r="O239" s="1909"/>
      <c r="P239" s="1913"/>
      <c r="Q239" s="1866"/>
      <c r="S239" s="2025"/>
      <c r="T239" s="2025"/>
      <c r="U239" s="2025"/>
      <c r="V239" s="2025"/>
      <c r="W239" s="2025"/>
      <c r="X239" s="2025"/>
      <c r="Y239" s="2025"/>
      <c r="Z239" s="2025"/>
      <c r="AA239" s="2025"/>
      <c r="AB239" s="2025"/>
      <c r="AC239" s="1867">
        <f t="shared" ca="1" si="89"/>
        <v>1</v>
      </c>
      <c r="AD239" s="1867">
        <f t="shared" ca="1" si="89"/>
        <v>1</v>
      </c>
      <c r="AE239" s="1867">
        <f t="shared" ca="1" si="89"/>
        <v>1</v>
      </c>
      <c r="AF239" s="1867">
        <f t="shared" ca="1" si="89"/>
        <v>0</v>
      </c>
      <c r="AG239" s="1867">
        <f t="shared" ca="1" si="89"/>
        <v>0</v>
      </c>
      <c r="AH239" s="1867">
        <f t="shared" ca="1" si="89"/>
        <v>0</v>
      </c>
      <c r="AI239" s="1867">
        <f t="shared" ca="1" si="89"/>
        <v>0</v>
      </c>
      <c r="AJ239" s="1867">
        <f t="shared" ca="1" si="89"/>
        <v>0</v>
      </c>
      <c r="AK239" s="1867">
        <f t="shared" ca="1" si="89"/>
        <v>0</v>
      </c>
      <c r="AL239" s="1867">
        <f t="shared" ca="1" si="89"/>
        <v>0</v>
      </c>
      <c r="AM239" s="1867">
        <f t="shared" ca="1" si="105"/>
        <v>1</v>
      </c>
      <c r="AN239" s="1868" t="s">
        <v>1585</v>
      </c>
      <c r="AO239" s="1867">
        <f t="shared" ca="1" si="106"/>
        <v>1</v>
      </c>
    </row>
    <row r="240" spans="1:41" hidden="1" outlineLevel="1">
      <c r="A240" s="1960">
        <f>ROW()</f>
        <v>240</v>
      </c>
      <c r="B240" s="2030" t="s">
        <v>1792</v>
      </c>
      <c r="C240" s="2031"/>
      <c r="D240" s="2032" t="s">
        <v>1793</v>
      </c>
      <c r="E240" s="2033"/>
      <c r="F240" s="2033"/>
      <c r="G240" s="2033"/>
      <c r="H240" s="2033"/>
      <c r="I240" s="2033"/>
      <c r="J240" s="2033"/>
      <c r="K240" s="2033"/>
      <c r="L240" s="2033"/>
      <c r="M240" s="2033"/>
      <c r="N240" s="2033"/>
      <c r="O240" s="1909"/>
      <c r="P240" s="1913"/>
      <c r="Q240" s="1866" t="s">
        <v>1756</v>
      </c>
      <c r="S240" s="2025"/>
      <c r="T240" s="2025"/>
      <c r="U240" s="2025"/>
      <c r="V240" s="2025"/>
      <c r="W240" s="2025"/>
      <c r="X240" s="2025"/>
      <c r="Y240" s="2025"/>
      <c r="Z240" s="2025"/>
      <c r="AA240" s="2025"/>
      <c r="AB240" s="2025"/>
      <c r="AC240" s="1867">
        <f t="shared" ca="1" si="89"/>
        <v>1</v>
      </c>
      <c r="AD240" s="1867">
        <f t="shared" ca="1" si="89"/>
        <v>1</v>
      </c>
      <c r="AE240" s="1867">
        <f t="shared" ca="1" si="89"/>
        <v>1</v>
      </c>
      <c r="AF240" s="1867">
        <f t="shared" ca="1" si="89"/>
        <v>1</v>
      </c>
      <c r="AG240" s="1867">
        <f t="shared" ca="1" si="89"/>
        <v>1</v>
      </c>
      <c r="AH240" s="1867">
        <f t="shared" ca="1" si="89"/>
        <v>1</v>
      </c>
      <c r="AI240" s="1867">
        <f t="shared" ca="1" si="89"/>
        <v>1</v>
      </c>
      <c r="AJ240" s="1867">
        <f t="shared" ca="1" si="89"/>
        <v>1</v>
      </c>
      <c r="AK240" s="1867">
        <f t="shared" ca="1" si="89"/>
        <v>1</v>
      </c>
      <c r="AL240" s="1867">
        <f t="shared" ca="1" si="89"/>
        <v>1</v>
      </c>
      <c r="AM240" s="1867">
        <f t="shared" ca="1" si="105"/>
        <v>1</v>
      </c>
      <c r="AN240" s="1868" t="s">
        <v>1585</v>
      </c>
      <c r="AO240" s="1867">
        <f t="shared" ca="1" si="106"/>
        <v>1</v>
      </c>
    </row>
    <row r="241" spans="1:41" hidden="1" outlineLevel="1">
      <c r="A241" s="1960">
        <f>ROW()</f>
        <v>241</v>
      </c>
      <c r="B241" s="2003">
        <f>ROW(B30)</f>
        <v>30</v>
      </c>
      <c r="C241" s="1866"/>
      <c r="D241" s="1866" t="s">
        <v>1787</v>
      </c>
      <c r="E241" s="2026">
        <f t="shared" ref="E241:N242" si="119">E30</f>
        <v>540</v>
      </c>
      <c r="F241" s="2026">
        <f t="shared" si="119"/>
        <v>648</v>
      </c>
      <c r="G241" s="2026">
        <f t="shared" si="119"/>
        <v>756</v>
      </c>
      <c r="H241" s="2026">
        <f t="shared" si="119"/>
        <v>864</v>
      </c>
      <c r="I241" s="2026">
        <f t="shared" si="119"/>
        <v>891</v>
      </c>
      <c r="J241" s="2026">
        <f t="shared" si="119"/>
        <v>918</v>
      </c>
      <c r="K241" s="2026">
        <f t="shared" si="119"/>
        <v>0</v>
      </c>
      <c r="L241" s="2026">
        <f t="shared" si="119"/>
        <v>0</v>
      </c>
      <c r="M241" s="2026">
        <f t="shared" si="119"/>
        <v>0</v>
      </c>
      <c r="N241" s="2026">
        <f t="shared" si="119"/>
        <v>0</v>
      </c>
      <c r="O241" s="2004"/>
      <c r="P241" s="1913"/>
      <c r="Q241" s="1866"/>
      <c r="S241" s="2025"/>
      <c r="T241" s="2025"/>
      <c r="U241" s="2025"/>
      <c r="V241" s="2025"/>
      <c r="W241" s="2025"/>
      <c r="X241" s="2025"/>
      <c r="Y241" s="2025"/>
      <c r="Z241" s="2025"/>
      <c r="AA241" s="2025"/>
      <c r="AB241" s="2025"/>
      <c r="AC241" s="1867">
        <f t="shared" ca="1" si="89"/>
        <v>1</v>
      </c>
      <c r="AD241" s="1867">
        <f t="shared" ca="1" si="89"/>
        <v>1</v>
      </c>
      <c r="AE241" s="1867">
        <f t="shared" ca="1" si="89"/>
        <v>1</v>
      </c>
      <c r="AF241" s="1867">
        <f t="shared" ref="AF241:AL301" ca="1" si="120">CELL("protect",D241)</f>
        <v>1</v>
      </c>
      <c r="AG241" s="1867">
        <f t="shared" ca="1" si="120"/>
        <v>1</v>
      </c>
      <c r="AH241" s="1867">
        <f t="shared" ca="1" si="120"/>
        <v>1</v>
      </c>
      <c r="AI241" s="1867">
        <f t="shared" ca="1" si="120"/>
        <v>1</v>
      </c>
      <c r="AJ241" s="1867">
        <f t="shared" ca="1" si="120"/>
        <v>1</v>
      </c>
      <c r="AK241" s="1867">
        <f t="shared" ca="1" si="120"/>
        <v>1</v>
      </c>
      <c r="AL241" s="1867">
        <f t="shared" ca="1" si="120"/>
        <v>1</v>
      </c>
      <c r="AM241" s="1867">
        <f t="shared" ca="1" si="105"/>
        <v>1</v>
      </c>
      <c r="AN241" s="1868" t="s">
        <v>1585</v>
      </c>
      <c r="AO241" s="1867">
        <f t="shared" ca="1" si="106"/>
        <v>1</v>
      </c>
    </row>
    <row r="242" spans="1:41" hidden="1" outlineLevel="1">
      <c r="A242" s="1960">
        <f>ROW()</f>
        <v>242</v>
      </c>
      <c r="B242" s="2003">
        <f>ROW(B31)</f>
        <v>31</v>
      </c>
      <c r="C242" s="1866"/>
      <c r="D242" s="1866" t="s">
        <v>1789</v>
      </c>
      <c r="E242" s="2028">
        <f t="shared" si="119"/>
        <v>540</v>
      </c>
      <c r="F242" s="2028">
        <f t="shared" si="119"/>
        <v>648</v>
      </c>
      <c r="G242" s="2028">
        <f t="shared" si="119"/>
        <v>756</v>
      </c>
      <c r="H242" s="2028">
        <f t="shared" si="119"/>
        <v>864</v>
      </c>
      <c r="I242" s="2028">
        <f t="shared" si="119"/>
        <v>891</v>
      </c>
      <c r="J242" s="2028">
        <f t="shared" si="119"/>
        <v>918</v>
      </c>
      <c r="K242" s="2028">
        <f t="shared" si="119"/>
        <v>0</v>
      </c>
      <c r="L242" s="2028">
        <f t="shared" si="119"/>
        <v>0</v>
      </c>
      <c r="M242" s="2028">
        <f t="shared" si="119"/>
        <v>0</v>
      </c>
      <c r="N242" s="2028">
        <f t="shared" si="119"/>
        <v>0</v>
      </c>
      <c r="O242" s="2004"/>
      <c r="P242" s="1913"/>
      <c r="Q242" s="1866"/>
      <c r="S242" s="2025"/>
      <c r="T242" s="2025"/>
      <c r="U242" s="2025"/>
      <c r="V242" s="2025"/>
      <c r="W242" s="2025"/>
      <c r="X242" s="2025"/>
      <c r="Y242" s="2025"/>
      <c r="Z242" s="2025"/>
      <c r="AA242" s="2025"/>
      <c r="AB242" s="2025"/>
      <c r="AC242" s="1867">
        <f t="shared" ref="AC242:AH321" ca="1" si="121">CELL("protect",A242)</f>
        <v>1</v>
      </c>
      <c r="AD242" s="1867">
        <f t="shared" ca="1" si="121"/>
        <v>1</v>
      </c>
      <c r="AE242" s="1867">
        <f t="shared" ca="1" si="121"/>
        <v>1</v>
      </c>
      <c r="AF242" s="1867">
        <f t="shared" ca="1" si="120"/>
        <v>1</v>
      </c>
      <c r="AG242" s="1867">
        <f t="shared" ca="1" si="120"/>
        <v>1</v>
      </c>
      <c r="AH242" s="1867">
        <f t="shared" ca="1" si="120"/>
        <v>1</v>
      </c>
      <c r="AI242" s="1867">
        <f t="shared" ca="1" si="120"/>
        <v>1</v>
      </c>
      <c r="AJ242" s="1867">
        <f t="shared" ca="1" si="120"/>
        <v>1</v>
      </c>
      <c r="AK242" s="1867">
        <f t="shared" ca="1" si="120"/>
        <v>1</v>
      </c>
      <c r="AL242" s="1867">
        <f t="shared" ca="1" si="120"/>
        <v>1</v>
      </c>
      <c r="AM242" s="1867">
        <f t="shared" ca="1" si="105"/>
        <v>1</v>
      </c>
      <c r="AN242" s="1868" t="s">
        <v>1585</v>
      </c>
      <c r="AO242" s="1867">
        <f t="shared" ca="1" si="106"/>
        <v>1</v>
      </c>
    </row>
    <row r="243" spans="1:41" ht="13.8" hidden="1" outlineLevel="1" thickBot="1">
      <c r="A243" s="1960">
        <f>ROW()</f>
        <v>243</v>
      </c>
      <c r="B243" s="2003"/>
      <c r="C243" s="1866"/>
      <c r="D243" s="2006" t="s">
        <v>1791</v>
      </c>
      <c r="E243" s="2029">
        <f t="shared" ref="E243:N243" si="122">IF(OR(E241=0,E242=0),0,(E241/E242))</f>
        <v>1</v>
      </c>
      <c r="F243" s="2029">
        <f t="shared" si="122"/>
        <v>1</v>
      </c>
      <c r="G243" s="2029">
        <f t="shared" si="122"/>
        <v>1</v>
      </c>
      <c r="H243" s="2029">
        <f t="shared" si="122"/>
        <v>1</v>
      </c>
      <c r="I243" s="2029">
        <f t="shared" si="122"/>
        <v>1</v>
      </c>
      <c r="J243" s="2029">
        <f t="shared" si="122"/>
        <v>1</v>
      </c>
      <c r="K243" s="2029">
        <f t="shared" si="122"/>
        <v>0</v>
      </c>
      <c r="L243" s="2029">
        <f t="shared" si="122"/>
        <v>0</v>
      </c>
      <c r="M243" s="2029">
        <f t="shared" si="122"/>
        <v>0</v>
      </c>
      <c r="N243" s="2029">
        <f t="shared" si="122"/>
        <v>0</v>
      </c>
      <c r="O243" s="2034"/>
      <c r="P243" s="1913"/>
      <c r="Q243" s="1866"/>
      <c r="S243" s="2025"/>
      <c r="T243" s="2025"/>
      <c r="U243" s="2025"/>
      <c r="V243" s="2025"/>
      <c r="W243" s="2025"/>
      <c r="X243" s="2025"/>
      <c r="Y243" s="2025"/>
      <c r="Z243" s="2025"/>
      <c r="AA243" s="2025"/>
      <c r="AB243" s="2025"/>
      <c r="AC243" s="1867">
        <f t="shared" ca="1" si="121"/>
        <v>1</v>
      </c>
      <c r="AD243" s="1867">
        <f t="shared" ca="1" si="121"/>
        <v>1</v>
      </c>
      <c r="AE243" s="1867">
        <f t="shared" ca="1" si="121"/>
        <v>1</v>
      </c>
      <c r="AF243" s="1867">
        <f t="shared" ca="1" si="120"/>
        <v>1</v>
      </c>
      <c r="AG243" s="1867">
        <f t="shared" ca="1" si="120"/>
        <v>1</v>
      </c>
      <c r="AH243" s="1867">
        <f t="shared" ca="1" si="120"/>
        <v>1</v>
      </c>
      <c r="AI243" s="1867">
        <f t="shared" ca="1" si="120"/>
        <v>1</v>
      </c>
      <c r="AJ243" s="1867">
        <f t="shared" ca="1" si="120"/>
        <v>1</v>
      </c>
      <c r="AK243" s="1867">
        <f t="shared" ca="1" si="120"/>
        <v>1</v>
      </c>
      <c r="AL243" s="1867">
        <f t="shared" ca="1" si="120"/>
        <v>1</v>
      </c>
      <c r="AM243" s="1867">
        <f t="shared" ca="1" si="105"/>
        <v>1</v>
      </c>
      <c r="AN243" s="1868" t="s">
        <v>1585</v>
      </c>
      <c r="AO243" s="1867">
        <f t="shared" ca="1" si="106"/>
        <v>1</v>
      </c>
    </row>
    <row r="244" spans="1:41" hidden="1" outlineLevel="1">
      <c r="A244" s="1960">
        <f>ROW()</f>
        <v>244</v>
      </c>
      <c r="B244" s="2003"/>
      <c r="C244" s="1866"/>
      <c r="D244" s="1948" t="s">
        <v>1764</v>
      </c>
      <c r="E244" s="1904" t="str">
        <f>E422</f>
        <v>DNMS</v>
      </c>
      <c r="F244" s="1904" t="str">
        <f t="shared" ref="F244:O244" si="123">F422</f>
        <v>DNMS</v>
      </c>
      <c r="G244" s="1904" t="str">
        <f t="shared" si="123"/>
        <v>DNMS</v>
      </c>
      <c r="H244" s="1904" t="str">
        <f t="shared" si="123"/>
        <v>MS</v>
      </c>
      <c r="I244" s="1904" t="str">
        <f t="shared" si="123"/>
        <v>MS</v>
      </c>
      <c r="J244" s="1904" t="str">
        <f t="shared" si="123"/>
        <v>MS</v>
      </c>
      <c r="K244" s="1904">
        <f t="shared" si="123"/>
        <v>0</v>
      </c>
      <c r="L244" s="1904">
        <f t="shared" si="123"/>
        <v>0</v>
      </c>
      <c r="M244" s="1904">
        <f t="shared" si="123"/>
        <v>0</v>
      </c>
      <c r="N244" s="1904">
        <f t="shared" si="123"/>
        <v>0</v>
      </c>
      <c r="O244" s="2004">
        <f t="shared" si="123"/>
        <v>0</v>
      </c>
      <c r="P244" s="1913"/>
      <c r="Q244" s="1866"/>
      <c r="S244" s="2025"/>
      <c r="T244" s="2025"/>
      <c r="U244" s="2025"/>
      <c r="V244" s="2025"/>
      <c r="W244" s="2025"/>
      <c r="X244" s="2025"/>
      <c r="Y244" s="2025"/>
      <c r="Z244" s="2025"/>
      <c r="AA244" s="2025"/>
      <c r="AB244" s="2025"/>
      <c r="AC244" s="1867">
        <f t="shared" ca="1" si="121"/>
        <v>1</v>
      </c>
      <c r="AD244" s="1867">
        <f t="shared" ca="1" si="121"/>
        <v>1</v>
      </c>
      <c r="AE244" s="1867">
        <f t="shared" ca="1" si="121"/>
        <v>1</v>
      </c>
      <c r="AF244" s="1867">
        <f t="shared" ca="1" si="120"/>
        <v>1</v>
      </c>
      <c r="AG244" s="1867">
        <f t="shared" ca="1" si="120"/>
        <v>1</v>
      </c>
      <c r="AH244" s="1867">
        <f t="shared" ca="1" si="120"/>
        <v>1</v>
      </c>
      <c r="AI244" s="1867">
        <f t="shared" ca="1" si="120"/>
        <v>1</v>
      </c>
      <c r="AJ244" s="1867">
        <f t="shared" ca="1" si="120"/>
        <v>1</v>
      </c>
      <c r="AK244" s="1867">
        <f t="shared" ca="1" si="120"/>
        <v>1</v>
      </c>
      <c r="AL244" s="1867">
        <f t="shared" ca="1" si="120"/>
        <v>1</v>
      </c>
      <c r="AM244" s="1867">
        <f t="shared" ca="1" si="105"/>
        <v>1</v>
      </c>
      <c r="AN244" s="1868" t="s">
        <v>1585</v>
      </c>
      <c r="AO244" s="1867">
        <f t="shared" ca="1" si="106"/>
        <v>1</v>
      </c>
    </row>
    <row r="245" spans="1:41" hidden="1" outlineLevel="1">
      <c r="A245" s="1960">
        <f>ROW()</f>
        <v>245</v>
      </c>
      <c r="B245" s="2014" t="s">
        <v>1532</v>
      </c>
      <c r="C245" s="1866"/>
      <c r="D245" s="2235"/>
      <c r="E245" s="2234"/>
      <c r="F245" s="2234"/>
      <c r="G245" s="2234"/>
      <c r="H245" s="2234"/>
      <c r="I245" s="2234"/>
      <c r="J245" s="2234"/>
      <c r="K245" s="2234"/>
      <c r="L245" s="2234"/>
      <c r="M245" s="2234"/>
      <c r="N245" s="2234"/>
      <c r="O245" s="1909"/>
      <c r="P245" s="1913"/>
      <c r="Q245" s="1866"/>
      <c r="S245" s="2025"/>
      <c r="T245" s="2025"/>
      <c r="U245" s="2025"/>
      <c r="V245" s="2025"/>
      <c r="W245" s="2025"/>
      <c r="X245" s="2025"/>
      <c r="Y245" s="2025"/>
      <c r="Z245" s="2025"/>
      <c r="AA245" s="2025"/>
      <c r="AB245" s="2025"/>
      <c r="AC245" s="1867">
        <f t="shared" ca="1" si="121"/>
        <v>1</v>
      </c>
      <c r="AD245" s="1867">
        <f t="shared" ca="1" si="121"/>
        <v>1</v>
      </c>
      <c r="AE245" s="1867">
        <f t="shared" ca="1" si="121"/>
        <v>1</v>
      </c>
      <c r="AF245" s="1867">
        <f t="shared" ca="1" si="120"/>
        <v>0</v>
      </c>
      <c r="AG245" s="1867">
        <f t="shared" ca="1" si="120"/>
        <v>0</v>
      </c>
      <c r="AH245" s="1867">
        <f t="shared" ca="1" si="120"/>
        <v>0</v>
      </c>
      <c r="AI245" s="1867">
        <f t="shared" ca="1" si="120"/>
        <v>0</v>
      </c>
      <c r="AJ245" s="1867">
        <f t="shared" ca="1" si="120"/>
        <v>0</v>
      </c>
      <c r="AK245" s="1867">
        <f t="shared" ca="1" si="120"/>
        <v>0</v>
      </c>
      <c r="AL245" s="1867">
        <f t="shared" ca="1" si="120"/>
        <v>0</v>
      </c>
      <c r="AM245" s="1867">
        <f t="shared" ca="1" si="105"/>
        <v>1</v>
      </c>
      <c r="AN245" s="1868" t="s">
        <v>1585</v>
      </c>
      <c r="AO245" s="1867">
        <f t="shared" ca="1" si="106"/>
        <v>1</v>
      </c>
    </row>
    <row r="246" spans="1:41" hidden="1" outlineLevel="1">
      <c r="A246" s="1960">
        <f>ROW()</f>
        <v>246</v>
      </c>
      <c r="B246" s="2005"/>
      <c r="C246" s="1866"/>
      <c r="D246" s="2234"/>
      <c r="E246" s="2234"/>
      <c r="F246" s="2234"/>
      <c r="G246" s="2234"/>
      <c r="H246" s="2234"/>
      <c r="I246" s="2234"/>
      <c r="J246" s="2234"/>
      <c r="K246" s="2234"/>
      <c r="L246" s="2234"/>
      <c r="M246" s="2234"/>
      <c r="N246" s="2234"/>
      <c r="O246" s="1909"/>
      <c r="P246" s="1913"/>
      <c r="Q246" s="1866"/>
      <c r="S246" s="2025"/>
      <c r="T246" s="2025"/>
      <c r="U246" s="2025"/>
      <c r="V246" s="2025"/>
      <c r="W246" s="2025"/>
      <c r="X246" s="2025"/>
      <c r="Y246" s="2025"/>
      <c r="Z246" s="2025"/>
      <c r="AA246" s="2025"/>
      <c r="AB246" s="2025"/>
      <c r="AC246" s="1867">
        <f t="shared" ca="1" si="121"/>
        <v>1</v>
      </c>
      <c r="AD246" s="1867">
        <f t="shared" ca="1" si="121"/>
        <v>1</v>
      </c>
      <c r="AE246" s="1867">
        <f t="shared" ca="1" si="121"/>
        <v>1</v>
      </c>
      <c r="AF246" s="1867">
        <f t="shared" ca="1" si="120"/>
        <v>0</v>
      </c>
      <c r="AG246" s="1867">
        <f t="shared" ca="1" si="120"/>
        <v>0</v>
      </c>
      <c r="AH246" s="1867">
        <f t="shared" ca="1" si="120"/>
        <v>0</v>
      </c>
      <c r="AI246" s="1867">
        <f t="shared" ca="1" si="120"/>
        <v>0</v>
      </c>
      <c r="AJ246" s="1867">
        <f t="shared" ca="1" si="120"/>
        <v>0</v>
      </c>
      <c r="AK246" s="1867">
        <f t="shared" ca="1" si="120"/>
        <v>0</v>
      </c>
      <c r="AL246" s="1867">
        <f t="shared" ca="1" si="120"/>
        <v>0</v>
      </c>
      <c r="AM246" s="1867">
        <f t="shared" ca="1" si="105"/>
        <v>1</v>
      </c>
      <c r="AN246" s="1868" t="s">
        <v>1585</v>
      </c>
      <c r="AO246" s="1867">
        <f t="shared" ca="1" si="106"/>
        <v>1</v>
      </c>
    </row>
    <row r="247" spans="1:41" hidden="1" outlineLevel="1">
      <c r="A247" s="1960">
        <f>ROW()</f>
        <v>247</v>
      </c>
      <c r="B247" s="2005"/>
      <c r="C247" s="1866"/>
      <c r="D247" s="1866"/>
      <c r="E247" s="1904"/>
      <c r="F247" s="1904"/>
      <c r="G247" s="1904"/>
      <c r="H247" s="1904"/>
      <c r="I247" s="1904"/>
      <c r="J247" s="1904"/>
      <c r="K247" s="1904"/>
      <c r="L247" s="1904"/>
      <c r="M247" s="1904"/>
      <c r="N247" s="1904"/>
      <c r="O247" s="1909"/>
      <c r="P247" s="1913"/>
      <c r="Q247" s="1866"/>
      <c r="S247" s="2025"/>
      <c r="T247" s="2025"/>
      <c r="U247" s="2025"/>
      <c r="V247" s="2025"/>
      <c r="W247" s="2025"/>
      <c r="X247" s="2025"/>
      <c r="Y247" s="2025"/>
      <c r="Z247" s="2025"/>
      <c r="AA247" s="2025"/>
      <c r="AB247" s="2025"/>
      <c r="AC247" s="1867">
        <f t="shared" ca="1" si="121"/>
        <v>1</v>
      </c>
      <c r="AD247" s="1867">
        <f t="shared" ca="1" si="121"/>
        <v>1</v>
      </c>
      <c r="AE247" s="1867">
        <f t="shared" ca="1" si="121"/>
        <v>1</v>
      </c>
      <c r="AF247" s="1867">
        <f t="shared" ca="1" si="120"/>
        <v>1</v>
      </c>
      <c r="AG247" s="1867">
        <f t="shared" ca="1" si="120"/>
        <v>1</v>
      </c>
      <c r="AH247" s="1867">
        <f t="shared" ca="1" si="120"/>
        <v>1</v>
      </c>
      <c r="AI247" s="1867">
        <f t="shared" ca="1" si="120"/>
        <v>1</v>
      </c>
      <c r="AJ247" s="1867">
        <f t="shared" ca="1" si="120"/>
        <v>1</v>
      </c>
      <c r="AK247" s="1867">
        <f t="shared" ca="1" si="120"/>
        <v>1</v>
      </c>
      <c r="AL247" s="1867">
        <f t="shared" ca="1" si="120"/>
        <v>1</v>
      </c>
      <c r="AM247" s="1867">
        <f t="shared" ca="1" si="105"/>
        <v>1</v>
      </c>
      <c r="AN247" s="1868" t="s">
        <v>1585</v>
      </c>
      <c r="AO247" s="1867">
        <f t="shared" ca="1" si="106"/>
        <v>1</v>
      </c>
    </row>
    <row r="248" spans="1:41" hidden="1" outlineLevel="1">
      <c r="A248" s="1960">
        <f>ROW()</f>
        <v>248</v>
      </c>
      <c r="B248" s="2035" t="s">
        <v>1794</v>
      </c>
      <c r="C248" s="2036"/>
      <c r="D248" s="2037" t="s">
        <v>1795</v>
      </c>
      <c r="E248" s="2038"/>
      <c r="F248" s="2038"/>
      <c r="G248" s="2038"/>
      <c r="H248" s="2038"/>
      <c r="I248" s="2038"/>
      <c r="J248" s="2038"/>
      <c r="K248" s="2038"/>
      <c r="L248" s="2038"/>
      <c r="M248" s="2038"/>
      <c r="N248" s="2038"/>
      <c r="O248" s="1909"/>
      <c r="P248" s="1913"/>
      <c r="Q248" s="1866"/>
      <c r="S248" s="2025"/>
      <c r="T248" s="2025"/>
      <c r="U248" s="2025"/>
      <c r="V248" s="2025"/>
      <c r="W248" s="2025"/>
      <c r="X248" s="2025"/>
      <c r="Y248" s="2025"/>
      <c r="Z248" s="2025"/>
      <c r="AA248" s="2025"/>
      <c r="AB248" s="2025"/>
      <c r="AC248" s="1867"/>
      <c r="AD248" s="1867"/>
      <c r="AE248" s="1867"/>
      <c r="AF248" s="1867"/>
      <c r="AG248" s="1867"/>
      <c r="AH248" s="1867"/>
      <c r="AI248" s="1867"/>
      <c r="AJ248" s="1867"/>
      <c r="AK248" s="1867"/>
      <c r="AL248" s="1867"/>
      <c r="AM248" s="1867"/>
      <c r="AN248" s="1868"/>
      <c r="AO248" s="1867"/>
    </row>
    <row r="249" spans="1:41" hidden="1" outlineLevel="1">
      <c r="A249" s="1960">
        <f>ROW()</f>
        <v>249</v>
      </c>
      <c r="B249" s="2003">
        <f>ROW(B62)</f>
        <v>62</v>
      </c>
      <c r="C249" s="1866"/>
      <c r="D249" s="1866" t="s">
        <v>1787</v>
      </c>
      <c r="E249" s="2026">
        <f t="shared" ref="E249:J250" si="124">+E234</f>
        <v>540</v>
      </c>
      <c r="F249" s="2026">
        <f t="shared" si="124"/>
        <v>648</v>
      </c>
      <c r="G249" s="2026">
        <f t="shared" si="124"/>
        <v>756</v>
      </c>
      <c r="H249" s="2026">
        <f t="shared" si="124"/>
        <v>864</v>
      </c>
      <c r="I249" s="2026">
        <f t="shared" si="124"/>
        <v>891</v>
      </c>
      <c r="J249" s="2026">
        <f t="shared" si="124"/>
        <v>918</v>
      </c>
      <c r="K249" s="2026">
        <f t="shared" ref="K249:N250" si="125">K62</f>
        <v>0</v>
      </c>
      <c r="L249" s="2026">
        <f t="shared" si="125"/>
        <v>0</v>
      </c>
      <c r="M249" s="2026">
        <f t="shared" si="125"/>
        <v>0</v>
      </c>
      <c r="N249" s="2026">
        <f t="shared" si="125"/>
        <v>0</v>
      </c>
      <c r="O249" s="1909"/>
      <c r="P249" s="1913"/>
      <c r="Q249" s="1866"/>
      <c r="S249" s="2025"/>
      <c r="T249" s="2025"/>
      <c r="U249" s="2025"/>
      <c r="V249" s="2025"/>
      <c r="W249" s="2025"/>
      <c r="X249" s="2025"/>
      <c r="Y249" s="2025"/>
      <c r="Z249" s="2025"/>
      <c r="AA249" s="2025"/>
      <c r="AB249" s="2025"/>
      <c r="AC249" s="1867"/>
      <c r="AD249" s="1867"/>
      <c r="AE249" s="1867"/>
      <c r="AF249" s="1867"/>
      <c r="AG249" s="1867"/>
      <c r="AH249" s="1867"/>
      <c r="AI249" s="1867"/>
      <c r="AJ249" s="1867"/>
      <c r="AK249" s="1867"/>
      <c r="AL249" s="1867"/>
      <c r="AM249" s="1867"/>
      <c r="AN249" s="1868"/>
      <c r="AO249" s="1867"/>
    </row>
    <row r="250" spans="1:41" hidden="1" outlineLevel="1">
      <c r="A250" s="1960">
        <f>ROW()</f>
        <v>250</v>
      </c>
      <c r="B250" s="2003">
        <f>ROW(B63)</f>
        <v>63</v>
      </c>
      <c r="C250" s="1866"/>
      <c r="D250" s="1866" t="s">
        <v>1789</v>
      </c>
      <c r="E250" s="2028">
        <f t="shared" si="124"/>
        <v>540</v>
      </c>
      <c r="F250" s="2028">
        <f t="shared" si="124"/>
        <v>648</v>
      </c>
      <c r="G250" s="2028">
        <f t="shared" si="124"/>
        <v>756</v>
      </c>
      <c r="H250" s="2028">
        <f t="shared" si="124"/>
        <v>864</v>
      </c>
      <c r="I250" s="2028">
        <f t="shared" si="124"/>
        <v>891</v>
      </c>
      <c r="J250" s="2028">
        <f t="shared" si="124"/>
        <v>918</v>
      </c>
      <c r="K250" s="2028">
        <f t="shared" si="125"/>
        <v>0</v>
      </c>
      <c r="L250" s="2028">
        <f t="shared" si="125"/>
        <v>0</v>
      </c>
      <c r="M250" s="2028">
        <f t="shared" si="125"/>
        <v>0</v>
      </c>
      <c r="N250" s="2028">
        <f t="shared" si="125"/>
        <v>0</v>
      </c>
      <c r="O250" s="1909"/>
      <c r="P250" s="1913"/>
      <c r="Q250" s="1866"/>
      <c r="S250" s="2025"/>
      <c r="T250" s="2025"/>
      <c r="U250" s="2025"/>
      <c r="V250" s="2025"/>
      <c r="W250" s="2025"/>
      <c r="X250" s="2025"/>
      <c r="Y250" s="2025"/>
      <c r="Z250" s="2025"/>
      <c r="AA250" s="2025"/>
      <c r="AB250" s="2025"/>
      <c r="AC250" s="1867"/>
      <c r="AD250" s="1867"/>
      <c r="AE250" s="1867"/>
      <c r="AF250" s="1867"/>
      <c r="AG250" s="1867"/>
      <c r="AH250" s="1867"/>
      <c r="AI250" s="1867"/>
      <c r="AJ250" s="1867"/>
      <c r="AK250" s="1867"/>
      <c r="AL250" s="1867"/>
      <c r="AM250" s="1867"/>
      <c r="AN250" s="1868"/>
      <c r="AO250" s="1867"/>
    </row>
    <row r="251" spans="1:41" ht="13.8" hidden="1" outlineLevel="1" thickBot="1">
      <c r="A251" s="1960">
        <f>ROW()</f>
        <v>251</v>
      </c>
      <c r="B251" s="2003"/>
      <c r="C251" s="1866"/>
      <c r="D251" s="2006" t="s">
        <v>1791</v>
      </c>
      <c r="E251" s="2029">
        <f t="shared" ref="E251" si="126">IF(OR(E249=0,E250=0),0,(E249/E250))</f>
        <v>1</v>
      </c>
      <c r="F251" s="2029">
        <f>IF(OR(F249=0,F250=0),0,((F249+0.5*E249)/(F250+0.5*E250)))</f>
        <v>1</v>
      </c>
      <c r="G251" s="2029">
        <f>IF(OR(G249=0,G250=0),0,((G249+0.5*F249+0.25*E249)/(G250+0.5*F250+0.25*E250)))</f>
        <v>1</v>
      </c>
      <c r="H251" s="2029">
        <f t="shared" ref="H251:N251" si="127">IF(OR(H249=0,H250=0),0,((H249+0.5*G249+0.25*F249)/(H250+0.5*G250+0.25*F250)))</f>
        <v>1</v>
      </c>
      <c r="I251" s="2029">
        <f t="shared" si="127"/>
        <v>1</v>
      </c>
      <c r="J251" s="2029">
        <f t="shared" si="127"/>
        <v>1</v>
      </c>
      <c r="K251" s="2029">
        <f t="shared" si="127"/>
        <v>0</v>
      </c>
      <c r="L251" s="2029">
        <f t="shared" si="127"/>
        <v>0</v>
      </c>
      <c r="M251" s="2029">
        <f t="shared" si="127"/>
        <v>0</v>
      </c>
      <c r="N251" s="2029">
        <f t="shared" si="127"/>
        <v>0</v>
      </c>
      <c r="O251" s="1909"/>
      <c r="P251" s="1913"/>
      <c r="Q251" s="1866"/>
      <c r="S251" s="2025"/>
      <c r="T251" s="2025"/>
      <c r="U251" s="2025"/>
      <c r="V251" s="2025"/>
      <c r="W251" s="2025"/>
      <c r="X251" s="2025"/>
      <c r="Y251" s="2025"/>
      <c r="Z251" s="2025"/>
      <c r="AA251" s="2025"/>
      <c r="AB251" s="2025"/>
      <c r="AC251" s="1867"/>
      <c r="AD251" s="1867"/>
      <c r="AE251" s="1867"/>
      <c r="AF251" s="1867"/>
      <c r="AG251" s="1867"/>
      <c r="AH251" s="1867"/>
      <c r="AI251" s="1867"/>
      <c r="AJ251" s="1867"/>
      <c r="AK251" s="1867"/>
      <c r="AL251" s="1867"/>
      <c r="AM251" s="1867"/>
      <c r="AN251" s="1868"/>
      <c r="AO251" s="1867"/>
    </row>
    <row r="252" spans="1:41" hidden="1" outlineLevel="1">
      <c r="A252" s="1960">
        <f>ROW()</f>
        <v>252</v>
      </c>
      <c r="B252" s="2003"/>
      <c r="C252" s="1866"/>
      <c r="D252" s="1948" t="s">
        <v>1764</v>
      </c>
      <c r="E252" s="1904" t="str">
        <f>IF(E251=0,0,IF(E251&gt;0.95,"MS",IF(E251&lt;=0.85,"FFBS","DNMS")))</f>
        <v>MS</v>
      </c>
      <c r="F252" s="1904" t="str">
        <f t="shared" ref="F252:N252" si="128">IF(F251=0,0,IF(F251&gt;0.95,"MS",IF(F251&lt;=0.85,"FFBS","DNMS")))</f>
        <v>MS</v>
      </c>
      <c r="G252" s="1904" t="str">
        <f t="shared" si="128"/>
        <v>MS</v>
      </c>
      <c r="H252" s="1904" t="str">
        <f t="shared" si="128"/>
        <v>MS</v>
      </c>
      <c r="I252" s="1904" t="str">
        <f t="shared" si="128"/>
        <v>MS</v>
      </c>
      <c r="J252" s="1904" t="str">
        <f t="shared" si="128"/>
        <v>MS</v>
      </c>
      <c r="K252" s="1904">
        <f t="shared" si="128"/>
        <v>0</v>
      </c>
      <c r="L252" s="1904">
        <f t="shared" si="128"/>
        <v>0</v>
      </c>
      <c r="M252" s="1904">
        <f t="shared" si="128"/>
        <v>0</v>
      </c>
      <c r="N252" s="1904">
        <f t="shared" si="128"/>
        <v>0</v>
      </c>
      <c r="O252" s="1909"/>
      <c r="P252" s="1913"/>
      <c r="Q252" s="1866"/>
      <c r="S252" s="2025"/>
      <c r="T252" s="2025"/>
      <c r="U252" s="2025"/>
      <c r="V252" s="2025"/>
      <c r="W252" s="2025"/>
      <c r="X252" s="2025"/>
      <c r="Y252" s="2025"/>
      <c r="Z252" s="2025"/>
      <c r="AA252" s="2025"/>
      <c r="AB252" s="2025"/>
      <c r="AC252" s="1867"/>
      <c r="AD252" s="1867"/>
      <c r="AE252" s="1867"/>
      <c r="AF252" s="1867"/>
      <c r="AG252" s="1867"/>
      <c r="AH252" s="1867"/>
      <c r="AI252" s="1867"/>
      <c r="AJ252" s="1867"/>
      <c r="AK252" s="1867"/>
      <c r="AL252" s="1867"/>
      <c r="AM252" s="1867"/>
      <c r="AN252" s="1868"/>
      <c r="AO252" s="1867"/>
    </row>
    <row r="253" spans="1:41" hidden="1" outlineLevel="1">
      <c r="A253" s="1960">
        <f>ROW()</f>
        <v>253</v>
      </c>
      <c r="B253" s="2014" t="s">
        <v>1532</v>
      </c>
      <c r="C253" s="1866"/>
      <c r="D253" s="2235" t="s">
        <v>1796</v>
      </c>
      <c r="E253" s="2234"/>
      <c r="F253" s="2234"/>
      <c r="G253" s="2234"/>
      <c r="H253" s="2234"/>
      <c r="I253" s="2234"/>
      <c r="J253" s="2234"/>
      <c r="K253" s="2234"/>
      <c r="L253" s="2234"/>
      <c r="M253" s="2234"/>
      <c r="N253" s="2234"/>
      <c r="O253" s="1909"/>
      <c r="P253" s="1913"/>
      <c r="Q253" s="1866"/>
      <c r="S253" s="2025"/>
      <c r="T253" s="2025"/>
      <c r="U253" s="2025"/>
      <c r="V253" s="2025"/>
      <c r="W253" s="2025"/>
      <c r="X253" s="2025"/>
      <c r="Y253" s="2025"/>
      <c r="Z253" s="2025"/>
      <c r="AA253" s="2025"/>
      <c r="AB253" s="2025"/>
      <c r="AC253" s="1867"/>
      <c r="AD253" s="1867"/>
      <c r="AE253" s="1867"/>
      <c r="AF253" s="1867"/>
      <c r="AG253" s="1867"/>
      <c r="AH253" s="1867"/>
      <c r="AI253" s="1867"/>
      <c r="AJ253" s="1867"/>
      <c r="AK253" s="1867"/>
      <c r="AL253" s="1867"/>
      <c r="AM253" s="1867"/>
      <c r="AN253" s="1868"/>
      <c r="AO253" s="1867"/>
    </row>
    <row r="254" spans="1:41" hidden="1" outlineLevel="1">
      <c r="A254" s="1960">
        <f>ROW()</f>
        <v>254</v>
      </c>
      <c r="B254" s="2005"/>
      <c r="C254" s="1866"/>
      <c r="D254" s="2234"/>
      <c r="E254" s="2234"/>
      <c r="F254" s="2234"/>
      <c r="G254" s="2234"/>
      <c r="H254" s="2234"/>
      <c r="I254" s="2234"/>
      <c r="J254" s="2234"/>
      <c r="K254" s="2234"/>
      <c r="L254" s="2234"/>
      <c r="M254" s="2234"/>
      <c r="N254" s="2234"/>
      <c r="O254" s="1909"/>
      <c r="P254" s="1913"/>
      <c r="Q254" s="1866"/>
      <c r="S254" s="2025"/>
      <c r="T254" s="2025"/>
      <c r="U254" s="2025"/>
      <c r="V254" s="2025"/>
      <c r="W254" s="2025"/>
      <c r="X254" s="2025"/>
      <c r="Y254" s="2025"/>
      <c r="Z254" s="2025"/>
      <c r="AA254" s="2025"/>
      <c r="AB254" s="2025"/>
      <c r="AC254" s="1867"/>
      <c r="AD254" s="1867"/>
      <c r="AE254" s="1867"/>
      <c r="AF254" s="1867"/>
      <c r="AG254" s="1867"/>
      <c r="AH254" s="1867"/>
      <c r="AI254" s="1867"/>
      <c r="AJ254" s="1867"/>
      <c r="AK254" s="1867"/>
      <c r="AL254" s="1867"/>
      <c r="AM254" s="1867"/>
      <c r="AN254" s="1868"/>
      <c r="AO254" s="1867"/>
    </row>
    <row r="255" spans="1:41" hidden="1" outlineLevel="1">
      <c r="A255" s="1960">
        <f>ROW()</f>
        <v>255</v>
      </c>
      <c r="B255" s="2005"/>
      <c r="C255" s="1866"/>
      <c r="D255" s="1866"/>
      <c r="E255" s="1904"/>
      <c r="F255" s="1904"/>
      <c r="G255" s="1904"/>
      <c r="H255" s="1904"/>
      <c r="I255" s="1904"/>
      <c r="J255" s="1904"/>
      <c r="K255" s="1904"/>
      <c r="L255" s="1904"/>
      <c r="M255" s="1904"/>
      <c r="N255" s="1904"/>
      <c r="O255" s="1909"/>
      <c r="P255" s="1913"/>
      <c r="Q255" s="1866"/>
      <c r="S255" s="2025"/>
      <c r="T255" s="2025"/>
      <c r="U255" s="2025"/>
      <c r="V255" s="2025"/>
      <c r="W255" s="2025"/>
      <c r="X255" s="2025"/>
      <c r="Y255" s="2025"/>
      <c r="Z255" s="2025"/>
      <c r="AA255" s="2025"/>
      <c r="AB255" s="2025"/>
      <c r="AC255" s="1867"/>
      <c r="AD255" s="1867"/>
      <c r="AE255" s="1867"/>
      <c r="AF255" s="1867"/>
      <c r="AG255" s="1867"/>
      <c r="AH255" s="1867"/>
      <c r="AI255" s="1867"/>
      <c r="AJ255" s="1867"/>
      <c r="AK255" s="1867"/>
      <c r="AL255" s="1867"/>
      <c r="AM255" s="1867"/>
      <c r="AN255" s="1868"/>
      <c r="AO255" s="1867"/>
    </row>
    <row r="256" spans="1:41" hidden="1" outlineLevel="1">
      <c r="A256" s="1960">
        <f>ROW()</f>
        <v>256</v>
      </c>
      <c r="B256" s="2035" t="s">
        <v>1797</v>
      </c>
      <c r="C256" s="2036"/>
      <c r="D256" s="2037" t="s">
        <v>1798</v>
      </c>
      <c r="E256" s="2038"/>
      <c r="F256" s="2038"/>
      <c r="G256" s="2038"/>
      <c r="H256" s="2038"/>
      <c r="I256" s="2038"/>
      <c r="J256" s="2038"/>
      <c r="K256" s="2038"/>
      <c r="L256" s="2038"/>
      <c r="M256" s="2038"/>
      <c r="N256" s="2038"/>
      <c r="O256" s="1909"/>
      <c r="P256" s="1913"/>
      <c r="Q256" s="1866"/>
      <c r="S256" s="2025"/>
      <c r="T256" s="2025"/>
      <c r="U256" s="2025"/>
      <c r="V256" s="2025"/>
      <c r="W256" s="2025"/>
      <c r="X256" s="2025"/>
      <c r="Y256" s="2025"/>
      <c r="Z256" s="2025"/>
      <c r="AA256" s="2025"/>
      <c r="AB256" s="2025"/>
      <c r="AC256" s="1867"/>
      <c r="AD256" s="1867"/>
      <c r="AE256" s="1867"/>
      <c r="AF256" s="1867"/>
      <c r="AG256" s="1867"/>
      <c r="AH256" s="1867"/>
      <c r="AI256" s="1867"/>
      <c r="AJ256" s="1867"/>
      <c r="AK256" s="1867"/>
      <c r="AL256" s="1867"/>
      <c r="AM256" s="1867"/>
      <c r="AN256" s="1868"/>
      <c r="AO256" s="1867"/>
    </row>
    <row r="257" spans="1:41" hidden="1" outlineLevel="1">
      <c r="A257" s="1960">
        <f>ROW()</f>
        <v>257</v>
      </c>
      <c r="B257" s="2003">
        <f>ROW(B75)</f>
        <v>75</v>
      </c>
      <c r="C257" s="1866"/>
      <c r="D257" s="1866" t="s">
        <v>1787</v>
      </c>
      <c r="E257" s="2026">
        <f>+E249</f>
        <v>540</v>
      </c>
      <c r="F257" s="2026">
        <f t="shared" ref="F257:J257" si="129">+F249</f>
        <v>648</v>
      </c>
      <c r="G257" s="2026">
        <f t="shared" si="129"/>
        <v>756</v>
      </c>
      <c r="H257" s="2026">
        <f t="shared" si="129"/>
        <v>864</v>
      </c>
      <c r="I257" s="2026">
        <f t="shared" si="129"/>
        <v>891</v>
      </c>
      <c r="J257" s="2026">
        <f t="shared" si="129"/>
        <v>918</v>
      </c>
      <c r="K257" s="2026">
        <f t="shared" ref="K257:N258" si="130">K75</f>
        <v>0</v>
      </c>
      <c r="L257" s="2026">
        <f t="shared" si="130"/>
        <v>0</v>
      </c>
      <c r="M257" s="2026">
        <f t="shared" si="130"/>
        <v>0</v>
      </c>
      <c r="N257" s="2026">
        <f t="shared" si="130"/>
        <v>0</v>
      </c>
      <c r="O257" s="1909"/>
      <c r="P257" s="1913"/>
      <c r="Q257" s="1866"/>
      <c r="S257" s="2025"/>
      <c r="T257" s="2025"/>
      <c r="U257" s="2025"/>
      <c r="V257" s="2025"/>
      <c r="W257" s="2025"/>
      <c r="X257" s="2025"/>
      <c r="Y257" s="2025"/>
      <c r="Z257" s="2025"/>
      <c r="AA257" s="2025"/>
      <c r="AB257" s="2025"/>
      <c r="AC257" s="1867"/>
      <c r="AD257" s="1867"/>
      <c r="AE257" s="1867"/>
      <c r="AF257" s="1867"/>
      <c r="AG257" s="1867"/>
      <c r="AH257" s="1867"/>
      <c r="AI257" s="1867"/>
      <c r="AJ257" s="1867"/>
      <c r="AK257" s="1867"/>
      <c r="AL257" s="1867"/>
      <c r="AM257" s="1867"/>
      <c r="AN257" s="1868"/>
      <c r="AO257" s="1867"/>
    </row>
    <row r="258" spans="1:41" hidden="1" outlineLevel="1">
      <c r="A258" s="1960">
        <f>ROW()</f>
        <v>258</v>
      </c>
      <c r="B258" s="2003">
        <f>ROW(B76)</f>
        <v>76</v>
      </c>
      <c r="C258" s="1866"/>
      <c r="D258" s="1866" t="s">
        <v>1789</v>
      </c>
      <c r="E258" s="2028">
        <f t="shared" ref="E258:J258" si="131">+E250</f>
        <v>540</v>
      </c>
      <c r="F258" s="2028">
        <f t="shared" si="131"/>
        <v>648</v>
      </c>
      <c r="G258" s="2028">
        <f t="shared" si="131"/>
        <v>756</v>
      </c>
      <c r="H258" s="2028">
        <f t="shared" si="131"/>
        <v>864</v>
      </c>
      <c r="I258" s="2028">
        <f t="shared" si="131"/>
        <v>891</v>
      </c>
      <c r="J258" s="2028">
        <f t="shared" si="131"/>
        <v>918</v>
      </c>
      <c r="K258" s="2028">
        <f t="shared" si="130"/>
        <v>0</v>
      </c>
      <c r="L258" s="2028">
        <f t="shared" si="130"/>
        <v>0</v>
      </c>
      <c r="M258" s="2028">
        <f t="shared" si="130"/>
        <v>0</v>
      </c>
      <c r="N258" s="2028">
        <f t="shared" si="130"/>
        <v>0</v>
      </c>
      <c r="O258" s="1909"/>
      <c r="P258" s="1913"/>
      <c r="Q258" s="1866"/>
      <c r="S258" s="2025"/>
      <c r="T258" s="2025"/>
      <c r="U258" s="2025"/>
      <c r="V258" s="2025"/>
      <c r="W258" s="2025"/>
      <c r="X258" s="2025"/>
      <c r="Y258" s="2025"/>
      <c r="Z258" s="2025"/>
      <c r="AA258" s="2025"/>
      <c r="AB258" s="2025"/>
      <c r="AC258" s="1867"/>
      <c r="AD258" s="1867"/>
      <c r="AE258" s="1867"/>
      <c r="AF258" s="1867"/>
      <c r="AG258" s="1867"/>
      <c r="AH258" s="1867"/>
      <c r="AI258" s="1867"/>
      <c r="AJ258" s="1867"/>
      <c r="AK258" s="1867"/>
      <c r="AL258" s="1867"/>
      <c r="AM258" s="1867"/>
      <c r="AN258" s="1868"/>
      <c r="AO258" s="1867"/>
    </row>
    <row r="259" spans="1:41" ht="13.8" hidden="1" outlineLevel="1" thickBot="1">
      <c r="A259" s="1960">
        <f>ROW()</f>
        <v>259</v>
      </c>
      <c r="B259" s="2003"/>
      <c r="C259" s="1866"/>
      <c r="D259" s="2006" t="s">
        <v>1791</v>
      </c>
      <c r="E259" s="2029">
        <f t="shared" ref="E259" si="132">IF(OR(E257=0,E258=0),0,(E257/E258))</f>
        <v>1</v>
      </c>
      <c r="F259" s="2029">
        <f>IF(OR(F257=0,F258=0),0,((F257+0.75*E257)/(F258+0.75*E258)))</f>
        <v>1</v>
      </c>
      <c r="G259" s="2029">
        <f>IF(OR(G257=0,G258=0),0,((G257+0.75*F257+0.5*E257)/(G258+0.75*F258+0.5*E258)))</f>
        <v>1</v>
      </c>
      <c r="H259" s="2029">
        <f t="shared" ref="H259:N259" si="133">IF(OR(H257=0,H258=0),0,((H257+0.75*G257+0.5*F257)/(H258+0.75*G258+0.5*F258)))</f>
        <v>1</v>
      </c>
      <c r="I259" s="2029">
        <f t="shared" si="133"/>
        <v>1</v>
      </c>
      <c r="J259" s="2029">
        <f t="shared" si="133"/>
        <v>1</v>
      </c>
      <c r="K259" s="2029">
        <f t="shared" si="133"/>
        <v>0</v>
      </c>
      <c r="L259" s="2029">
        <f t="shared" si="133"/>
        <v>0</v>
      </c>
      <c r="M259" s="2029">
        <f t="shared" si="133"/>
        <v>0</v>
      </c>
      <c r="N259" s="2029">
        <f t="shared" si="133"/>
        <v>0</v>
      </c>
      <c r="O259" s="1909"/>
      <c r="P259" s="1913"/>
      <c r="Q259" s="1866"/>
      <c r="S259" s="2025"/>
      <c r="T259" s="2025"/>
      <c r="U259" s="2025"/>
      <c r="V259" s="2025"/>
      <c r="W259" s="2025"/>
      <c r="X259" s="2025"/>
      <c r="Y259" s="2025"/>
      <c r="Z259" s="2025"/>
      <c r="AA259" s="2025"/>
      <c r="AB259" s="2025"/>
      <c r="AC259" s="1867"/>
      <c r="AD259" s="1867"/>
      <c r="AE259" s="1867"/>
      <c r="AF259" s="1867"/>
      <c r="AG259" s="1867"/>
      <c r="AH259" s="1867"/>
      <c r="AI259" s="1867"/>
      <c r="AJ259" s="1867"/>
      <c r="AK259" s="1867"/>
      <c r="AL259" s="1867"/>
      <c r="AM259" s="1867"/>
      <c r="AN259" s="1868"/>
      <c r="AO259" s="1867"/>
    </row>
    <row r="260" spans="1:41" hidden="1" outlineLevel="1">
      <c r="A260" s="1960">
        <f>ROW()</f>
        <v>260</v>
      </c>
      <c r="B260" s="2003"/>
      <c r="C260" s="1866"/>
      <c r="D260" s="1948" t="s">
        <v>1764</v>
      </c>
      <c r="E260" s="1904" t="str">
        <f>IF(E259=0,0,IF(E259&gt;0.95,"MS",IF(E259&lt;=0.85,"FFBS","DNMS")))</f>
        <v>MS</v>
      </c>
      <c r="F260" s="1904" t="str">
        <f t="shared" ref="F260:N260" si="134">IF(F259=0,0,IF(F259&gt;0.95,"MS",IF(F259&lt;=0.85,"FFBS","DNMS")))</f>
        <v>MS</v>
      </c>
      <c r="G260" s="1904" t="str">
        <f t="shared" si="134"/>
        <v>MS</v>
      </c>
      <c r="H260" s="1904" t="str">
        <f t="shared" si="134"/>
        <v>MS</v>
      </c>
      <c r="I260" s="1904" t="str">
        <f t="shared" si="134"/>
        <v>MS</v>
      </c>
      <c r="J260" s="1904" t="str">
        <f t="shared" si="134"/>
        <v>MS</v>
      </c>
      <c r="K260" s="1904">
        <f t="shared" si="134"/>
        <v>0</v>
      </c>
      <c r="L260" s="1904">
        <f t="shared" si="134"/>
        <v>0</v>
      </c>
      <c r="M260" s="1904">
        <f t="shared" si="134"/>
        <v>0</v>
      </c>
      <c r="N260" s="1904">
        <f t="shared" si="134"/>
        <v>0</v>
      </c>
      <c r="O260" s="1909"/>
      <c r="P260" s="1913"/>
      <c r="Q260" s="1866"/>
      <c r="S260" s="2025"/>
      <c r="T260" s="2025"/>
      <c r="U260" s="2025"/>
      <c r="V260" s="2025"/>
      <c r="W260" s="2025"/>
      <c r="X260" s="2025"/>
      <c r="Y260" s="2025"/>
      <c r="Z260" s="2025"/>
      <c r="AA260" s="2025"/>
      <c r="AB260" s="2025"/>
      <c r="AC260" s="1867"/>
      <c r="AD260" s="1867"/>
      <c r="AE260" s="1867"/>
      <c r="AF260" s="1867"/>
      <c r="AG260" s="1867"/>
      <c r="AH260" s="1867"/>
      <c r="AI260" s="1867"/>
      <c r="AJ260" s="1867"/>
      <c r="AK260" s="1867"/>
      <c r="AL260" s="1867"/>
      <c r="AM260" s="1867"/>
      <c r="AN260" s="1868"/>
      <c r="AO260" s="1867"/>
    </row>
    <row r="261" spans="1:41" hidden="1" outlineLevel="1">
      <c r="A261" s="1960">
        <f>ROW()</f>
        <v>261</v>
      </c>
      <c r="B261" s="2014" t="s">
        <v>1532</v>
      </c>
      <c r="C261" s="1866"/>
      <c r="D261" s="2235" t="s">
        <v>1799</v>
      </c>
      <c r="E261" s="2234"/>
      <c r="F261" s="2234"/>
      <c r="G261" s="2234"/>
      <c r="H261" s="2234"/>
      <c r="I261" s="2234"/>
      <c r="J261" s="2234"/>
      <c r="K261" s="2234"/>
      <c r="L261" s="2234"/>
      <c r="M261" s="2234"/>
      <c r="N261" s="2234"/>
      <c r="O261" s="1909"/>
      <c r="P261" s="1913"/>
      <c r="Q261" s="1866"/>
      <c r="S261" s="2025"/>
      <c r="T261" s="2025"/>
      <c r="U261" s="2025"/>
      <c r="V261" s="2025"/>
      <c r="W261" s="2025"/>
      <c r="X261" s="2025"/>
      <c r="Y261" s="2025"/>
      <c r="Z261" s="2025"/>
      <c r="AA261" s="2025"/>
      <c r="AB261" s="2025"/>
      <c r="AC261" s="1867"/>
      <c r="AD261" s="1867"/>
      <c r="AE261" s="1867"/>
      <c r="AF261" s="1867"/>
      <c r="AG261" s="1867"/>
      <c r="AH261" s="1867"/>
      <c r="AI261" s="1867"/>
      <c r="AJ261" s="1867"/>
      <c r="AK261" s="1867"/>
      <c r="AL261" s="1867"/>
      <c r="AM261" s="1867"/>
      <c r="AN261" s="1868"/>
      <c r="AO261" s="1867"/>
    </row>
    <row r="262" spans="1:41" hidden="1" outlineLevel="1">
      <c r="A262" s="1960">
        <f>ROW()</f>
        <v>262</v>
      </c>
      <c r="B262" s="2005"/>
      <c r="C262" s="1866"/>
      <c r="D262" s="2234"/>
      <c r="E262" s="2234"/>
      <c r="F262" s="2234"/>
      <c r="G262" s="2234"/>
      <c r="H262" s="2234"/>
      <c r="I262" s="2234"/>
      <c r="J262" s="2234"/>
      <c r="K262" s="2234"/>
      <c r="L262" s="2234"/>
      <c r="M262" s="2234"/>
      <c r="N262" s="2234"/>
      <c r="O262" s="1909"/>
      <c r="P262" s="1913"/>
      <c r="Q262" s="1866"/>
      <c r="S262" s="2025"/>
      <c r="T262" s="2025"/>
      <c r="U262" s="2025"/>
      <c r="V262" s="2025"/>
      <c r="W262" s="2025"/>
      <c r="X262" s="2025"/>
      <c r="Y262" s="2025"/>
      <c r="Z262" s="2025"/>
      <c r="AA262" s="2025"/>
      <c r="AB262" s="2025"/>
      <c r="AC262" s="1867"/>
      <c r="AD262" s="1867"/>
      <c r="AE262" s="1867"/>
      <c r="AF262" s="1867"/>
      <c r="AG262" s="1867"/>
      <c r="AH262" s="1867"/>
      <c r="AI262" s="1867"/>
      <c r="AJ262" s="1867"/>
      <c r="AK262" s="1867"/>
      <c r="AL262" s="1867"/>
      <c r="AM262" s="1867"/>
      <c r="AN262" s="1868"/>
      <c r="AO262" s="1867"/>
    </row>
    <row r="263" spans="1:41" hidden="1" outlineLevel="1">
      <c r="A263" s="1960">
        <f>ROW()</f>
        <v>263</v>
      </c>
      <c r="B263" s="2005"/>
      <c r="C263" s="1866"/>
      <c r="D263" s="1866"/>
      <c r="E263" s="1904"/>
      <c r="F263" s="1904"/>
      <c r="G263" s="1904"/>
      <c r="H263" s="1904"/>
      <c r="I263" s="1904"/>
      <c r="J263" s="1904"/>
      <c r="K263" s="1904"/>
      <c r="L263" s="1904"/>
      <c r="M263" s="1904"/>
      <c r="N263" s="1904"/>
      <c r="O263" s="1909"/>
      <c r="P263" s="1913"/>
      <c r="Q263" s="1866"/>
      <c r="S263" s="2025"/>
      <c r="T263" s="2025"/>
      <c r="U263" s="2025"/>
      <c r="V263" s="2025"/>
      <c r="W263" s="2025"/>
      <c r="X263" s="2025"/>
      <c r="Y263" s="2025"/>
      <c r="Z263" s="2025"/>
      <c r="AA263" s="2025"/>
      <c r="AB263" s="2025"/>
      <c r="AC263" s="1867"/>
      <c r="AD263" s="1867"/>
      <c r="AE263" s="1867"/>
      <c r="AF263" s="1867"/>
      <c r="AG263" s="1867"/>
      <c r="AH263" s="1867"/>
      <c r="AI263" s="1867"/>
      <c r="AJ263" s="1867"/>
      <c r="AK263" s="1867"/>
      <c r="AL263" s="1867"/>
      <c r="AM263" s="1867"/>
      <c r="AN263" s="1868"/>
      <c r="AO263" s="1867"/>
    </row>
    <row r="264" spans="1:41" hidden="1" outlineLevel="1">
      <c r="A264" s="1960">
        <f>ROW()</f>
        <v>264</v>
      </c>
      <c r="B264" s="2035" t="s">
        <v>1800</v>
      </c>
      <c r="C264" s="2036"/>
      <c r="D264" s="2037" t="s">
        <v>1801</v>
      </c>
      <c r="E264" s="2038"/>
      <c r="F264" s="2038"/>
      <c r="G264" s="2038"/>
      <c r="H264" s="2038"/>
      <c r="I264" s="2038"/>
      <c r="J264" s="2038"/>
      <c r="K264" s="2038"/>
      <c r="L264" s="2038"/>
      <c r="M264" s="2038"/>
      <c r="N264" s="2038"/>
      <c r="O264" s="1909"/>
      <c r="P264" s="1913"/>
      <c r="Q264" s="1866"/>
      <c r="S264" s="2025"/>
      <c r="T264" s="2025"/>
      <c r="U264" s="2025"/>
      <c r="V264" s="2025"/>
      <c r="W264" s="2025"/>
      <c r="X264" s="2025"/>
      <c r="Y264" s="2025"/>
      <c r="Z264" s="2025"/>
      <c r="AA264" s="2025"/>
      <c r="AB264" s="2025"/>
      <c r="AC264" s="1867"/>
      <c r="AD264" s="1867"/>
      <c r="AE264" s="1867"/>
      <c r="AF264" s="1867"/>
      <c r="AG264" s="1867"/>
      <c r="AH264" s="1867"/>
      <c r="AI264" s="1867"/>
      <c r="AJ264" s="1867"/>
      <c r="AK264" s="1867"/>
      <c r="AL264" s="1867"/>
      <c r="AM264" s="1867"/>
      <c r="AN264" s="1868"/>
      <c r="AO264" s="1867"/>
    </row>
    <row r="265" spans="1:41" hidden="1" outlineLevel="1">
      <c r="A265" s="1960">
        <f>ROW()</f>
        <v>265</v>
      </c>
      <c r="B265" s="2003">
        <f>ROW(B83)</f>
        <v>83</v>
      </c>
      <c r="C265" s="1866"/>
      <c r="D265" s="1866" t="s">
        <v>1787</v>
      </c>
      <c r="E265" s="2026">
        <f>+E257</f>
        <v>540</v>
      </c>
      <c r="F265" s="2026">
        <f t="shared" ref="F265:J265" si="135">+F257</f>
        <v>648</v>
      </c>
      <c r="G265" s="2026">
        <f t="shared" si="135"/>
        <v>756</v>
      </c>
      <c r="H265" s="2026">
        <f t="shared" si="135"/>
        <v>864</v>
      </c>
      <c r="I265" s="2026">
        <f t="shared" si="135"/>
        <v>891</v>
      </c>
      <c r="J265" s="2026">
        <f t="shared" si="135"/>
        <v>918</v>
      </c>
      <c r="K265" s="2026">
        <f t="shared" ref="K265:N266" si="136">K83</f>
        <v>0</v>
      </c>
      <c r="L265" s="2026">
        <f t="shared" si="136"/>
        <v>0</v>
      </c>
      <c r="M265" s="2026">
        <f t="shared" si="136"/>
        <v>0</v>
      </c>
      <c r="N265" s="2026">
        <f t="shared" si="136"/>
        <v>0</v>
      </c>
      <c r="O265" s="1909"/>
      <c r="P265" s="1913"/>
      <c r="Q265" s="1866"/>
      <c r="S265" s="2025"/>
      <c r="T265" s="2025"/>
      <c r="U265" s="2025"/>
      <c r="V265" s="2025"/>
      <c r="W265" s="2025"/>
      <c r="X265" s="2025"/>
      <c r="Y265" s="2025"/>
      <c r="Z265" s="2025"/>
      <c r="AA265" s="2025"/>
      <c r="AB265" s="2025"/>
      <c r="AC265" s="1867"/>
      <c r="AD265" s="1867"/>
      <c r="AE265" s="1867"/>
      <c r="AF265" s="1867"/>
      <c r="AG265" s="1867"/>
      <c r="AH265" s="1867"/>
      <c r="AI265" s="1867"/>
      <c r="AJ265" s="1867"/>
      <c r="AK265" s="1867"/>
      <c r="AL265" s="1867"/>
      <c r="AM265" s="1867"/>
      <c r="AN265" s="1868"/>
      <c r="AO265" s="1867"/>
    </row>
    <row r="266" spans="1:41" hidden="1" outlineLevel="1">
      <c r="A266" s="1960">
        <f>ROW()</f>
        <v>266</v>
      </c>
      <c r="B266" s="2003">
        <f>ROW(B84)</f>
        <v>84</v>
      </c>
      <c r="C266" s="1866"/>
      <c r="D266" s="1866" t="s">
        <v>1789</v>
      </c>
      <c r="E266" s="2028">
        <f t="shared" ref="E266:J266" si="137">+E258</f>
        <v>540</v>
      </c>
      <c r="F266" s="2028">
        <f t="shared" si="137"/>
        <v>648</v>
      </c>
      <c r="G266" s="2028">
        <f t="shared" si="137"/>
        <v>756</v>
      </c>
      <c r="H266" s="2028">
        <f t="shared" si="137"/>
        <v>864</v>
      </c>
      <c r="I266" s="2028">
        <f t="shared" si="137"/>
        <v>891</v>
      </c>
      <c r="J266" s="2028">
        <f t="shared" si="137"/>
        <v>918</v>
      </c>
      <c r="K266" s="2028">
        <f t="shared" si="136"/>
        <v>0</v>
      </c>
      <c r="L266" s="2028">
        <f t="shared" si="136"/>
        <v>0</v>
      </c>
      <c r="M266" s="2028">
        <f t="shared" si="136"/>
        <v>0</v>
      </c>
      <c r="N266" s="2028">
        <f t="shared" si="136"/>
        <v>0</v>
      </c>
      <c r="O266" s="1909"/>
      <c r="P266" s="1913"/>
      <c r="Q266" s="1866"/>
      <c r="S266" s="2025"/>
      <c r="T266" s="2025"/>
      <c r="U266" s="2025"/>
      <c r="V266" s="2025"/>
      <c r="W266" s="2025"/>
      <c r="X266" s="2025"/>
      <c r="Y266" s="2025"/>
      <c r="Z266" s="2025"/>
      <c r="AA266" s="2025"/>
      <c r="AB266" s="2025"/>
      <c r="AC266" s="1867"/>
      <c r="AD266" s="1867"/>
      <c r="AE266" s="1867"/>
      <c r="AF266" s="1867"/>
      <c r="AG266" s="1867"/>
      <c r="AH266" s="1867"/>
      <c r="AI266" s="1867"/>
      <c r="AJ266" s="1867"/>
      <c r="AK266" s="1867"/>
      <c r="AL266" s="1867"/>
      <c r="AM266" s="1867"/>
      <c r="AN266" s="1868"/>
      <c r="AO266" s="1867"/>
    </row>
    <row r="267" spans="1:41" ht="13.8" hidden="1" outlineLevel="1" thickBot="1">
      <c r="A267" s="1960">
        <f>ROW()</f>
        <v>267</v>
      </c>
      <c r="B267" s="2003"/>
      <c r="C267" s="1866"/>
      <c r="D267" s="2006" t="s">
        <v>1791</v>
      </c>
      <c r="E267" s="2029">
        <f t="shared" ref="E267" si="138">IF(OR(E265=0,E266=0),0,(E265/E266))</f>
        <v>1</v>
      </c>
      <c r="F267" s="2029">
        <f>IF(OR(F265=0,F266=0),0,((F265+0.66*E265)/(F266+0.66*E266)))</f>
        <v>1</v>
      </c>
      <c r="G267" s="2029">
        <f>IF(OR(G265=0,G266=0),0,((G265+0.66*F265+0.33*E265)/(G266+0.66*F266+0.33*E266)))</f>
        <v>1</v>
      </c>
      <c r="H267" s="2029">
        <f t="shared" ref="H267:N267" si="139">IF(OR(H265=0,H266=0),0,((H265+0.66*G265+0.33*F265)/(H266+0.66*G266+0.33*F266)))</f>
        <v>1</v>
      </c>
      <c r="I267" s="2029">
        <f t="shared" si="139"/>
        <v>1</v>
      </c>
      <c r="J267" s="2029">
        <f t="shared" si="139"/>
        <v>1</v>
      </c>
      <c r="K267" s="2029">
        <f t="shared" si="139"/>
        <v>0</v>
      </c>
      <c r="L267" s="2029">
        <f t="shared" si="139"/>
        <v>0</v>
      </c>
      <c r="M267" s="2029">
        <f t="shared" si="139"/>
        <v>0</v>
      </c>
      <c r="N267" s="2029">
        <f t="shared" si="139"/>
        <v>0</v>
      </c>
      <c r="O267" s="1909"/>
      <c r="P267" s="1913"/>
      <c r="Q267" s="1866"/>
      <c r="S267" s="2025"/>
      <c r="T267" s="2025"/>
      <c r="U267" s="2025"/>
      <c r="V267" s="2025"/>
      <c r="W267" s="2025"/>
      <c r="X267" s="2025"/>
      <c r="Y267" s="2025"/>
      <c r="Z267" s="2025"/>
      <c r="AA267" s="2025"/>
      <c r="AB267" s="2025"/>
      <c r="AC267" s="1867"/>
      <c r="AD267" s="1867"/>
      <c r="AE267" s="1867"/>
      <c r="AF267" s="1867"/>
      <c r="AG267" s="1867"/>
      <c r="AH267" s="1867"/>
      <c r="AI267" s="1867"/>
      <c r="AJ267" s="1867"/>
      <c r="AK267" s="1867"/>
      <c r="AL267" s="1867"/>
      <c r="AM267" s="1867"/>
      <c r="AN267" s="1868"/>
      <c r="AO267" s="1867"/>
    </row>
    <row r="268" spans="1:41" hidden="1" outlineLevel="1">
      <c r="A268" s="1960">
        <f>ROW()</f>
        <v>268</v>
      </c>
      <c r="B268" s="2003"/>
      <c r="C268" s="1866"/>
      <c r="D268" s="1948" t="s">
        <v>1764</v>
      </c>
      <c r="E268" s="1904" t="str">
        <f>IF(E267=0,0,IF(E267&gt;0.95,"MS",IF(E267&lt;=0.85,"FFBS","DNMS")))</f>
        <v>MS</v>
      </c>
      <c r="F268" s="1904" t="str">
        <f t="shared" ref="F268:N268" si="140">IF(F267=0,0,IF(F267&gt;0.95,"MS",IF(F267&lt;=0.85,"FFBS","DNMS")))</f>
        <v>MS</v>
      </c>
      <c r="G268" s="1904" t="str">
        <f t="shared" si="140"/>
        <v>MS</v>
      </c>
      <c r="H268" s="1904" t="str">
        <f t="shared" si="140"/>
        <v>MS</v>
      </c>
      <c r="I268" s="1904" t="str">
        <f t="shared" si="140"/>
        <v>MS</v>
      </c>
      <c r="J268" s="1904" t="str">
        <f t="shared" si="140"/>
        <v>MS</v>
      </c>
      <c r="K268" s="1904">
        <f t="shared" si="140"/>
        <v>0</v>
      </c>
      <c r="L268" s="1904">
        <f t="shared" si="140"/>
        <v>0</v>
      </c>
      <c r="M268" s="1904">
        <f t="shared" si="140"/>
        <v>0</v>
      </c>
      <c r="N268" s="1904">
        <f t="shared" si="140"/>
        <v>0</v>
      </c>
      <c r="O268" s="1909"/>
      <c r="P268" s="1913"/>
      <c r="Q268" s="1866"/>
      <c r="S268" s="2025"/>
      <c r="T268" s="2025"/>
      <c r="U268" s="2025"/>
      <c r="V268" s="2025"/>
      <c r="W268" s="2025"/>
      <c r="X268" s="2025"/>
      <c r="Y268" s="2025"/>
      <c r="Z268" s="2025"/>
      <c r="AA268" s="2025"/>
      <c r="AB268" s="2025"/>
      <c r="AC268" s="1867"/>
      <c r="AD268" s="1867"/>
      <c r="AE268" s="1867"/>
      <c r="AF268" s="1867"/>
      <c r="AG268" s="1867"/>
      <c r="AH268" s="1867"/>
      <c r="AI268" s="1867"/>
      <c r="AJ268" s="1867"/>
      <c r="AK268" s="1867"/>
      <c r="AL268" s="1867"/>
      <c r="AM268" s="1867"/>
      <c r="AN268" s="1868"/>
      <c r="AO268" s="1867"/>
    </row>
    <row r="269" spans="1:41" hidden="1" outlineLevel="1">
      <c r="A269" s="1960">
        <f>ROW()</f>
        <v>269</v>
      </c>
      <c r="B269" s="2014" t="s">
        <v>1532</v>
      </c>
      <c r="C269" s="1866"/>
      <c r="D269" s="2235" t="s">
        <v>1802</v>
      </c>
      <c r="E269" s="2234"/>
      <c r="F269" s="2234"/>
      <c r="G269" s="2234"/>
      <c r="H269" s="2234"/>
      <c r="I269" s="2234"/>
      <c r="J269" s="2234"/>
      <c r="K269" s="2234"/>
      <c r="L269" s="2234"/>
      <c r="M269" s="2234"/>
      <c r="N269" s="2234"/>
      <c r="O269" s="1909"/>
      <c r="P269" s="1913"/>
      <c r="Q269" s="1866"/>
      <c r="S269" s="2025"/>
      <c r="T269" s="2025"/>
      <c r="U269" s="2025"/>
      <c r="V269" s="2025"/>
      <c r="W269" s="2025"/>
      <c r="X269" s="2025"/>
      <c r="Y269" s="2025"/>
      <c r="Z269" s="2025"/>
      <c r="AA269" s="2025"/>
      <c r="AB269" s="2025"/>
      <c r="AC269" s="1867"/>
      <c r="AD269" s="1867"/>
      <c r="AE269" s="1867"/>
      <c r="AF269" s="1867"/>
      <c r="AG269" s="1867"/>
      <c r="AH269" s="1867"/>
      <c r="AI269" s="1867"/>
      <c r="AJ269" s="1867"/>
      <c r="AK269" s="1867"/>
      <c r="AL269" s="1867"/>
      <c r="AM269" s="1867"/>
      <c r="AN269" s="1868"/>
      <c r="AO269" s="1867"/>
    </row>
    <row r="270" spans="1:41" hidden="1" outlineLevel="1">
      <c r="A270" s="1960">
        <f>ROW()</f>
        <v>270</v>
      </c>
      <c r="B270" s="2005"/>
      <c r="C270" s="1866"/>
      <c r="D270" s="2234"/>
      <c r="E270" s="2234"/>
      <c r="F270" s="2234"/>
      <c r="G270" s="2234"/>
      <c r="H270" s="2234"/>
      <c r="I270" s="2234"/>
      <c r="J270" s="2234"/>
      <c r="K270" s="2234"/>
      <c r="L270" s="2234"/>
      <c r="M270" s="2234"/>
      <c r="N270" s="2234"/>
      <c r="O270" s="1909"/>
      <c r="P270" s="1913"/>
      <c r="Q270" s="1866"/>
      <c r="S270" s="2025"/>
      <c r="T270" s="2025"/>
      <c r="U270" s="2025"/>
      <c r="V270" s="2025"/>
      <c r="W270" s="2025"/>
      <c r="X270" s="2025"/>
      <c r="Y270" s="2025"/>
      <c r="Z270" s="2025"/>
      <c r="AA270" s="2025"/>
      <c r="AB270" s="2025"/>
      <c r="AC270" s="1867"/>
      <c r="AD270" s="1867"/>
      <c r="AE270" s="1867"/>
      <c r="AF270" s="1867"/>
      <c r="AG270" s="1867"/>
      <c r="AH270" s="1867"/>
      <c r="AI270" s="1867"/>
      <c r="AJ270" s="1867"/>
      <c r="AK270" s="1867"/>
      <c r="AL270" s="1867"/>
      <c r="AM270" s="1867"/>
      <c r="AN270" s="1868"/>
      <c r="AO270" s="1867"/>
    </row>
    <row r="271" spans="1:41" collapsed="1">
      <c r="A271" s="1960">
        <f>ROW()</f>
        <v>271</v>
      </c>
      <c r="B271" s="2005"/>
      <c r="C271" s="1866"/>
      <c r="D271" s="1866"/>
      <c r="E271" s="1904"/>
      <c r="F271" s="1904"/>
      <c r="G271" s="1904"/>
      <c r="H271" s="1904"/>
      <c r="I271" s="1904"/>
      <c r="J271" s="1904"/>
      <c r="K271" s="1904"/>
      <c r="L271" s="1904"/>
      <c r="M271" s="1904"/>
      <c r="N271" s="1904"/>
      <c r="O271" s="1909"/>
      <c r="P271" s="1913"/>
      <c r="Q271" s="1866"/>
      <c r="AC271" s="1867"/>
      <c r="AD271" s="1867"/>
      <c r="AE271" s="1867"/>
      <c r="AF271" s="1867"/>
      <c r="AG271" s="1867"/>
      <c r="AH271" s="1867"/>
      <c r="AI271" s="1867"/>
      <c r="AJ271" s="1867"/>
      <c r="AK271" s="1867"/>
      <c r="AL271" s="1867"/>
      <c r="AM271" s="1867"/>
      <c r="AN271" s="1868"/>
      <c r="AO271" s="1867"/>
    </row>
    <row r="272" spans="1:41">
      <c r="A272" s="1960">
        <f>ROW()</f>
        <v>272</v>
      </c>
      <c r="B272" s="2023"/>
      <c r="C272" s="1866"/>
      <c r="D272" s="1866" t="s">
        <v>1803</v>
      </c>
      <c r="E272" s="1938"/>
      <c r="F272" s="1938"/>
      <c r="G272" s="1938"/>
      <c r="H272" s="1938"/>
      <c r="I272" s="1938"/>
      <c r="J272" s="1938"/>
      <c r="K272" s="1938"/>
      <c r="L272" s="1938"/>
      <c r="M272" s="1938"/>
      <c r="N272" s="1938"/>
      <c r="O272" s="1909"/>
      <c r="P272" s="2039"/>
      <c r="Q272" s="1866"/>
      <c r="AC272" s="1867">
        <f t="shared" ca="1" si="121"/>
        <v>1</v>
      </c>
      <c r="AD272" s="1867">
        <f t="shared" ca="1" si="121"/>
        <v>1</v>
      </c>
      <c r="AE272" s="1867">
        <f t="shared" ca="1" si="121"/>
        <v>1</v>
      </c>
      <c r="AF272" s="1867">
        <f t="shared" ca="1" si="120"/>
        <v>1</v>
      </c>
      <c r="AG272" s="1867">
        <f t="shared" ca="1" si="120"/>
        <v>1</v>
      </c>
      <c r="AH272" s="1867">
        <f t="shared" ca="1" si="120"/>
        <v>1</v>
      </c>
      <c r="AI272" s="1867">
        <f t="shared" ca="1" si="120"/>
        <v>1</v>
      </c>
      <c r="AJ272" s="1867">
        <f t="shared" ca="1" si="120"/>
        <v>1</v>
      </c>
      <c r="AK272" s="1867">
        <f t="shared" ca="1" si="120"/>
        <v>1</v>
      </c>
      <c r="AL272" s="1867">
        <f t="shared" ca="1" si="120"/>
        <v>1</v>
      </c>
      <c r="AM272" s="1867">
        <f t="shared" ca="1" si="105"/>
        <v>1</v>
      </c>
      <c r="AN272" s="1868" t="s">
        <v>1585</v>
      </c>
      <c r="AO272" s="1867">
        <f t="shared" ca="1" si="106"/>
        <v>1</v>
      </c>
    </row>
    <row r="273" spans="1:41">
      <c r="A273" s="1960">
        <f>ROW()</f>
        <v>273</v>
      </c>
      <c r="B273" s="1998" t="s">
        <v>1804</v>
      </c>
      <c r="C273" s="1999"/>
      <c r="D273" s="2000" t="s">
        <v>1805</v>
      </c>
      <c r="E273" s="2015"/>
      <c r="F273" s="2015"/>
      <c r="G273" s="2015"/>
      <c r="H273" s="2015"/>
      <c r="I273" s="2015"/>
      <c r="J273" s="2015"/>
      <c r="K273" s="2015"/>
      <c r="L273" s="2015"/>
      <c r="M273" s="2015"/>
      <c r="N273" s="2015"/>
      <c r="O273" s="1909"/>
      <c r="P273" s="2039"/>
      <c r="Q273" s="1866"/>
      <c r="AC273" s="1867">
        <f t="shared" ca="1" si="121"/>
        <v>1</v>
      </c>
      <c r="AD273" s="1867">
        <f t="shared" ca="1" si="121"/>
        <v>1</v>
      </c>
      <c r="AE273" s="1867">
        <f t="shared" ca="1" si="121"/>
        <v>1</v>
      </c>
      <c r="AF273" s="1867">
        <f t="shared" ca="1" si="120"/>
        <v>1</v>
      </c>
      <c r="AG273" s="1867">
        <f t="shared" ca="1" si="120"/>
        <v>1</v>
      </c>
      <c r="AH273" s="1867">
        <f t="shared" ca="1" si="120"/>
        <v>1</v>
      </c>
      <c r="AI273" s="1867">
        <f t="shared" ca="1" si="120"/>
        <v>1</v>
      </c>
      <c r="AJ273" s="1867">
        <f t="shared" ca="1" si="120"/>
        <v>1</v>
      </c>
      <c r="AK273" s="1867">
        <f t="shared" ca="1" si="120"/>
        <v>1</v>
      </c>
      <c r="AL273" s="1867">
        <f t="shared" ca="1" si="120"/>
        <v>1</v>
      </c>
      <c r="AM273" s="1867">
        <f t="shared" ca="1" si="105"/>
        <v>1</v>
      </c>
      <c r="AN273" s="1868" t="s">
        <v>1585</v>
      </c>
      <c r="AO273" s="1867">
        <f t="shared" ca="1" si="106"/>
        <v>1</v>
      </c>
    </row>
    <row r="274" spans="1:41">
      <c r="A274" s="1960">
        <f>ROW()</f>
        <v>274</v>
      </c>
      <c r="B274" s="2003">
        <f>ROW(B99)</f>
        <v>99</v>
      </c>
      <c r="C274" s="2023"/>
      <c r="D274" s="1948" t="s">
        <v>1806</v>
      </c>
      <c r="E274" s="2040" t="s">
        <v>1807</v>
      </c>
      <c r="F274" s="2040" t="s">
        <v>1807</v>
      </c>
      <c r="G274" s="2040" t="s">
        <v>1807</v>
      </c>
      <c r="H274" s="2040" t="s">
        <v>1807</v>
      </c>
      <c r="I274" s="2040" t="s">
        <v>1807</v>
      </c>
      <c r="J274" s="2040" t="s">
        <v>1807</v>
      </c>
      <c r="K274" s="2040" t="s">
        <v>1807</v>
      </c>
      <c r="L274" s="2040" t="s">
        <v>1807</v>
      </c>
      <c r="M274" s="2040" t="s">
        <v>1807</v>
      </c>
      <c r="N274" s="2040" t="s">
        <v>1807</v>
      </c>
      <c r="O274" s="1850"/>
      <c r="P274" s="1913"/>
      <c r="Q274" s="1866"/>
      <c r="AC274" s="1867">
        <f t="shared" ca="1" si="121"/>
        <v>1</v>
      </c>
      <c r="AD274" s="1867">
        <f t="shared" ca="1" si="121"/>
        <v>1</v>
      </c>
      <c r="AE274" s="1867">
        <f t="shared" ca="1" si="121"/>
        <v>1</v>
      </c>
      <c r="AF274" s="1867">
        <f t="shared" ca="1" si="120"/>
        <v>1</v>
      </c>
      <c r="AG274" s="1867">
        <f t="shared" ca="1" si="120"/>
        <v>1</v>
      </c>
      <c r="AH274" s="1867">
        <f t="shared" ca="1" si="120"/>
        <v>1</v>
      </c>
      <c r="AI274" s="1867">
        <f t="shared" ca="1" si="120"/>
        <v>1</v>
      </c>
      <c r="AJ274" s="1867">
        <f t="shared" ca="1" si="120"/>
        <v>1</v>
      </c>
      <c r="AK274" s="1867">
        <f t="shared" ca="1" si="120"/>
        <v>1</v>
      </c>
      <c r="AL274" s="1867">
        <f t="shared" ca="1" si="120"/>
        <v>1</v>
      </c>
      <c r="AM274" s="1867">
        <f t="shared" ca="1" si="105"/>
        <v>1</v>
      </c>
      <c r="AN274" s="1868" t="s">
        <v>1585</v>
      </c>
      <c r="AO274" s="1867">
        <f t="shared" ca="1" si="106"/>
        <v>1</v>
      </c>
    </row>
    <row r="275" spans="1:41">
      <c r="A275" s="1960">
        <f>ROW()</f>
        <v>275</v>
      </c>
      <c r="B275" s="2003">
        <f>ROW(B100)</f>
        <v>100</v>
      </c>
      <c r="C275" s="1866"/>
      <c r="D275" s="1948" t="s">
        <v>1659</v>
      </c>
      <c r="E275" s="2040" t="s">
        <v>1807</v>
      </c>
      <c r="F275" s="2040" t="s">
        <v>1807</v>
      </c>
      <c r="G275" s="2040" t="s">
        <v>1807</v>
      </c>
      <c r="H275" s="2040" t="s">
        <v>1807</v>
      </c>
      <c r="I275" s="2040" t="s">
        <v>1807</v>
      </c>
      <c r="J275" s="2040" t="s">
        <v>1807</v>
      </c>
      <c r="K275" s="2040" t="s">
        <v>1807</v>
      </c>
      <c r="L275" s="2040" t="s">
        <v>1807</v>
      </c>
      <c r="M275" s="2040" t="s">
        <v>1807</v>
      </c>
      <c r="N275" s="2040" t="s">
        <v>1807</v>
      </c>
      <c r="O275" s="1850"/>
      <c r="P275" s="1913"/>
      <c r="Q275" s="1866"/>
      <c r="AC275" s="1867">
        <f t="shared" ca="1" si="121"/>
        <v>1</v>
      </c>
      <c r="AD275" s="1867">
        <f t="shared" ca="1" si="121"/>
        <v>1</v>
      </c>
      <c r="AE275" s="1867">
        <f t="shared" ca="1" si="121"/>
        <v>1</v>
      </c>
      <c r="AF275" s="1867">
        <f t="shared" ca="1" si="120"/>
        <v>1</v>
      </c>
      <c r="AG275" s="1867">
        <f t="shared" ca="1" si="120"/>
        <v>1</v>
      </c>
      <c r="AH275" s="1867">
        <f t="shared" ca="1" si="120"/>
        <v>1</v>
      </c>
      <c r="AI275" s="1867">
        <f t="shared" ca="1" si="120"/>
        <v>1</v>
      </c>
      <c r="AJ275" s="1867">
        <f t="shared" ca="1" si="120"/>
        <v>1</v>
      </c>
      <c r="AK275" s="1867">
        <f t="shared" ca="1" si="120"/>
        <v>1</v>
      </c>
      <c r="AL275" s="1867">
        <f t="shared" ca="1" si="120"/>
        <v>1</v>
      </c>
      <c r="AM275" s="1867">
        <f t="shared" ca="1" si="105"/>
        <v>1</v>
      </c>
      <c r="AN275" s="1868" t="s">
        <v>1585</v>
      </c>
      <c r="AO275" s="1867">
        <f t="shared" ca="1" si="106"/>
        <v>1</v>
      </c>
    </row>
    <row r="276" spans="1:41" ht="13.8">
      <c r="A276" s="1960">
        <f>ROW()</f>
        <v>276</v>
      </c>
      <c r="B276" s="2003">
        <f>ROW(B109)</f>
        <v>109</v>
      </c>
      <c r="C276" s="1866"/>
      <c r="D276" s="1933" t="s">
        <v>1674</v>
      </c>
      <c r="E276" s="2236"/>
      <c r="F276" s="2236"/>
      <c r="G276" s="2236"/>
      <c r="H276" s="2236"/>
      <c r="I276" s="2236"/>
      <c r="J276" s="2236"/>
      <c r="K276" s="2236"/>
      <c r="L276" s="2236"/>
      <c r="M276" s="2236"/>
      <c r="N276" s="2236"/>
      <c r="O276" s="1909"/>
      <c r="P276" s="1913"/>
      <c r="Q276" s="1866"/>
      <c r="AC276" s="1867">
        <f t="shared" ca="1" si="121"/>
        <v>1</v>
      </c>
      <c r="AD276" s="1867">
        <f t="shared" ca="1" si="121"/>
        <v>1</v>
      </c>
      <c r="AE276" s="1867">
        <f t="shared" ca="1" si="121"/>
        <v>1</v>
      </c>
      <c r="AF276" s="1867">
        <f t="shared" ca="1" si="120"/>
        <v>1</v>
      </c>
      <c r="AG276" s="1867">
        <f t="shared" ca="1" si="120"/>
        <v>0</v>
      </c>
      <c r="AH276" s="1867">
        <f t="shared" ca="1" si="120"/>
        <v>0</v>
      </c>
      <c r="AI276" s="1867">
        <f t="shared" ca="1" si="120"/>
        <v>0</v>
      </c>
      <c r="AJ276" s="1867">
        <f t="shared" ca="1" si="120"/>
        <v>0</v>
      </c>
      <c r="AK276" s="1867">
        <f t="shared" ca="1" si="120"/>
        <v>0</v>
      </c>
      <c r="AL276" s="1867">
        <f t="shared" ca="1" si="120"/>
        <v>0</v>
      </c>
      <c r="AM276" s="1867">
        <f t="shared" ca="1" si="105"/>
        <v>1</v>
      </c>
      <c r="AN276" s="1868" t="s">
        <v>1585</v>
      </c>
      <c r="AO276" s="1867">
        <f t="shared" ca="1" si="106"/>
        <v>1</v>
      </c>
    </row>
    <row r="277" spans="1:41">
      <c r="A277" s="1960">
        <f>ROW()</f>
        <v>277</v>
      </c>
      <c r="B277" s="2014" t="s">
        <v>1532</v>
      </c>
      <c r="C277" s="1866"/>
      <c r="D277" s="2234"/>
      <c r="E277" s="2234"/>
      <c r="F277" s="2234"/>
      <c r="G277" s="2234"/>
      <c r="H277" s="2234"/>
      <c r="I277" s="2234"/>
      <c r="J277" s="2234"/>
      <c r="K277" s="2234"/>
      <c r="L277" s="2234"/>
      <c r="M277" s="2234"/>
      <c r="N277" s="2234"/>
      <c r="O277" s="1909"/>
      <c r="P277" s="1913"/>
      <c r="Q277" s="1866"/>
      <c r="AC277" s="1867">
        <f t="shared" ca="1" si="121"/>
        <v>1</v>
      </c>
      <c r="AD277" s="1867">
        <f t="shared" ca="1" si="121"/>
        <v>1</v>
      </c>
      <c r="AE277" s="1867">
        <f t="shared" ca="1" si="121"/>
        <v>1</v>
      </c>
      <c r="AF277" s="1867">
        <f t="shared" ca="1" si="120"/>
        <v>0</v>
      </c>
      <c r="AG277" s="1867">
        <f t="shared" ca="1" si="120"/>
        <v>0</v>
      </c>
      <c r="AH277" s="1867">
        <f t="shared" ca="1" si="120"/>
        <v>0</v>
      </c>
      <c r="AI277" s="1867">
        <f t="shared" ca="1" si="120"/>
        <v>0</v>
      </c>
      <c r="AJ277" s="1867">
        <f t="shared" ca="1" si="120"/>
        <v>0</v>
      </c>
      <c r="AK277" s="1867">
        <f t="shared" ca="1" si="120"/>
        <v>0</v>
      </c>
      <c r="AL277" s="1867">
        <f t="shared" ca="1" si="120"/>
        <v>0</v>
      </c>
      <c r="AM277" s="1867">
        <f t="shared" ca="1" si="105"/>
        <v>1</v>
      </c>
      <c r="AN277" s="1868" t="s">
        <v>1585</v>
      </c>
      <c r="AO277" s="1867">
        <f t="shared" ca="1" si="106"/>
        <v>1</v>
      </c>
    </row>
    <row r="278" spans="1:41">
      <c r="A278" s="1960">
        <f>ROW()</f>
        <v>278</v>
      </c>
      <c r="B278" s="2005"/>
      <c r="C278" s="1866"/>
      <c r="D278" s="2234"/>
      <c r="E278" s="2234"/>
      <c r="F278" s="2234"/>
      <c r="G278" s="2234"/>
      <c r="H278" s="2234"/>
      <c r="I278" s="2234"/>
      <c r="J278" s="2234"/>
      <c r="K278" s="2234"/>
      <c r="L278" s="2234"/>
      <c r="M278" s="2234"/>
      <c r="N278" s="2234"/>
      <c r="O278" s="1909"/>
      <c r="P278" s="1913"/>
      <c r="Q278" s="1866"/>
      <c r="AC278" s="1867">
        <f t="shared" ca="1" si="121"/>
        <v>1</v>
      </c>
      <c r="AD278" s="1867">
        <f t="shared" ca="1" si="121"/>
        <v>1</v>
      </c>
      <c r="AE278" s="1867">
        <f t="shared" ca="1" si="121"/>
        <v>1</v>
      </c>
      <c r="AF278" s="1867">
        <f t="shared" ca="1" si="120"/>
        <v>0</v>
      </c>
      <c r="AG278" s="1867">
        <f t="shared" ca="1" si="120"/>
        <v>0</v>
      </c>
      <c r="AH278" s="1867">
        <f t="shared" ca="1" si="120"/>
        <v>0</v>
      </c>
      <c r="AI278" s="1867">
        <f t="shared" ca="1" si="120"/>
        <v>0</v>
      </c>
      <c r="AJ278" s="1867">
        <f t="shared" ca="1" si="120"/>
        <v>0</v>
      </c>
      <c r="AK278" s="1867">
        <f t="shared" ca="1" si="120"/>
        <v>0</v>
      </c>
      <c r="AL278" s="1867">
        <f t="shared" ca="1" si="120"/>
        <v>0</v>
      </c>
      <c r="AM278" s="1867">
        <f t="shared" ca="1" si="105"/>
        <v>1</v>
      </c>
      <c r="AN278" s="1868" t="s">
        <v>1585</v>
      </c>
      <c r="AO278" s="1867">
        <f t="shared" ca="1" si="106"/>
        <v>1</v>
      </c>
    </row>
    <row r="279" spans="1:41">
      <c r="A279" s="1960">
        <f>ROW()</f>
        <v>279</v>
      </c>
      <c r="B279" s="2005"/>
      <c r="C279" s="1866"/>
      <c r="D279" s="1866"/>
      <c r="E279" s="1904"/>
      <c r="F279" s="1904"/>
      <c r="G279" s="1904"/>
      <c r="H279" s="1904"/>
      <c r="I279" s="1904"/>
      <c r="J279" s="1904"/>
      <c r="K279" s="1904"/>
      <c r="L279" s="1904"/>
      <c r="M279" s="1904"/>
      <c r="N279" s="1904"/>
      <c r="O279" s="1909"/>
      <c r="P279" s="1913"/>
      <c r="Q279" s="1866"/>
      <c r="AC279" s="1867">
        <f t="shared" ca="1" si="121"/>
        <v>1</v>
      </c>
      <c r="AD279" s="1867">
        <f t="shared" ca="1" si="121"/>
        <v>1</v>
      </c>
      <c r="AE279" s="1867">
        <f t="shared" ca="1" si="121"/>
        <v>1</v>
      </c>
      <c r="AF279" s="1867">
        <f t="shared" ca="1" si="120"/>
        <v>1</v>
      </c>
      <c r="AG279" s="1867">
        <f t="shared" ca="1" si="120"/>
        <v>1</v>
      </c>
      <c r="AH279" s="1867">
        <f t="shared" ca="1" si="120"/>
        <v>1</v>
      </c>
      <c r="AI279" s="1867">
        <f t="shared" ca="1" si="120"/>
        <v>1</v>
      </c>
      <c r="AJ279" s="1867">
        <f t="shared" ca="1" si="120"/>
        <v>1</v>
      </c>
      <c r="AK279" s="1867">
        <f t="shared" ca="1" si="120"/>
        <v>1</v>
      </c>
      <c r="AL279" s="1867">
        <f t="shared" ca="1" si="120"/>
        <v>1</v>
      </c>
      <c r="AM279" s="1867">
        <f t="shared" ca="1" si="105"/>
        <v>1</v>
      </c>
      <c r="AN279" s="1868" t="s">
        <v>1585</v>
      </c>
      <c r="AO279" s="1867">
        <f t="shared" ca="1" si="106"/>
        <v>1</v>
      </c>
    </row>
    <row r="280" spans="1:41">
      <c r="A280" s="1960">
        <f>ROW()</f>
        <v>280</v>
      </c>
      <c r="B280" s="2005"/>
      <c r="C280" s="1866"/>
      <c r="D280" s="1866" t="s">
        <v>1808</v>
      </c>
      <c r="E280" s="1938"/>
      <c r="F280" s="1938"/>
      <c r="G280" s="1938"/>
      <c r="H280" s="1938"/>
      <c r="I280" s="1938"/>
      <c r="J280" s="1938"/>
      <c r="K280" s="1938"/>
      <c r="L280" s="1938"/>
      <c r="M280" s="1938"/>
      <c r="N280" s="1938"/>
      <c r="O280" s="1909"/>
      <c r="P280" s="1913"/>
      <c r="Q280" s="1866"/>
      <c r="AC280" s="1867">
        <f t="shared" ca="1" si="121"/>
        <v>1</v>
      </c>
      <c r="AD280" s="1867">
        <f t="shared" ca="1" si="121"/>
        <v>1</v>
      </c>
      <c r="AE280" s="1867">
        <f t="shared" ca="1" si="121"/>
        <v>1</v>
      </c>
      <c r="AF280" s="1867">
        <f t="shared" ca="1" si="120"/>
        <v>1</v>
      </c>
      <c r="AG280" s="1867">
        <f t="shared" ca="1" si="120"/>
        <v>1</v>
      </c>
      <c r="AH280" s="1867">
        <f t="shared" ca="1" si="120"/>
        <v>1</v>
      </c>
      <c r="AI280" s="1867">
        <f t="shared" ca="1" si="120"/>
        <v>1</v>
      </c>
      <c r="AJ280" s="1867">
        <f t="shared" ca="1" si="120"/>
        <v>1</v>
      </c>
      <c r="AK280" s="1867">
        <f t="shared" ca="1" si="120"/>
        <v>1</v>
      </c>
      <c r="AL280" s="1867">
        <f t="shared" ca="1" si="120"/>
        <v>1</v>
      </c>
      <c r="AM280" s="1867">
        <f t="shared" ca="1" si="105"/>
        <v>1</v>
      </c>
      <c r="AN280" s="1868" t="s">
        <v>1585</v>
      </c>
      <c r="AO280" s="1867">
        <f t="shared" ca="1" si="106"/>
        <v>1</v>
      </c>
    </row>
    <row r="281" spans="1:41">
      <c r="A281" s="1960">
        <f>ROW()</f>
        <v>281</v>
      </c>
      <c r="B281" s="1998" t="s">
        <v>1809</v>
      </c>
      <c r="C281" s="1999"/>
      <c r="D281" s="2000" t="s">
        <v>1810</v>
      </c>
      <c r="E281" s="2015"/>
      <c r="F281" s="2015"/>
      <c r="G281" s="2015"/>
      <c r="H281" s="2015"/>
      <c r="I281" s="2015"/>
      <c r="J281" s="2015"/>
      <c r="K281" s="2015"/>
      <c r="L281" s="2015"/>
      <c r="M281" s="2015"/>
      <c r="N281" s="2015"/>
      <c r="O281" s="1909"/>
      <c r="P281" s="1913"/>
      <c r="Q281" s="1866"/>
      <c r="AC281" s="1867">
        <f t="shared" ca="1" si="121"/>
        <v>1</v>
      </c>
      <c r="AD281" s="1867">
        <f t="shared" ca="1" si="121"/>
        <v>1</v>
      </c>
      <c r="AE281" s="1867">
        <f t="shared" ca="1" si="121"/>
        <v>1</v>
      </c>
      <c r="AF281" s="1867">
        <f t="shared" ca="1" si="120"/>
        <v>1</v>
      </c>
      <c r="AG281" s="1867">
        <f t="shared" ca="1" si="120"/>
        <v>1</v>
      </c>
      <c r="AH281" s="1867">
        <f t="shared" ca="1" si="120"/>
        <v>1</v>
      </c>
      <c r="AI281" s="1867">
        <f t="shared" ca="1" si="120"/>
        <v>1</v>
      </c>
      <c r="AJ281" s="1867">
        <f t="shared" ca="1" si="120"/>
        <v>1</v>
      </c>
      <c r="AK281" s="1867">
        <f t="shared" ca="1" si="120"/>
        <v>1</v>
      </c>
      <c r="AL281" s="1867">
        <f t="shared" ca="1" si="120"/>
        <v>1</v>
      </c>
      <c r="AM281" s="1867">
        <f t="shared" ca="1" si="105"/>
        <v>1</v>
      </c>
      <c r="AN281" s="1868" t="s">
        <v>1585</v>
      </c>
      <c r="AO281" s="1867">
        <f t="shared" ca="1" si="106"/>
        <v>1</v>
      </c>
    </row>
    <row r="282" spans="1:41">
      <c r="A282" s="1960">
        <f>ROW()</f>
        <v>282</v>
      </c>
      <c r="B282" s="2003">
        <f>ROW(B85)</f>
        <v>85</v>
      </c>
      <c r="C282" s="1866"/>
      <c r="D282" s="1866" t="s">
        <v>1811</v>
      </c>
      <c r="E282" s="1936">
        <f t="shared" ref="E282:N282" si="141">E92</f>
        <v>458092.15679680742</v>
      </c>
      <c r="F282" s="1936">
        <f t="shared" si="141"/>
        <v>1085361.0261551179</v>
      </c>
      <c r="G282" s="1936">
        <f t="shared" si="141"/>
        <v>1113132.7448145812</v>
      </c>
      <c r="H282" s="1936">
        <f t="shared" si="141"/>
        <v>1678609.0612020288</v>
      </c>
      <c r="I282" s="1936">
        <f t="shared" si="141"/>
        <v>1970866.2707197256</v>
      </c>
      <c r="J282" s="1936">
        <f t="shared" si="141"/>
        <v>1865545.3185489587</v>
      </c>
      <c r="K282" s="1936">
        <f t="shared" si="141"/>
        <v>0</v>
      </c>
      <c r="L282" s="1936">
        <f t="shared" si="141"/>
        <v>0</v>
      </c>
      <c r="M282" s="1936">
        <f t="shared" si="141"/>
        <v>0</v>
      </c>
      <c r="N282" s="1936">
        <f t="shared" si="141"/>
        <v>0</v>
      </c>
      <c r="O282" s="1927"/>
      <c r="P282" s="1913"/>
      <c r="Q282" s="1866" t="s">
        <v>1756</v>
      </c>
      <c r="AC282" s="1867">
        <f t="shared" ca="1" si="121"/>
        <v>1</v>
      </c>
      <c r="AD282" s="1867">
        <f t="shared" ca="1" si="121"/>
        <v>1</v>
      </c>
      <c r="AE282" s="1867">
        <f t="shared" ca="1" si="121"/>
        <v>1</v>
      </c>
      <c r="AF282" s="1867">
        <f t="shared" ca="1" si="120"/>
        <v>1</v>
      </c>
      <c r="AG282" s="1867">
        <f t="shared" ca="1" si="120"/>
        <v>1</v>
      </c>
      <c r="AH282" s="1867">
        <f t="shared" ca="1" si="120"/>
        <v>1</v>
      </c>
      <c r="AI282" s="1867">
        <f t="shared" ca="1" si="120"/>
        <v>1</v>
      </c>
      <c r="AJ282" s="1867">
        <f t="shared" ca="1" si="120"/>
        <v>1</v>
      </c>
      <c r="AK282" s="1867">
        <f t="shared" ca="1" si="120"/>
        <v>1</v>
      </c>
      <c r="AL282" s="1867">
        <f t="shared" ca="1" si="120"/>
        <v>1</v>
      </c>
      <c r="AM282" s="1867">
        <f t="shared" ca="1" si="105"/>
        <v>1</v>
      </c>
      <c r="AN282" s="1868" t="s">
        <v>1585</v>
      </c>
      <c r="AO282" s="1867">
        <f t="shared" ca="1" si="106"/>
        <v>1</v>
      </c>
    </row>
    <row r="283" spans="1:41">
      <c r="A283" s="1960">
        <f>ROW()</f>
        <v>283</v>
      </c>
      <c r="B283" s="2003">
        <f>ROW(B57)</f>
        <v>57</v>
      </c>
      <c r="C283" s="1866"/>
      <c r="D283" s="1866" t="s">
        <v>1812</v>
      </c>
      <c r="E283" s="1904">
        <f t="shared" ref="E283:N283" si="142">E57</f>
        <v>5302962.4000000004</v>
      </c>
      <c r="F283" s="1904">
        <f t="shared" si="142"/>
        <v>7262721.6273583109</v>
      </c>
      <c r="G283" s="1904">
        <f t="shared" si="142"/>
        <v>8395996.880829975</v>
      </c>
      <c r="H283" s="1904">
        <f t="shared" si="142"/>
        <v>9629272.1343016364</v>
      </c>
      <c r="I283" s="1904">
        <f t="shared" si="142"/>
        <v>10115288.367773298</v>
      </c>
      <c r="J283" s="1904">
        <f t="shared" si="142"/>
        <v>10423607.181141214</v>
      </c>
      <c r="K283" s="1904">
        <f t="shared" si="142"/>
        <v>0</v>
      </c>
      <c r="L283" s="1904">
        <f t="shared" si="142"/>
        <v>0</v>
      </c>
      <c r="M283" s="1904">
        <f t="shared" si="142"/>
        <v>0</v>
      </c>
      <c r="N283" s="1904">
        <f t="shared" si="142"/>
        <v>0</v>
      </c>
      <c r="O283" s="2004"/>
      <c r="P283" s="1913"/>
      <c r="Q283" s="1866"/>
      <c r="R283" s="1849" t="s">
        <v>1813</v>
      </c>
      <c r="AC283" s="1867">
        <f t="shared" ca="1" si="121"/>
        <v>1</v>
      </c>
      <c r="AD283" s="1867">
        <f t="shared" ca="1" si="121"/>
        <v>1</v>
      </c>
      <c r="AE283" s="1867">
        <f t="shared" ca="1" si="121"/>
        <v>1</v>
      </c>
      <c r="AF283" s="1867">
        <f t="shared" ca="1" si="120"/>
        <v>1</v>
      </c>
      <c r="AG283" s="1867">
        <f t="shared" ca="1" si="120"/>
        <v>1</v>
      </c>
      <c r="AH283" s="1867">
        <f t="shared" ca="1" si="120"/>
        <v>1</v>
      </c>
      <c r="AI283" s="1867">
        <f t="shared" ca="1" si="120"/>
        <v>1</v>
      </c>
      <c r="AJ283" s="1867">
        <f t="shared" ca="1" si="120"/>
        <v>1</v>
      </c>
      <c r="AK283" s="1867">
        <f t="shared" ca="1" si="120"/>
        <v>1</v>
      </c>
      <c r="AL283" s="1867">
        <f t="shared" ca="1" si="120"/>
        <v>1</v>
      </c>
      <c r="AM283" s="1867">
        <f t="shared" ca="1" si="105"/>
        <v>1</v>
      </c>
      <c r="AN283" s="1868" t="s">
        <v>1585</v>
      </c>
      <c r="AO283" s="1867">
        <f t="shared" ca="1" si="106"/>
        <v>1</v>
      </c>
    </row>
    <row r="284" spans="1:41" ht="14.4" thickBot="1">
      <c r="A284" s="1960">
        <f>ROW()</f>
        <v>284</v>
      </c>
      <c r="B284" s="2041"/>
      <c r="C284" s="1866"/>
      <c r="D284" s="2006" t="s">
        <v>1814</v>
      </c>
      <c r="E284" s="2042">
        <f>IF(E283=0,0,E282/E283)</f>
        <v>8.6384198537181295E-2</v>
      </c>
      <c r="F284" s="2042">
        <f t="shared" ref="F284:N284" si="143">IF(F283=0,0,F282/F283)</f>
        <v>0.14944274086819148</v>
      </c>
      <c r="G284" s="2042">
        <f t="shared" si="143"/>
        <v>0.13257898503465665</v>
      </c>
      <c r="H284" s="2042">
        <f t="shared" si="143"/>
        <v>0.17432356649496333</v>
      </c>
      <c r="I284" s="2042">
        <f t="shared" si="143"/>
        <v>0.19484034454210789</v>
      </c>
      <c r="J284" s="2042">
        <f t="shared" si="143"/>
        <v>0.17897310270135411</v>
      </c>
      <c r="K284" s="2042">
        <f t="shared" si="143"/>
        <v>0</v>
      </c>
      <c r="L284" s="2042">
        <f t="shared" si="143"/>
        <v>0</v>
      </c>
      <c r="M284" s="2042">
        <f t="shared" si="143"/>
        <v>0</v>
      </c>
      <c r="N284" s="2042">
        <f t="shared" si="143"/>
        <v>0</v>
      </c>
      <c r="O284" s="2043"/>
      <c r="P284" s="1913"/>
      <c r="Q284" s="1866"/>
      <c r="R284" s="2044" t="s">
        <v>1815</v>
      </c>
      <c r="AC284" s="1867">
        <f t="shared" ca="1" si="121"/>
        <v>1</v>
      </c>
      <c r="AD284" s="1867">
        <f t="shared" ca="1" si="121"/>
        <v>1</v>
      </c>
      <c r="AE284" s="1867">
        <f t="shared" ca="1" si="121"/>
        <v>1</v>
      </c>
      <c r="AF284" s="1867">
        <f t="shared" ca="1" si="120"/>
        <v>1</v>
      </c>
      <c r="AG284" s="1867">
        <f t="shared" ca="1" si="120"/>
        <v>1</v>
      </c>
      <c r="AH284" s="1867">
        <f t="shared" ca="1" si="120"/>
        <v>1</v>
      </c>
      <c r="AI284" s="1867">
        <f t="shared" ca="1" si="120"/>
        <v>1</v>
      </c>
      <c r="AJ284" s="1867">
        <f t="shared" ca="1" si="120"/>
        <v>1</v>
      </c>
      <c r="AK284" s="1867">
        <f t="shared" ca="1" si="120"/>
        <v>1</v>
      </c>
      <c r="AL284" s="1867">
        <f t="shared" ca="1" si="120"/>
        <v>1</v>
      </c>
      <c r="AM284" s="1867">
        <f t="shared" ca="1" si="105"/>
        <v>1</v>
      </c>
      <c r="AN284" s="1868" t="s">
        <v>1585</v>
      </c>
      <c r="AO284" s="1867">
        <f t="shared" ca="1" si="106"/>
        <v>1</v>
      </c>
    </row>
    <row r="285" spans="1:41" ht="14.4" thickTop="1">
      <c r="A285" s="1960">
        <f>ROW()</f>
        <v>285</v>
      </c>
      <c r="B285" s="2041"/>
      <c r="C285" s="1866"/>
      <c r="D285" s="1866"/>
      <c r="E285" s="1938"/>
      <c r="F285" s="1938"/>
      <c r="G285" s="1938"/>
      <c r="H285" s="1938"/>
      <c r="I285" s="1938"/>
      <c r="J285" s="1938"/>
      <c r="K285" s="1938"/>
      <c r="L285" s="1938"/>
      <c r="M285" s="1938"/>
      <c r="N285" s="1938"/>
      <c r="O285" s="1909"/>
      <c r="P285" s="1913"/>
      <c r="Q285" s="1866"/>
      <c r="R285" s="1844" t="s">
        <v>1816</v>
      </c>
      <c r="AC285" s="1867">
        <f t="shared" ca="1" si="121"/>
        <v>1</v>
      </c>
      <c r="AD285" s="1867">
        <f t="shared" ca="1" si="121"/>
        <v>1</v>
      </c>
      <c r="AE285" s="1867">
        <f t="shared" ca="1" si="121"/>
        <v>1</v>
      </c>
      <c r="AF285" s="1867">
        <f t="shared" ca="1" si="120"/>
        <v>1</v>
      </c>
      <c r="AG285" s="1867">
        <f t="shared" ca="1" si="120"/>
        <v>1</v>
      </c>
      <c r="AH285" s="1867">
        <f t="shared" ca="1" si="120"/>
        <v>1</v>
      </c>
      <c r="AI285" s="1867">
        <f t="shared" ca="1" si="120"/>
        <v>1</v>
      </c>
      <c r="AJ285" s="1867">
        <f t="shared" ca="1" si="120"/>
        <v>1</v>
      </c>
      <c r="AK285" s="1867">
        <f t="shared" ca="1" si="120"/>
        <v>1</v>
      </c>
      <c r="AL285" s="1867">
        <f t="shared" ca="1" si="120"/>
        <v>1</v>
      </c>
      <c r="AM285" s="1867">
        <f t="shared" ca="1" si="105"/>
        <v>1</v>
      </c>
      <c r="AN285" s="1868" t="s">
        <v>1585</v>
      </c>
      <c r="AO285" s="1867">
        <f t="shared" ca="1" si="106"/>
        <v>1</v>
      </c>
    </row>
    <row r="286" spans="1:41" ht="13.8">
      <c r="A286" s="1960">
        <f>ROW()</f>
        <v>286</v>
      </c>
      <c r="B286" s="2041"/>
      <c r="C286" s="1866"/>
      <c r="D286" s="1866"/>
      <c r="E286" s="1878"/>
      <c r="F286" s="1924"/>
      <c r="G286" s="2045" t="s">
        <v>1817</v>
      </c>
      <c r="H286" s="2045" t="s">
        <v>1817</v>
      </c>
      <c r="I286" s="2045" t="s">
        <v>1817</v>
      </c>
      <c r="J286" s="2045" t="s">
        <v>1817</v>
      </c>
      <c r="K286" s="2045" t="s">
        <v>1817</v>
      </c>
      <c r="L286" s="2045" t="s">
        <v>1817</v>
      </c>
      <c r="M286" s="2045" t="s">
        <v>1817</v>
      </c>
      <c r="N286" s="2045" t="s">
        <v>1817</v>
      </c>
      <c r="O286" s="2046"/>
      <c r="P286" s="1913"/>
      <c r="Q286" s="1866"/>
      <c r="R286" s="1849" t="s">
        <v>1818</v>
      </c>
      <c r="AC286" s="1867">
        <f t="shared" ca="1" si="121"/>
        <v>1</v>
      </c>
      <c r="AD286" s="1867">
        <f t="shared" ca="1" si="121"/>
        <v>1</v>
      </c>
      <c r="AE286" s="1867">
        <f t="shared" ca="1" si="121"/>
        <v>1</v>
      </c>
      <c r="AF286" s="1867">
        <f t="shared" ca="1" si="120"/>
        <v>1</v>
      </c>
      <c r="AG286" s="1867">
        <f t="shared" ca="1" si="120"/>
        <v>1</v>
      </c>
      <c r="AH286" s="1867">
        <f t="shared" ca="1" si="120"/>
        <v>1</v>
      </c>
      <c r="AI286" s="1867">
        <f t="shared" ca="1" si="120"/>
        <v>1</v>
      </c>
      <c r="AJ286" s="1867">
        <f t="shared" ca="1" si="120"/>
        <v>1</v>
      </c>
      <c r="AK286" s="1867">
        <f t="shared" ca="1" si="120"/>
        <v>1</v>
      </c>
      <c r="AL286" s="1867">
        <f t="shared" ca="1" si="120"/>
        <v>1</v>
      </c>
      <c r="AM286" s="1867">
        <f t="shared" ca="1" si="105"/>
        <v>1</v>
      </c>
      <c r="AN286" s="1868" t="s">
        <v>1585</v>
      </c>
      <c r="AO286" s="1867">
        <f t="shared" ca="1" si="106"/>
        <v>1</v>
      </c>
    </row>
    <row r="287" spans="1:41" ht="13.8">
      <c r="A287" s="1960">
        <f>ROW()</f>
        <v>287</v>
      </c>
      <c r="B287" s="2041"/>
      <c r="C287" s="1866"/>
      <c r="D287" s="2047" t="s">
        <v>1819</v>
      </c>
      <c r="E287" s="1869"/>
      <c r="F287" s="1938"/>
      <c r="G287" s="1936">
        <f t="shared" ref="G287:N287" si="144">IF(G30=0,0,SUM(E282:G282))</f>
        <v>2656585.9277665066</v>
      </c>
      <c r="H287" s="1936">
        <f t="shared" si="144"/>
        <v>3877102.8321717279</v>
      </c>
      <c r="I287" s="1936">
        <f t="shared" si="144"/>
        <v>4762608.0767363356</v>
      </c>
      <c r="J287" s="1936">
        <f t="shared" si="144"/>
        <v>5515020.6504707132</v>
      </c>
      <c r="K287" s="1936">
        <f t="shared" si="144"/>
        <v>0</v>
      </c>
      <c r="L287" s="1936">
        <f t="shared" si="144"/>
        <v>0</v>
      </c>
      <c r="M287" s="1936">
        <f t="shared" si="144"/>
        <v>0</v>
      </c>
      <c r="N287" s="1936">
        <f t="shared" si="144"/>
        <v>0</v>
      </c>
      <c r="O287" s="1927"/>
      <c r="P287" s="1913"/>
      <c r="Q287" s="1866"/>
      <c r="R287" s="2044" t="s">
        <v>1820</v>
      </c>
      <c r="AC287" s="1867">
        <f t="shared" ca="1" si="121"/>
        <v>1</v>
      </c>
      <c r="AD287" s="1867">
        <f t="shared" ca="1" si="121"/>
        <v>1</v>
      </c>
      <c r="AE287" s="1867">
        <f t="shared" ca="1" si="121"/>
        <v>1</v>
      </c>
      <c r="AF287" s="1867">
        <f t="shared" ca="1" si="120"/>
        <v>1</v>
      </c>
      <c r="AG287" s="1867">
        <f t="shared" ca="1" si="120"/>
        <v>1</v>
      </c>
      <c r="AH287" s="1867">
        <f t="shared" ca="1" si="120"/>
        <v>1</v>
      </c>
      <c r="AI287" s="1867">
        <f t="shared" ca="1" si="120"/>
        <v>1</v>
      </c>
      <c r="AJ287" s="1867">
        <f t="shared" ca="1" si="120"/>
        <v>1</v>
      </c>
      <c r="AK287" s="1867">
        <f t="shared" ca="1" si="120"/>
        <v>1</v>
      </c>
      <c r="AL287" s="1867">
        <f t="shared" ca="1" si="120"/>
        <v>1</v>
      </c>
      <c r="AM287" s="1867">
        <f t="shared" ca="1" si="105"/>
        <v>1</v>
      </c>
      <c r="AN287" s="1868" t="s">
        <v>1585</v>
      </c>
      <c r="AO287" s="1867">
        <f t="shared" ca="1" si="106"/>
        <v>1</v>
      </c>
    </row>
    <row r="288" spans="1:41" ht="13.8">
      <c r="A288" s="1960">
        <f>ROW()</f>
        <v>288</v>
      </c>
      <c r="B288" s="2041"/>
      <c r="C288" s="1866"/>
      <c r="D288" s="1865" t="s">
        <v>1821</v>
      </c>
      <c r="E288" s="1869"/>
      <c r="F288" s="1938"/>
      <c r="G288" s="1936">
        <f t="shared" ref="G288:N288" si="145">IF(G30=0,0,SUM(E283:G283))</f>
        <v>20961680.908188287</v>
      </c>
      <c r="H288" s="1936">
        <f t="shared" si="145"/>
        <v>25287990.642489921</v>
      </c>
      <c r="I288" s="1936">
        <f t="shared" si="145"/>
        <v>28140557.38290491</v>
      </c>
      <c r="J288" s="1936">
        <f t="shared" si="145"/>
        <v>30168167.683216147</v>
      </c>
      <c r="K288" s="1936">
        <f t="shared" si="145"/>
        <v>0</v>
      </c>
      <c r="L288" s="1936">
        <f t="shared" si="145"/>
        <v>0</v>
      </c>
      <c r="M288" s="1936">
        <f t="shared" si="145"/>
        <v>0</v>
      </c>
      <c r="N288" s="1936">
        <f t="shared" si="145"/>
        <v>0</v>
      </c>
      <c r="O288" s="1927"/>
      <c r="P288" s="1913"/>
      <c r="Q288" s="1866"/>
      <c r="R288" s="1844" t="s">
        <v>1822</v>
      </c>
      <c r="AC288" s="1867">
        <f t="shared" ca="1" si="121"/>
        <v>1</v>
      </c>
      <c r="AD288" s="1867">
        <f t="shared" ca="1" si="121"/>
        <v>1</v>
      </c>
      <c r="AE288" s="1867">
        <f t="shared" ca="1" si="121"/>
        <v>1</v>
      </c>
      <c r="AF288" s="1867">
        <f t="shared" ca="1" si="120"/>
        <v>1</v>
      </c>
      <c r="AG288" s="1867">
        <f t="shared" ca="1" si="120"/>
        <v>1</v>
      </c>
      <c r="AH288" s="1867">
        <f t="shared" ca="1" si="120"/>
        <v>1</v>
      </c>
      <c r="AI288" s="1867">
        <f t="shared" ca="1" si="120"/>
        <v>1</v>
      </c>
      <c r="AJ288" s="1867">
        <f t="shared" ca="1" si="120"/>
        <v>1</v>
      </c>
      <c r="AK288" s="1867">
        <f t="shared" ca="1" si="120"/>
        <v>1</v>
      </c>
      <c r="AL288" s="1867">
        <f t="shared" ca="1" si="120"/>
        <v>1</v>
      </c>
      <c r="AM288" s="1867">
        <f t="shared" ca="1" si="105"/>
        <v>1</v>
      </c>
      <c r="AN288" s="1868" t="s">
        <v>1585</v>
      </c>
      <c r="AO288" s="1867">
        <f t="shared" ca="1" si="106"/>
        <v>1</v>
      </c>
    </row>
    <row r="289" spans="1:41" ht="14.4" thickBot="1">
      <c r="A289" s="1960">
        <f>ROW()</f>
        <v>289</v>
      </c>
      <c r="B289" s="2041"/>
      <c r="C289" s="1866"/>
      <c r="D289" s="2006" t="s">
        <v>1823</v>
      </c>
      <c r="E289" s="1956"/>
      <c r="F289" s="1956"/>
      <c r="G289" s="2042">
        <f>IF(G288=0,0,G287/G288)</f>
        <v>0.12673534815276963</v>
      </c>
      <c r="H289" s="2042">
        <f t="shared" ref="H289:N289" si="146">IF(H288=0,0,H287/H288)</f>
        <v>0.15331794791387104</v>
      </c>
      <c r="I289" s="2042">
        <f t="shared" si="146"/>
        <v>0.16924355875159636</v>
      </c>
      <c r="J289" s="2042">
        <f t="shared" si="146"/>
        <v>0.18280926798013514</v>
      </c>
      <c r="K289" s="2042">
        <f t="shared" si="146"/>
        <v>0</v>
      </c>
      <c r="L289" s="2042">
        <f t="shared" si="146"/>
        <v>0</v>
      </c>
      <c r="M289" s="2042">
        <f t="shared" si="146"/>
        <v>0</v>
      </c>
      <c r="N289" s="2042">
        <f t="shared" si="146"/>
        <v>0</v>
      </c>
      <c r="O289" s="2043"/>
      <c r="P289" s="1913"/>
      <c r="Q289" s="1866"/>
      <c r="R289" s="1849" t="s">
        <v>1824</v>
      </c>
      <c r="AC289" s="1867">
        <f t="shared" ca="1" si="121"/>
        <v>1</v>
      </c>
      <c r="AD289" s="1867">
        <f t="shared" ca="1" si="121"/>
        <v>1</v>
      </c>
      <c r="AE289" s="1867">
        <f t="shared" ca="1" si="121"/>
        <v>1</v>
      </c>
      <c r="AF289" s="1867">
        <f t="shared" ca="1" si="120"/>
        <v>1</v>
      </c>
      <c r="AG289" s="1867">
        <f t="shared" ca="1" si="120"/>
        <v>1</v>
      </c>
      <c r="AH289" s="1867">
        <f t="shared" ca="1" si="120"/>
        <v>1</v>
      </c>
      <c r="AI289" s="1867">
        <f t="shared" ca="1" si="120"/>
        <v>1</v>
      </c>
      <c r="AJ289" s="1867">
        <f t="shared" ca="1" si="120"/>
        <v>1</v>
      </c>
      <c r="AK289" s="1867">
        <f t="shared" ca="1" si="120"/>
        <v>1</v>
      </c>
      <c r="AL289" s="1867">
        <f t="shared" ca="1" si="120"/>
        <v>1</v>
      </c>
      <c r="AM289" s="1867">
        <f t="shared" ca="1" si="105"/>
        <v>1</v>
      </c>
      <c r="AN289" s="1868" t="s">
        <v>1585</v>
      </c>
      <c r="AO289" s="1867">
        <f t="shared" ca="1" si="106"/>
        <v>1</v>
      </c>
    </row>
    <row r="290" spans="1:41" ht="14.4" thickTop="1">
      <c r="A290" s="1960">
        <f>ROW()</f>
        <v>290</v>
      </c>
      <c r="B290" s="2041"/>
      <c r="C290" s="1866"/>
      <c r="D290" s="1948" t="s">
        <v>1764</v>
      </c>
      <c r="E290" s="2048" t="str">
        <f t="shared" ref="E290:N290" si="147">+E433</f>
        <v>MS</v>
      </c>
      <c r="F290" s="2048" t="str">
        <f t="shared" si="147"/>
        <v>MS</v>
      </c>
      <c r="G290" s="1904" t="str">
        <f t="shared" si="147"/>
        <v>MS</v>
      </c>
      <c r="H290" s="1904" t="str">
        <f t="shared" si="147"/>
        <v>MS</v>
      </c>
      <c r="I290" s="1904" t="str">
        <f t="shared" si="147"/>
        <v>MS</v>
      </c>
      <c r="J290" s="1904" t="str">
        <f t="shared" si="147"/>
        <v>MS</v>
      </c>
      <c r="K290" s="1904">
        <f t="shared" si="147"/>
        <v>0</v>
      </c>
      <c r="L290" s="1904">
        <f t="shared" si="147"/>
        <v>0</v>
      </c>
      <c r="M290" s="1904">
        <f t="shared" si="147"/>
        <v>0</v>
      </c>
      <c r="N290" s="1904">
        <f t="shared" si="147"/>
        <v>0</v>
      </c>
      <c r="O290" s="1909"/>
      <c r="P290" s="1913"/>
      <c r="Q290" s="1866"/>
      <c r="R290" s="2044" t="s">
        <v>1825</v>
      </c>
      <c r="AC290" s="1867">
        <f t="shared" ca="1" si="121"/>
        <v>1</v>
      </c>
      <c r="AD290" s="1867">
        <f t="shared" ca="1" si="121"/>
        <v>1</v>
      </c>
      <c r="AE290" s="1867">
        <f t="shared" ca="1" si="121"/>
        <v>1</v>
      </c>
      <c r="AF290" s="1867">
        <f t="shared" ca="1" si="120"/>
        <v>1</v>
      </c>
      <c r="AG290" s="1867">
        <f t="shared" ca="1" si="120"/>
        <v>1</v>
      </c>
      <c r="AH290" s="1867">
        <f t="shared" ca="1" si="120"/>
        <v>1</v>
      </c>
      <c r="AI290" s="1867">
        <f t="shared" ca="1" si="120"/>
        <v>1</v>
      </c>
      <c r="AJ290" s="1867">
        <f t="shared" ca="1" si="120"/>
        <v>1</v>
      </c>
      <c r="AK290" s="1867">
        <f t="shared" ca="1" si="120"/>
        <v>1</v>
      </c>
      <c r="AL290" s="1867">
        <f t="shared" ca="1" si="120"/>
        <v>1</v>
      </c>
      <c r="AM290" s="1867">
        <f t="shared" ca="1" si="105"/>
        <v>1</v>
      </c>
      <c r="AN290" s="1868" t="s">
        <v>1585</v>
      </c>
      <c r="AO290" s="1867">
        <f t="shared" ca="1" si="106"/>
        <v>1</v>
      </c>
    </row>
    <row r="291" spans="1:41" ht="13.8">
      <c r="A291" s="1960">
        <f>ROW()</f>
        <v>291</v>
      </c>
      <c r="B291" s="2041"/>
      <c r="C291" s="1866"/>
      <c r="D291" s="1948"/>
      <c r="E291" s="1948"/>
      <c r="F291" s="1948"/>
      <c r="G291" s="1948"/>
      <c r="H291" s="1948"/>
      <c r="I291" s="1948"/>
      <c r="J291" s="1948"/>
      <c r="K291" s="1948"/>
      <c r="L291" s="1948"/>
      <c r="M291" s="1948"/>
      <c r="N291" s="1948"/>
      <c r="O291" s="1909"/>
      <c r="P291" s="1913"/>
      <c r="Q291" s="1866"/>
      <c r="R291" s="1844" t="s">
        <v>1822</v>
      </c>
      <c r="AC291" s="1867">
        <f t="shared" ca="1" si="121"/>
        <v>1</v>
      </c>
      <c r="AD291" s="1867">
        <f t="shared" ca="1" si="121"/>
        <v>1</v>
      </c>
      <c r="AE291" s="1867">
        <f t="shared" ca="1" si="121"/>
        <v>1</v>
      </c>
      <c r="AF291" s="1867">
        <f t="shared" ca="1" si="120"/>
        <v>1</v>
      </c>
      <c r="AG291" s="1867">
        <f t="shared" ca="1" si="120"/>
        <v>1</v>
      </c>
      <c r="AH291" s="1867">
        <f t="shared" ca="1" si="120"/>
        <v>1</v>
      </c>
      <c r="AI291" s="1867">
        <f t="shared" ca="1" si="120"/>
        <v>1</v>
      </c>
      <c r="AJ291" s="1867">
        <f t="shared" ca="1" si="120"/>
        <v>1</v>
      </c>
      <c r="AK291" s="1867">
        <f t="shared" ca="1" si="120"/>
        <v>1</v>
      </c>
      <c r="AL291" s="1867">
        <f t="shared" ca="1" si="120"/>
        <v>1</v>
      </c>
      <c r="AM291" s="1867">
        <f t="shared" ca="1" si="105"/>
        <v>1</v>
      </c>
      <c r="AN291" s="1868" t="s">
        <v>1585</v>
      </c>
      <c r="AO291" s="1867">
        <f t="shared" ca="1" si="106"/>
        <v>1</v>
      </c>
    </row>
    <row r="292" spans="1:41">
      <c r="A292" s="1960">
        <f>ROW()</f>
        <v>292</v>
      </c>
      <c r="B292" s="2014" t="s">
        <v>1532</v>
      </c>
      <c r="C292" s="1866"/>
      <c r="D292" s="2235"/>
      <c r="E292" s="2234"/>
      <c r="F292" s="2234"/>
      <c r="G292" s="2234"/>
      <c r="H292" s="2234"/>
      <c r="I292" s="2234"/>
      <c r="J292" s="2234"/>
      <c r="K292" s="2234"/>
      <c r="L292" s="2234"/>
      <c r="M292" s="2234"/>
      <c r="N292" s="2234"/>
      <c r="O292" s="1909"/>
      <c r="P292" s="1913"/>
      <c r="Q292" s="1866"/>
      <c r="AC292" s="1867">
        <f t="shared" ca="1" si="121"/>
        <v>1</v>
      </c>
      <c r="AD292" s="1867">
        <f t="shared" ca="1" si="121"/>
        <v>1</v>
      </c>
      <c r="AE292" s="1867">
        <f t="shared" ca="1" si="121"/>
        <v>1</v>
      </c>
      <c r="AF292" s="1867">
        <f t="shared" ca="1" si="120"/>
        <v>0</v>
      </c>
      <c r="AG292" s="1867">
        <f t="shared" ca="1" si="120"/>
        <v>0</v>
      </c>
      <c r="AH292" s="1867">
        <f t="shared" ca="1" si="120"/>
        <v>0</v>
      </c>
      <c r="AI292" s="1867">
        <f t="shared" ca="1" si="120"/>
        <v>0</v>
      </c>
      <c r="AJ292" s="1867">
        <f t="shared" ca="1" si="120"/>
        <v>0</v>
      </c>
      <c r="AK292" s="1867">
        <f t="shared" ca="1" si="120"/>
        <v>0</v>
      </c>
      <c r="AL292" s="1867">
        <f t="shared" ca="1" si="120"/>
        <v>0</v>
      </c>
      <c r="AM292" s="1867">
        <f t="shared" ca="1" si="105"/>
        <v>1</v>
      </c>
      <c r="AN292" s="1868" t="s">
        <v>1585</v>
      </c>
      <c r="AO292" s="1867">
        <f t="shared" ca="1" si="106"/>
        <v>1</v>
      </c>
    </row>
    <row r="293" spans="1:41">
      <c r="A293" s="1960">
        <f>ROW()</f>
        <v>293</v>
      </c>
      <c r="B293" s="2005"/>
      <c r="C293" s="1866"/>
      <c r="D293" s="2234"/>
      <c r="E293" s="2234"/>
      <c r="F293" s="2234"/>
      <c r="G293" s="2234"/>
      <c r="H293" s="2234"/>
      <c r="I293" s="2234"/>
      <c r="J293" s="2234"/>
      <c r="K293" s="2234"/>
      <c r="L293" s="2234"/>
      <c r="M293" s="2234"/>
      <c r="N293" s="2234"/>
      <c r="O293" s="1909"/>
      <c r="P293" s="1913"/>
      <c r="Q293" s="1866"/>
      <c r="AC293" s="1867">
        <f t="shared" ca="1" si="121"/>
        <v>1</v>
      </c>
      <c r="AD293" s="1867">
        <f t="shared" ca="1" si="121"/>
        <v>1</v>
      </c>
      <c r="AE293" s="1867">
        <f t="shared" ca="1" si="121"/>
        <v>1</v>
      </c>
      <c r="AF293" s="1867">
        <f t="shared" ca="1" si="120"/>
        <v>0</v>
      </c>
      <c r="AG293" s="1867">
        <f t="shared" ca="1" si="120"/>
        <v>0</v>
      </c>
      <c r="AH293" s="1867">
        <f t="shared" ca="1" si="120"/>
        <v>0</v>
      </c>
      <c r="AI293" s="1867">
        <f t="shared" ca="1" si="120"/>
        <v>0</v>
      </c>
      <c r="AJ293" s="1867">
        <f t="shared" ca="1" si="120"/>
        <v>0</v>
      </c>
      <c r="AK293" s="1867">
        <f t="shared" ca="1" si="120"/>
        <v>0</v>
      </c>
      <c r="AL293" s="1867">
        <f t="shared" ca="1" si="120"/>
        <v>0</v>
      </c>
      <c r="AM293" s="1867">
        <f t="shared" ca="1" si="105"/>
        <v>1</v>
      </c>
      <c r="AN293" s="1868" t="s">
        <v>1585</v>
      </c>
      <c r="AO293" s="1867">
        <f t="shared" ca="1" si="106"/>
        <v>1</v>
      </c>
    </row>
    <row r="294" spans="1:41">
      <c r="A294" s="1960">
        <f>ROW()</f>
        <v>294</v>
      </c>
      <c r="B294" s="2005"/>
      <c r="C294" s="1866"/>
      <c r="D294" s="1866"/>
      <c r="E294" s="1904"/>
      <c r="F294" s="1904"/>
      <c r="G294" s="1904"/>
      <c r="H294" s="1904"/>
      <c r="I294" s="1904"/>
      <c r="J294" s="1904"/>
      <c r="K294" s="1904"/>
      <c r="L294" s="1904"/>
      <c r="M294" s="1904"/>
      <c r="N294" s="1904"/>
      <c r="O294" s="1909"/>
      <c r="P294" s="1913"/>
      <c r="Q294" s="1866"/>
      <c r="AC294" s="1867">
        <f t="shared" ca="1" si="121"/>
        <v>1</v>
      </c>
      <c r="AD294" s="1867">
        <f t="shared" ca="1" si="121"/>
        <v>1</v>
      </c>
      <c r="AE294" s="1867">
        <f t="shared" ca="1" si="121"/>
        <v>1</v>
      </c>
      <c r="AF294" s="1867">
        <f t="shared" ca="1" si="120"/>
        <v>1</v>
      </c>
      <c r="AG294" s="1867">
        <f t="shared" ca="1" si="120"/>
        <v>1</v>
      </c>
      <c r="AH294" s="1867">
        <f t="shared" ca="1" si="120"/>
        <v>1</v>
      </c>
      <c r="AI294" s="1867">
        <f t="shared" ca="1" si="120"/>
        <v>1</v>
      </c>
      <c r="AJ294" s="1867">
        <f t="shared" ca="1" si="120"/>
        <v>1</v>
      </c>
      <c r="AK294" s="1867">
        <f t="shared" ca="1" si="120"/>
        <v>1</v>
      </c>
      <c r="AL294" s="1867">
        <f t="shared" ca="1" si="120"/>
        <v>1</v>
      </c>
      <c r="AM294" s="1867">
        <f t="shared" ca="1" si="105"/>
        <v>1</v>
      </c>
      <c r="AN294" s="1868" t="s">
        <v>1585</v>
      </c>
      <c r="AO294" s="1867">
        <f t="shared" ca="1" si="106"/>
        <v>1</v>
      </c>
    </row>
    <row r="295" spans="1:41">
      <c r="A295" s="1960">
        <f>ROW()</f>
        <v>295</v>
      </c>
      <c r="B295" s="2005"/>
      <c r="C295" s="1866"/>
      <c r="D295" s="1866" t="s">
        <v>1826</v>
      </c>
      <c r="E295" s="1924"/>
      <c r="F295" s="1924"/>
      <c r="G295" s="2028"/>
      <c r="H295" s="1924"/>
      <c r="I295" s="1924"/>
      <c r="J295" s="1924"/>
      <c r="K295" s="1938"/>
      <c r="L295" s="1938"/>
      <c r="M295" s="1938"/>
      <c r="N295" s="1938"/>
      <c r="O295" s="1909"/>
      <c r="P295" s="1913"/>
      <c r="Q295" s="1866"/>
      <c r="AC295" s="1867">
        <f t="shared" ca="1" si="121"/>
        <v>1</v>
      </c>
      <c r="AD295" s="1867">
        <f t="shared" ca="1" si="121"/>
        <v>1</v>
      </c>
      <c r="AE295" s="1867">
        <f t="shared" ca="1" si="121"/>
        <v>1</v>
      </c>
      <c r="AF295" s="1867">
        <f t="shared" ca="1" si="120"/>
        <v>1</v>
      </c>
      <c r="AG295" s="1867">
        <f t="shared" ca="1" si="120"/>
        <v>1</v>
      </c>
      <c r="AH295" s="1867">
        <f t="shared" ca="1" si="120"/>
        <v>1</v>
      </c>
      <c r="AI295" s="1867">
        <f t="shared" ca="1" si="120"/>
        <v>1</v>
      </c>
      <c r="AJ295" s="1867">
        <f t="shared" ca="1" si="120"/>
        <v>1</v>
      </c>
      <c r="AK295" s="1867">
        <f t="shared" ca="1" si="120"/>
        <v>1</v>
      </c>
      <c r="AL295" s="1867">
        <f t="shared" ca="1" si="120"/>
        <v>1</v>
      </c>
      <c r="AM295" s="1867">
        <f t="shared" ca="1" si="105"/>
        <v>1</v>
      </c>
      <c r="AN295" s="1868" t="s">
        <v>1585</v>
      </c>
      <c r="AO295" s="1867">
        <f t="shared" ca="1" si="106"/>
        <v>1</v>
      </c>
    </row>
    <row r="296" spans="1:41">
      <c r="A296" s="1960">
        <f>ROW()</f>
        <v>296</v>
      </c>
      <c r="B296" s="1998" t="s">
        <v>1827</v>
      </c>
      <c r="C296" s="1999"/>
      <c r="D296" s="2000" t="s">
        <v>1828</v>
      </c>
      <c r="E296" s="2015"/>
      <c r="F296" s="2015"/>
      <c r="G296" s="2015"/>
      <c r="H296" s="2015"/>
      <c r="I296" s="2015"/>
      <c r="J296" s="2015"/>
      <c r="K296" s="2015"/>
      <c r="L296" s="2015"/>
      <c r="M296" s="2015"/>
      <c r="N296" s="2015"/>
      <c r="O296" s="1909"/>
      <c r="P296" s="1913"/>
      <c r="Q296" s="1866" t="s">
        <v>1756</v>
      </c>
      <c r="AC296" s="1867">
        <f t="shared" ca="1" si="121"/>
        <v>1</v>
      </c>
      <c r="AD296" s="1867">
        <f t="shared" ca="1" si="121"/>
        <v>1</v>
      </c>
      <c r="AE296" s="1867">
        <f t="shared" ca="1" si="121"/>
        <v>1</v>
      </c>
      <c r="AF296" s="1867">
        <f t="shared" ca="1" si="120"/>
        <v>1</v>
      </c>
      <c r="AG296" s="1867">
        <f t="shared" ca="1" si="120"/>
        <v>1</v>
      </c>
      <c r="AH296" s="1867">
        <f t="shared" ca="1" si="120"/>
        <v>1</v>
      </c>
      <c r="AI296" s="1867">
        <f t="shared" ca="1" si="120"/>
        <v>1</v>
      </c>
      <c r="AJ296" s="1867">
        <f t="shared" ca="1" si="120"/>
        <v>1</v>
      </c>
      <c r="AK296" s="1867">
        <f t="shared" ca="1" si="120"/>
        <v>1</v>
      </c>
      <c r="AL296" s="1867">
        <f t="shared" ca="1" si="120"/>
        <v>1</v>
      </c>
      <c r="AM296" s="1867">
        <f t="shared" ca="1" si="105"/>
        <v>1</v>
      </c>
      <c r="AN296" s="1868" t="s">
        <v>1585</v>
      </c>
      <c r="AO296" s="1867">
        <f t="shared" ca="1" si="106"/>
        <v>1</v>
      </c>
    </row>
    <row r="297" spans="1:41">
      <c r="A297" s="1960">
        <f>ROW()</f>
        <v>297</v>
      </c>
      <c r="B297" s="2003">
        <f>ROW(B158)</f>
        <v>158</v>
      </c>
      <c r="C297" s="1866"/>
      <c r="D297" s="1866" t="s">
        <v>1829</v>
      </c>
      <c r="E297" s="1904">
        <f t="shared" ref="E297:N297" si="148">E158-E157</f>
        <v>149671.66918711775</v>
      </c>
      <c r="F297" s="1904">
        <f t="shared" si="148"/>
        <v>112253.75189033832</v>
      </c>
      <c r="G297" s="1904">
        <f t="shared" si="148"/>
        <v>74835.834593558873</v>
      </c>
      <c r="H297" s="1904">
        <f t="shared" si="148"/>
        <v>37417.917296779437</v>
      </c>
      <c r="I297" s="1904">
        <f t="shared" si="148"/>
        <v>1</v>
      </c>
      <c r="J297" s="1904">
        <f t="shared" si="148"/>
        <v>1</v>
      </c>
      <c r="K297" s="1904">
        <f t="shared" si="148"/>
        <v>0</v>
      </c>
      <c r="L297" s="1904">
        <f t="shared" si="148"/>
        <v>0</v>
      </c>
      <c r="M297" s="1904">
        <f t="shared" si="148"/>
        <v>0</v>
      </c>
      <c r="N297" s="1904">
        <f t="shared" si="148"/>
        <v>0</v>
      </c>
      <c r="O297" s="1909"/>
      <c r="P297" s="1913"/>
      <c r="Q297" s="1866"/>
      <c r="AC297" s="1867">
        <f t="shared" ca="1" si="121"/>
        <v>1</v>
      </c>
      <c r="AD297" s="1867">
        <f t="shared" ca="1" si="121"/>
        <v>1</v>
      </c>
      <c r="AE297" s="1867">
        <f t="shared" ca="1" si="121"/>
        <v>1</v>
      </c>
      <c r="AF297" s="1867">
        <f t="shared" ca="1" si="120"/>
        <v>1</v>
      </c>
      <c r="AG297" s="1867">
        <f t="shared" ca="1" si="120"/>
        <v>1</v>
      </c>
      <c r="AH297" s="1867">
        <f t="shared" ca="1" si="120"/>
        <v>1</v>
      </c>
      <c r="AI297" s="1867">
        <f t="shared" ca="1" si="120"/>
        <v>1</v>
      </c>
      <c r="AJ297" s="1867">
        <f t="shared" ca="1" si="120"/>
        <v>1</v>
      </c>
      <c r="AK297" s="1867">
        <f t="shared" ca="1" si="120"/>
        <v>1</v>
      </c>
      <c r="AL297" s="1867">
        <f t="shared" ca="1" si="120"/>
        <v>1</v>
      </c>
      <c r="AM297" s="1867">
        <f t="shared" ca="1" si="105"/>
        <v>1</v>
      </c>
      <c r="AN297" s="1868" t="s">
        <v>1585</v>
      </c>
      <c r="AO297" s="1867">
        <f t="shared" ca="1" si="106"/>
        <v>1</v>
      </c>
    </row>
    <row r="298" spans="1:41">
      <c r="A298" s="1960">
        <f>ROW()</f>
        <v>298</v>
      </c>
      <c r="B298" s="2003">
        <f>ROW(B134)</f>
        <v>134</v>
      </c>
      <c r="C298" s="1866"/>
      <c r="D298" s="1866" t="s">
        <v>1704</v>
      </c>
      <c r="E298" s="1936">
        <f t="shared" ref="E298:N298" si="149">E134</f>
        <v>410359.60179680743</v>
      </c>
      <c r="F298" s="1936">
        <f t="shared" si="149"/>
        <v>1429316.5762974804</v>
      </c>
      <c r="G298" s="1936">
        <f t="shared" si="149"/>
        <v>2464733.569126728</v>
      </c>
      <c r="H298" s="1936">
        <f t="shared" si="149"/>
        <v>4054315.178012534</v>
      </c>
      <c r="I298" s="1936">
        <f t="shared" si="149"/>
        <v>5932226.4585851496</v>
      </c>
      <c r="J298" s="1936">
        <f t="shared" si="149"/>
        <v>7701988.8619042737</v>
      </c>
      <c r="K298" s="1936">
        <f t="shared" si="149"/>
        <v>0</v>
      </c>
      <c r="L298" s="1936">
        <f t="shared" si="149"/>
        <v>0</v>
      </c>
      <c r="M298" s="1936">
        <f t="shared" si="149"/>
        <v>0</v>
      </c>
      <c r="N298" s="1936">
        <f t="shared" si="149"/>
        <v>0</v>
      </c>
      <c r="O298" s="1909"/>
      <c r="P298" s="1913"/>
      <c r="Q298" s="1866"/>
      <c r="AC298" s="1867">
        <f t="shared" ca="1" si="121"/>
        <v>1</v>
      </c>
      <c r="AD298" s="1867">
        <f t="shared" ca="1" si="121"/>
        <v>1</v>
      </c>
      <c r="AE298" s="1867">
        <f t="shared" ca="1" si="121"/>
        <v>1</v>
      </c>
      <c r="AF298" s="1867">
        <f t="shared" ca="1" si="120"/>
        <v>1</v>
      </c>
      <c r="AG298" s="1867">
        <f t="shared" ca="1" si="120"/>
        <v>1</v>
      </c>
      <c r="AH298" s="1867">
        <f t="shared" ca="1" si="120"/>
        <v>1</v>
      </c>
      <c r="AI298" s="1867">
        <f t="shared" ca="1" si="120"/>
        <v>1</v>
      </c>
      <c r="AJ298" s="1867">
        <f t="shared" ca="1" si="120"/>
        <v>1</v>
      </c>
      <c r="AK298" s="1867">
        <f t="shared" ca="1" si="120"/>
        <v>1</v>
      </c>
      <c r="AL298" s="1867">
        <f t="shared" ca="1" si="120"/>
        <v>1</v>
      </c>
      <c r="AM298" s="1867">
        <f t="shared" ca="1" si="105"/>
        <v>1</v>
      </c>
      <c r="AN298" s="1868" t="s">
        <v>1585</v>
      </c>
      <c r="AO298" s="1867">
        <f t="shared" ca="1" si="106"/>
        <v>1</v>
      </c>
    </row>
    <row r="299" spans="1:41" ht="13.8" thickBot="1">
      <c r="A299" s="1960">
        <f>ROW()</f>
        <v>299</v>
      </c>
      <c r="B299" s="2005"/>
      <c r="C299" s="1866"/>
      <c r="D299" s="2006" t="s">
        <v>1830</v>
      </c>
      <c r="E299" s="2042">
        <f>IF(E298=0,0,E297/E298)</f>
        <v>0.36473295259027172</v>
      </c>
      <c r="F299" s="2042">
        <f t="shared" ref="F299:J299" si="150">IF(F298=0,0,F297/F298)</f>
        <v>7.8536661333014027E-2</v>
      </c>
      <c r="G299" s="2042">
        <f t="shared" si="150"/>
        <v>3.0362646709954019E-2</v>
      </c>
      <c r="H299" s="2042">
        <f t="shared" si="150"/>
        <v>9.229158477788121E-3</v>
      </c>
      <c r="I299" s="2042">
        <f t="shared" si="150"/>
        <v>1.6857077304471321E-7</v>
      </c>
      <c r="J299" s="2042">
        <f t="shared" si="150"/>
        <v>1.2983659388891346E-7</v>
      </c>
      <c r="K299" s="2042">
        <f>IF(K298=0,0,K297/K298)</f>
        <v>0</v>
      </c>
      <c r="L299" s="2042">
        <f>IF(L298=0,0,L297/L298)</f>
        <v>0</v>
      </c>
      <c r="M299" s="2042">
        <f>IF(M298=0,0,M297/M298)</f>
        <v>0</v>
      </c>
      <c r="N299" s="2042">
        <f>IF(N298=0,0,N297/N298)</f>
        <v>0</v>
      </c>
      <c r="O299" s="1909"/>
      <c r="P299" s="1913"/>
      <c r="Q299" s="1866"/>
      <c r="AC299" s="1867">
        <f t="shared" ca="1" si="121"/>
        <v>1</v>
      </c>
      <c r="AD299" s="1867">
        <f t="shared" ca="1" si="121"/>
        <v>1</v>
      </c>
      <c r="AE299" s="1867">
        <f t="shared" ca="1" si="121"/>
        <v>1</v>
      </c>
      <c r="AF299" s="1867">
        <f t="shared" ca="1" si="120"/>
        <v>1</v>
      </c>
      <c r="AG299" s="1867">
        <f t="shared" ca="1" si="120"/>
        <v>1</v>
      </c>
      <c r="AH299" s="1867">
        <f t="shared" ca="1" si="120"/>
        <v>1</v>
      </c>
      <c r="AI299" s="1867">
        <f t="shared" ca="1" si="120"/>
        <v>1</v>
      </c>
      <c r="AJ299" s="1867">
        <f t="shared" ca="1" si="120"/>
        <v>1</v>
      </c>
      <c r="AK299" s="1867">
        <f t="shared" ca="1" si="120"/>
        <v>1</v>
      </c>
      <c r="AL299" s="1867">
        <f t="shared" ca="1" si="120"/>
        <v>1</v>
      </c>
      <c r="AM299" s="1867">
        <f t="shared" ca="1" si="105"/>
        <v>1</v>
      </c>
      <c r="AN299" s="1868" t="s">
        <v>1585</v>
      </c>
      <c r="AO299" s="1867">
        <f t="shared" ca="1" si="106"/>
        <v>1</v>
      </c>
    </row>
    <row r="300" spans="1:41" ht="13.8" thickTop="1">
      <c r="A300" s="1960">
        <f>ROW()</f>
        <v>300</v>
      </c>
      <c r="B300" s="2005"/>
      <c r="C300" s="1866"/>
      <c r="D300" s="1948" t="s">
        <v>1831</v>
      </c>
      <c r="E300" s="1904" t="str">
        <f t="shared" ref="E300:N300" si="151">IF(E$30=0,0,IF(E$299&lt;0.9,"MS&lt;90%",IF(AND(E$299&gt;=0.9,E$299&lt;1),"DNMS",IF(E$299&gt;1,"FFBS&gt;100%",0))))</f>
        <v>MS&lt;90%</v>
      </c>
      <c r="F300" s="1904" t="str">
        <f t="shared" si="151"/>
        <v>MS&lt;90%</v>
      </c>
      <c r="G300" s="1904" t="str">
        <f t="shared" si="151"/>
        <v>MS&lt;90%</v>
      </c>
      <c r="H300" s="1904" t="str">
        <f t="shared" si="151"/>
        <v>MS&lt;90%</v>
      </c>
      <c r="I300" s="1904" t="str">
        <f t="shared" si="151"/>
        <v>MS&lt;90%</v>
      </c>
      <c r="J300" s="1904" t="str">
        <f t="shared" si="151"/>
        <v>MS&lt;90%</v>
      </c>
      <c r="K300" s="1904">
        <f t="shared" si="151"/>
        <v>0</v>
      </c>
      <c r="L300" s="1904">
        <f t="shared" si="151"/>
        <v>0</v>
      </c>
      <c r="M300" s="1904">
        <f t="shared" si="151"/>
        <v>0</v>
      </c>
      <c r="N300" s="1904">
        <f t="shared" si="151"/>
        <v>0</v>
      </c>
      <c r="O300" s="1909"/>
      <c r="P300" s="1913"/>
      <c r="Q300" s="1866"/>
      <c r="AC300" s="1867">
        <f t="shared" ca="1" si="121"/>
        <v>1</v>
      </c>
      <c r="AD300" s="1867">
        <f t="shared" ca="1" si="121"/>
        <v>1</v>
      </c>
      <c r="AE300" s="1867">
        <f t="shared" ca="1" si="121"/>
        <v>1</v>
      </c>
      <c r="AF300" s="1867">
        <f t="shared" ca="1" si="120"/>
        <v>1</v>
      </c>
      <c r="AG300" s="1867">
        <f t="shared" ca="1" si="120"/>
        <v>1</v>
      </c>
      <c r="AH300" s="1867">
        <f t="shared" ca="1" si="120"/>
        <v>1</v>
      </c>
      <c r="AI300" s="1867">
        <f t="shared" ca="1" si="120"/>
        <v>1</v>
      </c>
      <c r="AJ300" s="1867">
        <f t="shared" ca="1" si="120"/>
        <v>1</v>
      </c>
      <c r="AK300" s="1867">
        <f t="shared" ca="1" si="120"/>
        <v>1</v>
      </c>
      <c r="AL300" s="1867">
        <f t="shared" ca="1" si="120"/>
        <v>1</v>
      </c>
      <c r="AM300" s="1867">
        <f t="shared" ca="1" si="105"/>
        <v>1</v>
      </c>
      <c r="AN300" s="1868" t="s">
        <v>1585</v>
      </c>
      <c r="AO300" s="1867">
        <f t="shared" ca="1" si="106"/>
        <v>1</v>
      </c>
    </row>
    <row r="301" spans="1:41">
      <c r="A301" s="1960">
        <f>ROW()</f>
        <v>301</v>
      </c>
      <c r="B301" s="2005"/>
      <c r="C301" s="1866"/>
      <c r="D301" s="1948"/>
      <c r="E301" s="1904"/>
      <c r="F301" s="1904"/>
      <c r="G301" s="1904"/>
      <c r="H301" s="1904"/>
      <c r="I301" s="1904"/>
      <c r="J301" s="1904"/>
      <c r="K301" s="1904"/>
      <c r="L301" s="1904"/>
      <c r="M301" s="1904"/>
      <c r="N301" s="1904"/>
      <c r="O301" s="1909"/>
      <c r="P301" s="1913"/>
      <c r="Q301" s="1866"/>
      <c r="AC301" s="1867">
        <f t="shared" ca="1" si="121"/>
        <v>1</v>
      </c>
      <c r="AD301" s="1867">
        <f t="shared" ca="1" si="121"/>
        <v>1</v>
      </c>
      <c r="AE301" s="1867">
        <f t="shared" ca="1" si="121"/>
        <v>1</v>
      </c>
      <c r="AF301" s="1867">
        <f t="shared" ca="1" si="120"/>
        <v>1</v>
      </c>
      <c r="AG301" s="1867">
        <f t="shared" ca="1" si="120"/>
        <v>1</v>
      </c>
      <c r="AH301" s="1867">
        <f t="shared" ca="1" si="120"/>
        <v>1</v>
      </c>
      <c r="AI301" s="1867">
        <f t="shared" ref="AI301:AL341" ca="1" si="152">CELL("protect",G301)</f>
        <v>1</v>
      </c>
      <c r="AJ301" s="1867">
        <f t="shared" ca="1" si="152"/>
        <v>1</v>
      </c>
      <c r="AK301" s="1867">
        <f t="shared" ca="1" si="152"/>
        <v>1</v>
      </c>
      <c r="AL301" s="1867">
        <f t="shared" ca="1" si="152"/>
        <v>1</v>
      </c>
      <c r="AM301" s="1867">
        <f t="shared" ca="1" si="105"/>
        <v>1</v>
      </c>
      <c r="AN301" s="1868" t="s">
        <v>1585</v>
      </c>
      <c r="AO301" s="1867">
        <f t="shared" ca="1" si="106"/>
        <v>1</v>
      </c>
    </row>
    <row r="302" spans="1:41">
      <c r="A302" s="1960">
        <f>ROW()</f>
        <v>302</v>
      </c>
      <c r="B302" s="1998" t="s">
        <v>1832</v>
      </c>
      <c r="C302" s="1999"/>
      <c r="D302" s="2000" t="s">
        <v>1833</v>
      </c>
      <c r="E302" s="2049"/>
      <c r="F302" s="2049"/>
      <c r="G302" s="2049"/>
      <c r="H302" s="2049"/>
      <c r="I302" s="2049"/>
      <c r="J302" s="2049"/>
      <c r="K302" s="2049"/>
      <c r="L302" s="2049"/>
      <c r="M302" s="2049"/>
      <c r="N302" s="2049"/>
      <c r="O302" s="1909"/>
      <c r="P302" s="1913"/>
      <c r="Q302" s="1866"/>
      <c r="AC302" s="1867">
        <f t="shared" ca="1" si="121"/>
        <v>1</v>
      </c>
      <c r="AD302" s="1867">
        <f t="shared" ca="1" si="121"/>
        <v>1</v>
      </c>
      <c r="AE302" s="1867">
        <f t="shared" ca="1" si="121"/>
        <v>1</v>
      </c>
      <c r="AF302" s="1867">
        <f t="shared" ca="1" si="121"/>
        <v>1</v>
      </c>
      <c r="AG302" s="1867">
        <f t="shared" ca="1" si="121"/>
        <v>1</v>
      </c>
      <c r="AH302" s="1867">
        <f t="shared" ca="1" si="121"/>
        <v>1</v>
      </c>
      <c r="AI302" s="1867">
        <f t="shared" ca="1" si="152"/>
        <v>1</v>
      </c>
      <c r="AJ302" s="1867">
        <f t="shared" ca="1" si="152"/>
        <v>1</v>
      </c>
      <c r="AK302" s="1867">
        <f t="shared" ca="1" si="152"/>
        <v>1</v>
      </c>
      <c r="AL302" s="1867">
        <f t="shared" ca="1" si="152"/>
        <v>1</v>
      </c>
      <c r="AM302" s="1867">
        <f t="shared" ca="1" si="105"/>
        <v>1</v>
      </c>
      <c r="AN302" s="1868" t="s">
        <v>1585</v>
      </c>
      <c r="AO302" s="1867">
        <f t="shared" ca="1" si="106"/>
        <v>1</v>
      </c>
    </row>
    <row r="303" spans="1:41">
      <c r="A303" s="1960">
        <f>ROW()</f>
        <v>303</v>
      </c>
      <c r="B303" s="2003">
        <f>ROW(B159)</f>
        <v>159</v>
      </c>
      <c r="C303" s="1866"/>
      <c r="D303" s="1866" t="s">
        <v>1834</v>
      </c>
      <c r="E303" s="1904">
        <f t="shared" ref="E303:N303" si="153">E159</f>
        <v>149671.66918711775</v>
      </c>
      <c r="F303" s="1904">
        <f t="shared" si="153"/>
        <v>112253.75189033832</v>
      </c>
      <c r="G303" s="1904">
        <f t="shared" si="153"/>
        <v>74835.834593558873</v>
      </c>
      <c r="H303" s="1904">
        <f t="shared" si="153"/>
        <v>37417.917296779437</v>
      </c>
      <c r="I303" s="1904">
        <f t="shared" si="153"/>
        <v>1</v>
      </c>
      <c r="J303" s="1904">
        <f t="shared" si="153"/>
        <v>1</v>
      </c>
      <c r="K303" s="1904">
        <f t="shared" si="153"/>
        <v>0</v>
      </c>
      <c r="L303" s="1904">
        <f t="shared" si="153"/>
        <v>0</v>
      </c>
      <c r="M303" s="1904">
        <f t="shared" si="153"/>
        <v>0</v>
      </c>
      <c r="N303" s="1904">
        <f t="shared" si="153"/>
        <v>0</v>
      </c>
      <c r="O303" s="2004"/>
      <c r="P303" s="1913"/>
      <c r="Q303" s="1866" t="s">
        <v>1835</v>
      </c>
      <c r="AC303" s="1867">
        <f t="shared" ca="1" si="121"/>
        <v>1</v>
      </c>
      <c r="AD303" s="1867">
        <f t="shared" ca="1" si="121"/>
        <v>1</v>
      </c>
      <c r="AE303" s="1867">
        <f t="shared" ca="1" si="121"/>
        <v>1</v>
      </c>
      <c r="AF303" s="1867">
        <f t="shared" ca="1" si="121"/>
        <v>1</v>
      </c>
      <c r="AG303" s="1867">
        <f t="shared" ca="1" si="121"/>
        <v>1</v>
      </c>
      <c r="AH303" s="1867">
        <f t="shared" ca="1" si="121"/>
        <v>1</v>
      </c>
      <c r="AI303" s="1867">
        <f t="shared" ca="1" si="152"/>
        <v>1</v>
      </c>
      <c r="AJ303" s="1867">
        <f t="shared" ca="1" si="152"/>
        <v>1</v>
      </c>
      <c r="AK303" s="1867">
        <f t="shared" ca="1" si="152"/>
        <v>1</v>
      </c>
      <c r="AL303" s="1867">
        <f t="shared" ca="1" si="152"/>
        <v>1</v>
      </c>
      <c r="AM303" s="1867">
        <f t="shared" ca="1" si="105"/>
        <v>1</v>
      </c>
      <c r="AN303" s="1868" t="s">
        <v>1585</v>
      </c>
      <c r="AO303" s="1867">
        <f t="shared" ca="1" si="106"/>
        <v>1</v>
      </c>
    </row>
    <row r="304" spans="1:41">
      <c r="A304" s="1960">
        <f>ROW()</f>
        <v>304</v>
      </c>
      <c r="B304" s="2003">
        <f>ROW(B160)</f>
        <v>160</v>
      </c>
      <c r="C304" s="1866"/>
      <c r="D304" s="1866" t="s">
        <v>1836</v>
      </c>
      <c r="E304" s="1936">
        <f t="shared" ref="E304:N304" si="154">E134</f>
        <v>410359.60179680743</v>
      </c>
      <c r="F304" s="1936">
        <f t="shared" si="154"/>
        <v>1429316.5762974804</v>
      </c>
      <c r="G304" s="1936">
        <f t="shared" si="154"/>
        <v>2464733.569126728</v>
      </c>
      <c r="H304" s="1936">
        <f t="shared" si="154"/>
        <v>4054315.178012534</v>
      </c>
      <c r="I304" s="1936">
        <f t="shared" si="154"/>
        <v>5932226.4585851496</v>
      </c>
      <c r="J304" s="1936">
        <f t="shared" si="154"/>
        <v>7701988.8619042737</v>
      </c>
      <c r="K304" s="1936">
        <f t="shared" si="154"/>
        <v>0</v>
      </c>
      <c r="L304" s="1936">
        <f t="shared" si="154"/>
        <v>0</v>
      </c>
      <c r="M304" s="1936">
        <f t="shared" si="154"/>
        <v>0</v>
      </c>
      <c r="N304" s="1936">
        <f t="shared" si="154"/>
        <v>0</v>
      </c>
      <c r="O304" s="1927"/>
      <c r="P304" s="1913"/>
      <c r="Q304" s="1866"/>
      <c r="AC304" s="1867">
        <f t="shared" ca="1" si="121"/>
        <v>1</v>
      </c>
      <c r="AD304" s="1867">
        <f t="shared" ca="1" si="121"/>
        <v>1</v>
      </c>
      <c r="AE304" s="1867">
        <f t="shared" ca="1" si="121"/>
        <v>1</v>
      </c>
      <c r="AF304" s="1867">
        <f t="shared" ca="1" si="121"/>
        <v>1</v>
      </c>
      <c r="AG304" s="1867">
        <f t="shared" ca="1" si="121"/>
        <v>1</v>
      </c>
      <c r="AH304" s="1867">
        <f t="shared" ca="1" si="121"/>
        <v>1</v>
      </c>
      <c r="AI304" s="1867">
        <f t="shared" ca="1" si="152"/>
        <v>1</v>
      </c>
      <c r="AJ304" s="1867">
        <f t="shared" ca="1" si="152"/>
        <v>1</v>
      </c>
      <c r="AK304" s="1867">
        <f t="shared" ca="1" si="152"/>
        <v>1</v>
      </c>
      <c r="AL304" s="1867">
        <f t="shared" ca="1" si="152"/>
        <v>1</v>
      </c>
      <c r="AM304" s="1867">
        <f t="shared" ca="1" si="105"/>
        <v>1</v>
      </c>
      <c r="AN304" s="1868" t="s">
        <v>1585</v>
      </c>
      <c r="AO304" s="1867">
        <f t="shared" ca="1" si="106"/>
        <v>1</v>
      </c>
    </row>
    <row r="305" spans="1:41" ht="13.8" thickBot="1">
      <c r="A305" s="1960">
        <f>ROW()</f>
        <v>305</v>
      </c>
      <c r="B305" s="2003"/>
      <c r="C305" s="1866"/>
      <c r="D305" s="2006" t="s">
        <v>1830</v>
      </c>
      <c r="E305" s="2042">
        <f>IF(E304=0,0,E303/E304)</f>
        <v>0.36473295259027172</v>
      </c>
      <c r="F305" s="2042">
        <f t="shared" ref="F305:N305" si="155">IF(F304=0,0,F303/F304)</f>
        <v>7.8536661333014027E-2</v>
      </c>
      <c r="G305" s="2042">
        <f t="shared" si="155"/>
        <v>3.0362646709954019E-2</v>
      </c>
      <c r="H305" s="2042">
        <f t="shared" si="155"/>
        <v>9.229158477788121E-3</v>
      </c>
      <c r="I305" s="2042">
        <f t="shared" si="155"/>
        <v>1.6857077304471321E-7</v>
      </c>
      <c r="J305" s="2042">
        <f t="shared" si="155"/>
        <v>1.2983659388891346E-7</v>
      </c>
      <c r="K305" s="2050">
        <f t="shared" si="155"/>
        <v>0</v>
      </c>
      <c r="L305" s="2050">
        <f t="shared" si="155"/>
        <v>0</v>
      </c>
      <c r="M305" s="2050">
        <f t="shared" si="155"/>
        <v>0</v>
      </c>
      <c r="N305" s="2050">
        <f t="shared" si="155"/>
        <v>0</v>
      </c>
      <c r="O305" s="2043"/>
      <c r="P305" s="1913"/>
      <c r="Q305" s="1866"/>
      <c r="AC305" s="1867">
        <f t="shared" ca="1" si="121"/>
        <v>1</v>
      </c>
      <c r="AD305" s="1867">
        <f t="shared" ca="1" si="121"/>
        <v>1</v>
      </c>
      <c r="AE305" s="1867">
        <f t="shared" ca="1" si="121"/>
        <v>1</v>
      </c>
      <c r="AF305" s="1867">
        <f t="shared" ca="1" si="121"/>
        <v>1</v>
      </c>
      <c r="AG305" s="1867">
        <f t="shared" ca="1" si="121"/>
        <v>1</v>
      </c>
      <c r="AH305" s="1867">
        <f t="shared" ca="1" si="121"/>
        <v>1</v>
      </c>
      <c r="AI305" s="1867">
        <f t="shared" ca="1" si="152"/>
        <v>1</v>
      </c>
      <c r="AJ305" s="1867">
        <f t="shared" ca="1" si="152"/>
        <v>1</v>
      </c>
      <c r="AK305" s="1867">
        <f t="shared" ca="1" si="152"/>
        <v>1</v>
      </c>
      <c r="AL305" s="1867">
        <f t="shared" ca="1" si="152"/>
        <v>1</v>
      </c>
      <c r="AM305" s="1867">
        <f t="shared" ca="1" si="105"/>
        <v>1</v>
      </c>
      <c r="AN305" s="1868" t="s">
        <v>1585</v>
      </c>
      <c r="AO305" s="1867">
        <f t="shared" ca="1" si="106"/>
        <v>1</v>
      </c>
    </row>
    <row r="306" spans="1:41" ht="13.8" thickTop="1">
      <c r="A306" s="1960">
        <f>ROW()</f>
        <v>306</v>
      </c>
      <c r="B306" s="2003"/>
      <c r="C306" s="1866"/>
      <c r="D306" s="1948" t="s">
        <v>1831</v>
      </c>
      <c r="E306" s="1904" t="str">
        <f t="shared" ref="E306:K306" si="156">IF(E$30=0,0,IF(E305&lt;0.9,"MS&lt;90%",IF(AND(E$305&gt;=0.9,E$305&lt;=1),"DNMS&gt;=90%, &lt;=100%",IF(E$305&gt;1,"FFBS&gt;100%",0))))</f>
        <v>MS&lt;90%</v>
      </c>
      <c r="F306" s="1904" t="str">
        <f t="shared" si="156"/>
        <v>MS&lt;90%</v>
      </c>
      <c r="G306" s="1904" t="str">
        <f t="shared" si="156"/>
        <v>MS&lt;90%</v>
      </c>
      <c r="H306" s="1904" t="str">
        <f t="shared" si="156"/>
        <v>MS&lt;90%</v>
      </c>
      <c r="I306" s="1904" t="str">
        <f t="shared" si="156"/>
        <v>MS&lt;90%</v>
      </c>
      <c r="J306" s="1904" t="str">
        <f t="shared" si="156"/>
        <v>MS&lt;90%</v>
      </c>
      <c r="K306" s="1904">
        <f t="shared" si="156"/>
        <v>0</v>
      </c>
      <c r="L306" s="1904">
        <f>IF(L$30=0,0,IF(L305&lt;0.9,"MS",IF(AND(L$305&gt;=0.9,L$305&lt;1),"DNMS",IF(L$305&gt;=1,"FFBS",0))))</f>
        <v>0</v>
      </c>
      <c r="M306" s="1904">
        <f>IF(M$30=0,0,IF(M305&lt;0.9,"MS",IF(AND(M$305&gt;=0.9,M$305&lt;1),"DNMS",IF(M$305&gt;=1,"FFBS",0))))</f>
        <v>0</v>
      </c>
      <c r="N306" s="1904">
        <f>IF(N$30=0,0,IF(N305&lt;0.9,"MS",IF(AND(N$305&gt;=0.9,N$305&lt;1),"DNMS",IF(N$305&gt;=1,"FFBS",0))))</f>
        <v>0</v>
      </c>
      <c r="O306" s="1909"/>
      <c r="P306" s="1913"/>
      <c r="Q306" s="1866" t="s">
        <v>1837</v>
      </c>
      <c r="AC306" s="1867">
        <f t="shared" ca="1" si="121"/>
        <v>1</v>
      </c>
      <c r="AD306" s="1867">
        <f t="shared" ca="1" si="121"/>
        <v>1</v>
      </c>
      <c r="AE306" s="1867">
        <f t="shared" ca="1" si="121"/>
        <v>1</v>
      </c>
      <c r="AF306" s="1867">
        <f t="shared" ca="1" si="121"/>
        <v>1</v>
      </c>
      <c r="AG306" s="1867">
        <f t="shared" ca="1" si="121"/>
        <v>1</v>
      </c>
      <c r="AH306" s="1867">
        <f t="shared" ca="1" si="121"/>
        <v>1</v>
      </c>
      <c r="AI306" s="1867">
        <f t="shared" ca="1" si="152"/>
        <v>1</v>
      </c>
      <c r="AJ306" s="1867">
        <f t="shared" ca="1" si="152"/>
        <v>1</v>
      </c>
      <c r="AK306" s="1867">
        <f t="shared" ca="1" si="152"/>
        <v>1</v>
      </c>
      <c r="AL306" s="1867">
        <f t="shared" ca="1" si="152"/>
        <v>1</v>
      </c>
      <c r="AM306" s="1867">
        <f t="shared" ca="1" si="105"/>
        <v>1</v>
      </c>
      <c r="AN306" s="1868" t="s">
        <v>1585</v>
      </c>
      <c r="AO306" s="1867">
        <f t="shared" ca="1" si="106"/>
        <v>1</v>
      </c>
    </row>
    <row r="307" spans="1:41">
      <c r="A307" s="1960">
        <f>ROW()</f>
        <v>307</v>
      </c>
      <c r="B307" s="2014" t="s">
        <v>1532</v>
      </c>
      <c r="C307" s="1866"/>
      <c r="D307" s="2235"/>
      <c r="E307" s="2234"/>
      <c r="F307" s="2234"/>
      <c r="G307" s="2234"/>
      <c r="H307" s="2234"/>
      <c r="I307" s="2234"/>
      <c r="J307" s="2234"/>
      <c r="K307" s="2234"/>
      <c r="L307" s="2234"/>
      <c r="M307" s="2234"/>
      <c r="N307" s="2234"/>
      <c r="O307" s="1909"/>
      <c r="P307" s="1913"/>
      <c r="Q307" s="1866"/>
      <c r="AC307" s="1867">
        <f t="shared" ca="1" si="121"/>
        <v>1</v>
      </c>
      <c r="AD307" s="1867">
        <f t="shared" ca="1" si="121"/>
        <v>1</v>
      </c>
      <c r="AE307" s="1867">
        <f t="shared" ca="1" si="121"/>
        <v>1</v>
      </c>
      <c r="AF307" s="1867">
        <f t="shared" ca="1" si="121"/>
        <v>0</v>
      </c>
      <c r="AG307" s="1867">
        <f t="shared" ca="1" si="121"/>
        <v>0</v>
      </c>
      <c r="AH307" s="1867">
        <f t="shared" ca="1" si="121"/>
        <v>0</v>
      </c>
      <c r="AI307" s="1867">
        <f t="shared" ca="1" si="152"/>
        <v>0</v>
      </c>
      <c r="AJ307" s="1867">
        <f t="shared" ca="1" si="152"/>
        <v>0</v>
      </c>
      <c r="AK307" s="1867">
        <f t="shared" ca="1" si="152"/>
        <v>0</v>
      </c>
      <c r="AL307" s="1867">
        <f t="shared" ca="1" si="152"/>
        <v>0</v>
      </c>
      <c r="AM307" s="1867">
        <f t="shared" ref="AM307:AM341" ca="1" si="157">CELL("protect",O307)</f>
        <v>1</v>
      </c>
      <c r="AN307" s="1868" t="s">
        <v>1585</v>
      </c>
      <c r="AO307" s="1867">
        <f t="shared" ref="AO307:AO341" ca="1" si="158">CELL("protect",P307)</f>
        <v>1</v>
      </c>
    </row>
    <row r="308" spans="1:41">
      <c r="A308" s="1960">
        <f>ROW()</f>
        <v>308</v>
      </c>
      <c r="B308" s="2005"/>
      <c r="C308" s="1866"/>
      <c r="D308" s="2234"/>
      <c r="E308" s="2234"/>
      <c r="F308" s="2234"/>
      <c r="G308" s="2234"/>
      <c r="H308" s="2234"/>
      <c r="I308" s="2234"/>
      <c r="J308" s="2234"/>
      <c r="K308" s="2234"/>
      <c r="L308" s="2234"/>
      <c r="M308" s="2234"/>
      <c r="N308" s="2234"/>
      <c r="O308" s="1909"/>
      <c r="P308" s="1913"/>
      <c r="Q308" s="1866"/>
      <c r="AC308" s="1867">
        <f t="shared" ca="1" si="121"/>
        <v>1</v>
      </c>
      <c r="AD308" s="1867">
        <f t="shared" ca="1" si="121"/>
        <v>1</v>
      </c>
      <c r="AE308" s="1867">
        <f t="shared" ca="1" si="121"/>
        <v>1</v>
      </c>
      <c r="AF308" s="1867">
        <f t="shared" ca="1" si="121"/>
        <v>0</v>
      </c>
      <c r="AG308" s="1867">
        <f t="shared" ca="1" si="121"/>
        <v>0</v>
      </c>
      <c r="AH308" s="1867">
        <f t="shared" ca="1" si="121"/>
        <v>0</v>
      </c>
      <c r="AI308" s="1867">
        <f t="shared" ca="1" si="152"/>
        <v>0</v>
      </c>
      <c r="AJ308" s="1867">
        <f t="shared" ca="1" si="152"/>
        <v>0</v>
      </c>
      <c r="AK308" s="1867">
        <f t="shared" ca="1" si="152"/>
        <v>0</v>
      </c>
      <c r="AL308" s="1867">
        <f t="shared" ca="1" si="152"/>
        <v>0</v>
      </c>
      <c r="AM308" s="1867">
        <f t="shared" ca="1" si="157"/>
        <v>1</v>
      </c>
      <c r="AN308" s="1868" t="s">
        <v>1585</v>
      </c>
      <c r="AO308" s="1867">
        <f t="shared" ca="1" si="158"/>
        <v>1</v>
      </c>
    </row>
    <row r="309" spans="1:41">
      <c r="A309" s="1960">
        <f>ROW()</f>
        <v>309</v>
      </c>
      <c r="B309" s="2005"/>
      <c r="C309" s="1866"/>
      <c r="D309" s="1866"/>
      <c r="E309" s="1904"/>
      <c r="F309" s="1904"/>
      <c r="G309" s="1904"/>
      <c r="H309" s="1904"/>
      <c r="I309" s="1904"/>
      <c r="J309" s="1904"/>
      <c r="K309" s="1904"/>
      <c r="L309" s="1904"/>
      <c r="M309" s="1904"/>
      <c r="N309" s="1904"/>
      <c r="O309" s="1909"/>
      <c r="P309" s="1913"/>
      <c r="Q309" s="1866"/>
      <c r="AC309" s="1867">
        <f t="shared" ca="1" si="121"/>
        <v>1</v>
      </c>
      <c r="AD309" s="1867">
        <f t="shared" ca="1" si="121"/>
        <v>1</v>
      </c>
      <c r="AE309" s="1867">
        <f t="shared" ca="1" si="121"/>
        <v>1</v>
      </c>
      <c r="AF309" s="1867">
        <f t="shared" ca="1" si="121"/>
        <v>1</v>
      </c>
      <c r="AG309" s="1867">
        <f t="shared" ca="1" si="121"/>
        <v>1</v>
      </c>
      <c r="AH309" s="1867">
        <f t="shared" ca="1" si="121"/>
        <v>1</v>
      </c>
      <c r="AI309" s="1867">
        <f t="shared" ca="1" si="152"/>
        <v>1</v>
      </c>
      <c r="AJ309" s="1867">
        <f t="shared" ca="1" si="152"/>
        <v>1</v>
      </c>
      <c r="AK309" s="1867">
        <f t="shared" ca="1" si="152"/>
        <v>1</v>
      </c>
      <c r="AL309" s="1867">
        <f t="shared" ca="1" si="152"/>
        <v>1</v>
      </c>
      <c r="AM309" s="1867">
        <f t="shared" ca="1" si="157"/>
        <v>1</v>
      </c>
      <c r="AN309" s="1868" t="s">
        <v>1585</v>
      </c>
      <c r="AO309" s="1867">
        <f t="shared" ca="1" si="158"/>
        <v>1</v>
      </c>
    </row>
    <row r="310" spans="1:41">
      <c r="A310" s="1960">
        <f>ROW()</f>
        <v>310</v>
      </c>
      <c r="B310" s="2005"/>
      <c r="C310" s="1866"/>
      <c r="D310" s="1866" t="s">
        <v>1838</v>
      </c>
      <c r="E310" s="1924"/>
      <c r="F310" s="1924"/>
      <c r="G310" s="1924"/>
      <c r="H310" s="1924"/>
      <c r="I310" s="1924"/>
      <c r="J310" s="1924"/>
      <c r="K310" s="1938"/>
      <c r="L310" s="1938"/>
      <c r="M310" s="1938"/>
      <c r="N310" s="1938"/>
      <c r="O310" s="1909"/>
      <c r="P310" s="1913"/>
      <c r="Q310" s="1866"/>
      <c r="AC310" s="1867">
        <f t="shared" ca="1" si="121"/>
        <v>1</v>
      </c>
      <c r="AD310" s="1867">
        <f t="shared" ca="1" si="121"/>
        <v>1</v>
      </c>
      <c r="AE310" s="1867">
        <f t="shared" ca="1" si="121"/>
        <v>1</v>
      </c>
      <c r="AF310" s="1867">
        <f t="shared" ca="1" si="121"/>
        <v>1</v>
      </c>
      <c r="AG310" s="1867">
        <f t="shared" ca="1" si="121"/>
        <v>1</v>
      </c>
      <c r="AH310" s="1867">
        <f t="shared" ca="1" si="121"/>
        <v>1</v>
      </c>
      <c r="AI310" s="1867">
        <f t="shared" ca="1" si="152"/>
        <v>1</v>
      </c>
      <c r="AJ310" s="1867">
        <f t="shared" ca="1" si="152"/>
        <v>1</v>
      </c>
      <c r="AK310" s="1867">
        <f t="shared" ca="1" si="152"/>
        <v>1</v>
      </c>
      <c r="AL310" s="1867">
        <f t="shared" ca="1" si="152"/>
        <v>1</v>
      </c>
      <c r="AM310" s="1867">
        <f t="shared" ca="1" si="157"/>
        <v>1</v>
      </c>
      <c r="AN310" s="1868" t="s">
        <v>1585</v>
      </c>
      <c r="AO310" s="1867">
        <f t="shared" ca="1" si="158"/>
        <v>1</v>
      </c>
    </row>
    <row r="311" spans="1:41">
      <c r="A311" s="1960">
        <f>ROW()</f>
        <v>311</v>
      </c>
      <c r="B311" s="1998" t="s">
        <v>1839</v>
      </c>
      <c r="C311" s="1999"/>
      <c r="D311" s="2000" t="s">
        <v>1840</v>
      </c>
      <c r="E311" s="2015"/>
      <c r="F311" s="2015"/>
      <c r="G311" s="2015"/>
      <c r="H311" s="2015"/>
      <c r="I311" s="2015"/>
      <c r="J311" s="2015"/>
      <c r="K311" s="2015"/>
      <c r="L311" s="2015"/>
      <c r="M311" s="2015"/>
      <c r="N311" s="2015"/>
      <c r="O311" s="1909"/>
      <c r="P311" s="1913"/>
      <c r="Q311" s="1866" t="s">
        <v>1756</v>
      </c>
      <c r="AC311" s="1867">
        <f t="shared" ca="1" si="121"/>
        <v>1</v>
      </c>
      <c r="AD311" s="1867">
        <f t="shared" ca="1" si="121"/>
        <v>1</v>
      </c>
      <c r="AE311" s="1867">
        <f t="shared" ca="1" si="121"/>
        <v>1</v>
      </c>
      <c r="AF311" s="1867">
        <f t="shared" ca="1" si="121"/>
        <v>1</v>
      </c>
      <c r="AG311" s="1867">
        <f t="shared" ca="1" si="121"/>
        <v>1</v>
      </c>
      <c r="AH311" s="1867">
        <f t="shared" ca="1" si="121"/>
        <v>1</v>
      </c>
      <c r="AI311" s="1867">
        <f t="shared" ca="1" si="152"/>
        <v>1</v>
      </c>
      <c r="AJ311" s="1867">
        <f t="shared" ca="1" si="152"/>
        <v>1</v>
      </c>
      <c r="AK311" s="1867">
        <f t="shared" ca="1" si="152"/>
        <v>1</v>
      </c>
      <c r="AL311" s="1867">
        <f t="shared" ca="1" si="152"/>
        <v>1</v>
      </c>
      <c r="AM311" s="1867">
        <f t="shared" ca="1" si="157"/>
        <v>1</v>
      </c>
      <c r="AN311" s="1868" t="s">
        <v>1585</v>
      </c>
      <c r="AO311" s="1867">
        <f t="shared" ca="1" si="158"/>
        <v>1</v>
      </c>
    </row>
    <row r="312" spans="1:41">
      <c r="A312" s="1960">
        <f>ROW()</f>
        <v>312</v>
      </c>
      <c r="B312" s="2003">
        <f>ROW(B119)</f>
        <v>119</v>
      </c>
      <c r="C312" s="1866"/>
      <c r="D312" s="1866" t="s">
        <v>1841</v>
      </c>
      <c r="E312" s="1936">
        <f t="shared" ref="E312:N312" si="159">E119</f>
        <v>410359.60179680743</v>
      </c>
      <c r="F312" s="1936">
        <f t="shared" si="159"/>
        <v>1429316.5762974804</v>
      </c>
      <c r="G312" s="1936">
        <f t="shared" si="159"/>
        <v>2464733.569126728</v>
      </c>
      <c r="H312" s="1936">
        <f t="shared" si="159"/>
        <v>4054315.178012534</v>
      </c>
      <c r="I312" s="1936">
        <f t="shared" si="159"/>
        <v>5932226.4585851496</v>
      </c>
      <c r="J312" s="1936">
        <f t="shared" si="159"/>
        <v>7701988.8619042737</v>
      </c>
      <c r="K312" s="1936">
        <f t="shared" si="159"/>
        <v>0</v>
      </c>
      <c r="L312" s="1936">
        <f t="shared" si="159"/>
        <v>0</v>
      </c>
      <c r="M312" s="1936">
        <f t="shared" si="159"/>
        <v>0</v>
      </c>
      <c r="N312" s="1936">
        <f t="shared" si="159"/>
        <v>0</v>
      </c>
      <c r="O312" s="1927"/>
      <c r="P312" s="1913"/>
      <c r="Q312" s="1969" t="s">
        <v>1842</v>
      </c>
      <c r="AC312" s="1867">
        <f t="shared" ca="1" si="121"/>
        <v>1</v>
      </c>
      <c r="AD312" s="1867">
        <f t="shared" ca="1" si="121"/>
        <v>1</v>
      </c>
      <c r="AE312" s="1867">
        <f t="shared" ca="1" si="121"/>
        <v>1</v>
      </c>
      <c r="AF312" s="1867">
        <f t="shared" ca="1" si="121"/>
        <v>1</v>
      </c>
      <c r="AG312" s="1867">
        <f t="shared" ca="1" si="121"/>
        <v>1</v>
      </c>
      <c r="AH312" s="1867">
        <f t="shared" ca="1" si="121"/>
        <v>1</v>
      </c>
      <c r="AI312" s="1867">
        <f t="shared" ca="1" si="152"/>
        <v>1</v>
      </c>
      <c r="AJ312" s="1867">
        <f t="shared" ca="1" si="152"/>
        <v>1</v>
      </c>
      <c r="AK312" s="1867">
        <f t="shared" ca="1" si="152"/>
        <v>1</v>
      </c>
      <c r="AL312" s="1867">
        <f t="shared" ca="1" si="152"/>
        <v>1</v>
      </c>
      <c r="AM312" s="1867">
        <f t="shared" ca="1" si="157"/>
        <v>1</v>
      </c>
      <c r="AN312" s="1868" t="s">
        <v>1585</v>
      </c>
      <c r="AO312" s="1867">
        <f t="shared" ca="1" si="158"/>
        <v>1</v>
      </c>
    </row>
    <row r="313" spans="1:41">
      <c r="A313" s="1960">
        <f>ROW()</f>
        <v>313</v>
      </c>
      <c r="B313" s="2003"/>
      <c r="C313" s="1866"/>
      <c r="D313" s="1948" t="s">
        <v>1843</v>
      </c>
      <c r="E313" s="1936"/>
      <c r="F313" s="1976"/>
      <c r="G313" s="1976">
        <f>IF(G312=0,0,G312-E312)</f>
        <v>2054373.9673299205</v>
      </c>
      <c r="H313" s="1976">
        <f t="shared" ref="H313:N313" si="160">IF(H312=0,0,H312-F312)</f>
        <v>2624998.6017150534</v>
      </c>
      <c r="I313" s="1976">
        <f t="shared" si="160"/>
        <v>3467492.8894584216</v>
      </c>
      <c r="J313" s="1976">
        <f t="shared" si="160"/>
        <v>3647673.6838917397</v>
      </c>
      <c r="K313" s="1976">
        <f t="shared" si="160"/>
        <v>0</v>
      </c>
      <c r="L313" s="1976">
        <f t="shared" si="160"/>
        <v>0</v>
      </c>
      <c r="M313" s="1976">
        <f t="shared" si="160"/>
        <v>0</v>
      </c>
      <c r="N313" s="1976">
        <f t="shared" si="160"/>
        <v>0</v>
      </c>
      <c r="O313" s="1955"/>
      <c r="P313" s="1913"/>
      <c r="Q313" s="2051" t="s">
        <v>1844</v>
      </c>
      <c r="AC313" s="1867">
        <f t="shared" ca="1" si="121"/>
        <v>1</v>
      </c>
      <c r="AD313" s="1867">
        <f t="shared" ca="1" si="121"/>
        <v>1</v>
      </c>
      <c r="AE313" s="1867">
        <f t="shared" ca="1" si="121"/>
        <v>1</v>
      </c>
      <c r="AF313" s="1867">
        <f t="shared" ca="1" si="121"/>
        <v>1</v>
      </c>
      <c r="AG313" s="1867">
        <f t="shared" ca="1" si="121"/>
        <v>1</v>
      </c>
      <c r="AH313" s="1867">
        <f t="shared" ca="1" si="121"/>
        <v>1</v>
      </c>
      <c r="AI313" s="1867">
        <f t="shared" ca="1" si="152"/>
        <v>1</v>
      </c>
      <c r="AJ313" s="1867">
        <f t="shared" ca="1" si="152"/>
        <v>1</v>
      </c>
      <c r="AK313" s="1867">
        <f t="shared" ca="1" si="152"/>
        <v>1</v>
      </c>
      <c r="AL313" s="1867">
        <f t="shared" ca="1" si="152"/>
        <v>1</v>
      </c>
      <c r="AM313" s="1867">
        <f t="shared" ca="1" si="157"/>
        <v>1</v>
      </c>
      <c r="AN313" s="1868" t="s">
        <v>1585</v>
      </c>
      <c r="AO313" s="1867">
        <f t="shared" ca="1" si="158"/>
        <v>1</v>
      </c>
    </row>
    <row r="314" spans="1:41">
      <c r="A314" s="1960">
        <f>ROW()</f>
        <v>314</v>
      </c>
      <c r="B314" s="2005"/>
      <c r="C314" s="1866"/>
      <c r="D314" s="2052" t="s">
        <v>1845</v>
      </c>
      <c r="E314" s="2053"/>
      <c r="F314" s="2054">
        <f t="shared" ref="F314:N314" si="161">IF(F$30=0,0,F312-E312)</f>
        <v>1018956.9745006729</v>
      </c>
      <c r="G314" s="2054">
        <f t="shared" si="161"/>
        <v>1035416.9928292476</v>
      </c>
      <c r="H314" s="2054">
        <f t="shared" si="161"/>
        <v>1589581.6088858061</v>
      </c>
      <c r="I314" s="2054">
        <f t="shared" si="161"/>
        <v>1877911.2805726156</v>
      </c>
      <c r="J314" s="2054">
        <f t="shared" si="161"/>
        <v>1769762.4033191241</v>
      </c>
      <c r="K314" s="2054">
        <f t="shared" si="161"/>
        <v>0</v>
      </c>
      <c r="L314" s="2054">
        <f t="shared" si="161"/>
        <v>0</v>
      </c>
      <c r="M314" s="2054">
        <f t="shared" si="161"/>
        <v>0</v>
      </c>
      <c r="N314" s="2054">
        <f t="shared" si="161"/>
        <v>0</v>
      </c>
      <c r="O314" s="1955"/>
      <c r="P314" s="1913"/>
      <c r="Q314" s="2051" t="s">
        <v>1846</v>
      </c>
      <c r="AC314" s="1867">
        <f t="shared" ca="1" si="121"/>
        <v>1</v>
      </c>
      <c r="AD314" s="1867">
        <f t="shared" ca="1" si="121"/>
        <v>1</v>
      </c>
      <c r="AE314" s="1867">
        <f t="shared" ca="1" si="121"/>
        <v>1</v>
      </c>
      <c r="AF314" s="1867">
        <f t="shared" ca="1" si="121"/>
        <v>1</v>
      </c>
      <c r="AG314" s="1867">
        <f t="shared" ca="1" si="121"/>
        <v>1</v>
      </c>
      <c r="AH314" s="1867">
        <f t="shared" ca="1" si="121"/>
        <v>1</v>
      </c>
      <c r="AI314" s="1867">
        <f t="shared" ca="1" si="152"/>
        <v>1</v>
      </c>
      <c r="AJ314" s="1867">
        <f t="shared" ca="1" si="152"/>
        <v>1</v>
      </c>
      <c r="AK314" s="1867">
        <f t="shared" ca="1" si="152"/>
        <v>1</v>
      </c>
      <c r="AL314" s="1867">
        <f t="shared" ca="1" si="152"/>
        <v>1</v>
      </c>
      <c r="AM314" s="1867">
        <f t="shared" ca="1" si="157"/>
        <v>1</v>
      </c>
      <c r="AN314" s="1868" t="s">
        <v>1585</v>
      </c>
      <c r="AO314" s="1867">
        <f t="shared" ca="1" si="158"/>
        <v>1</v>
      </c>
    </row>
    <row r="315" spans="1:41">
      <c r="A315" s="1960">
        <f>ROW()</f>
        <v>315</v>
      </c>
      <c r="B315" s="2005"/>
      <c r="C315" s="1866"/>
      <c r="D315" s="1948" t="s">
        <v>1847</v>
      </c>
      <c r="E315" s="2055">
        <f t="shared" ref="E315:N315" si="162">IF(E314=0,0,IFERROR(IF(E314-D314&gt;0,"Pos Chg",IF(E314-D314&lt;0,"Neg Chg")),0))</f>
        <v>0</v>
      </c>
      <c r="F315" s="2055" t="str">
        <f t="shared" si="162"/>
        <v>Pos Chg</v>
      </c>
      <c r="G315" s="2055" t="str">
        <f t="shared" si="162"/>
        <v>Pos Chg</v>
      </c>
      <c r="H315" s="2055" t="str">
        <f t="shared" si="162"/>
        <v>Pos Chg</v>
      </c>
      <c r="I315" s="2055" t="str">
        <f t="shared" si="162"/>
        <v>Pos Chg</v>
      </c>
      <c r="J315" s="2055" t="str">
        <f t="shared" si="162"/>
        <v>Neg Chg</v>
      </c>
      <c r="K315" s="2055">
        <f t="shared" si="162"/>
        <v>0</v>
      </c>
      <c r="L315" s="2055">
        <f t="shared" si="162"/>
        <v>0</v>
      </c>
      <c r="M315" s="2055">
        <f t="shared" si="162"/>
        <v>0</v>
      </c>
      <c r="N315" s="2055">
        <f t="shared" si="162"/>
        <v>0</v>
      </c>
      <c r="O315" s="1955"/>
      <c r="P315" s="1913"/>
      <c r="Q315" s="2051" t="s">
        <v>1848</v>
      </c>
      <c r="AC315" s="1867">
        <f t="shared" ca="1" si="121"/>
        <v>1</v>
      </c>
      <c r="AD315" s="1867">
        <f t="shared" ca="1" si="121"/>
        <v>1</v>
      </c>
      <c r="AE315" s="1867">
        <f t="shared" ca="1" si="121"/>
        <v>1</v>
      </c>
      <c r="AF315" s="1867">
        <f t="shared" ca="1" si="121"/>
        <v>1</v>
      </c>
      <c r="AG315" s="1867">
        <f t="shared" ca="1" si="121"/>
        <v>1</v>
      </c>
      <c r="AH315" s="1867">
        <f t="shared" ca="1" si="121"/>
        <v>1</v>
      </c>
      <c r="AI315" s="1867">
        <f t="shared" ca="1" si="152"/>
        <v>1</v>
      </c>
      <c r="AJ315" s="1867">
        <f t="shared" ca="1" si="152"/>
        <v>1</v>
      </c>
      <c r="AK315" s="1867">
        <f t="shared" ca="1" si="152"/>
        <v>1</v>
      </c>
      <c r="AL315" s="1867">
        <f t="shared" ca="1" si="152"/>
        <v>1</v>
      </c>
      <c r="AM315" s="1867">
        <f t="shared" ca="1" si="157"/>
        <v>1</v>
      </c>
      <c r="AN315" s="1868" t="s">
        <v>1585</v>
      </c>
      <c r="AO315" s="1867">
        <f t="shared" ca="1" si="158"/>
        <v>1</v>
      </c>
    </row>
    <row r="316" spans="1:41">
      <c r="A316" s="1960">
        <f>ROW()</f>
        <v>316</v>
      </c>
      <c r="B316" s="2005"/>
      <c r="C316" s="1866"/>
      <c r="D316" s="1948" t="s">
        <v>1831</v>
      </c>
      <c r="E316" s="2012">
        <f>IF(AND(E$313=0,E$314=0),0,IF(AND(E$313=0,E$314&gt;0),"MS",IF(AND(E$313&gt;0,E$314&gt;0),"MS",IF(_xlfn.XOR(E$313&lt;0,E$314&lt;0),"DNMS",IF(AND(E$313&lt;0,E$314&lt;0),"FFBS")))))</f>
        <v>0</v>
      </c>
      <c r="F316" s="2012" t="str">
        <f>IF(AND(F$313=0,F$314=0),0,IF(AND(F$313=0,F$314&gt;0),"MS",IF(AND(F$313&gt;0,F$314&gt;0),"MS",IF(_xlfn.XOR(F$313&lt;0,F$314&lt;0),"DNMS",IF(AND(F$313&lt;0,F$314&lt;0),"FFBS")))))</f>
        <v>MS</v>
      </c>
      <c r="G316" s="2012" t="str">
        <f t="shared" ref="G316:N316" si="163">IF(AND(G$313=0,G$314=0),0,IF(AND(G$313=0,G$314&gt;0),"MS",IF(AND(G$313&gt;0,G$314&gt;0),"MS",IF(_xlfn.XOR(G$313&lt;0,G$314&lt;0),"DNMS",IF(AND(G$313&lt;0,G$314&lt;0),"FFBS")))))</f>
        <v>MS</v>
      </c>
      <c r="H316" s="2012" t="str">
        <f t="shared" si="163"/>
        <v>MS</v>
      </c>
      <c r="I316" s="2012" t="str">
        <f t="shared" si="163"/>
        <v>MS</v>
      </c>
      <c r="J316" s="2012" t="str">
        <f t="shared" si="163"/>
        <v>MS</v>
      </c>
      <c r="K316" s="2012">
        <f t="shared" si="163"/>
        <v>0</v>
      </c>
      <c r="L316" s="2012">
        <f t="shared" si="163"/>
        <v>0</v>
      </c>
      <c r="M316" s="2012">
        <f t="shared" si="163"/>
        <v>0</v>
      </c>
      <c r="N316" s="2012">
        <f t="shared" si="163"/>
        <v>0</v>
      </c>
      <c r="O316" s="1909"/>
      <c r="P316" s="1913"/>
      <c r="Q316" s="1866"/>
      <c r="AC316" s="1867">
        <f t="shared" ca="1" si="121"/>
        <v>1</v>
      </c>
      <c r="AD316" s="1867">
        <f t="shared" ca="1" si="121"/>
        <v>1</v>
      </c>
      <c r="AE316" s="1867">
        <f t="shared" ca="1" si="121"/>
        <v>1</v>
      </c>
      <c r="AF316" s="1867">
        <f t="shared" ca="1" si="121"/>
        <v>1</v>
      </c>
      <c r="AG316" s="1867">
        <f t="shared" ca="1" si="121"/>
        <v>1</v>
      </c>
      <c r="AH316" s="1867">
        <f t="shared" ca="1" si="121"/>
        <v>1</v>
      </c>
      <c r="AI316" s="1867">
        <f t="shared" ca="1" si="152"/>
        <v>1</v>
      </c>
      <c r="AJ316" s="1867">
        <f t="shared" ca="1" si="152"/>
        <v>1</v>
      </c>
      <c r="AK316" s="1867">
        <f t="shared" ca="1" si="152"/>
        <v>1</v>
      </c>
      <c r="AL316" s="1867">
        <f t="shared" ca="1" si="152"/>
        <v>1</v>
      </c>
      <c r="AM316" s="1867">
        <f t="shared" ca="1" si="157"/>
        <v>1</v>
      </c>
      <c r="AN316" s="1868" t="s">
        <v>1585</v>
      </c>
      <c r="AO316" s="1867">
        <f t="shared" ca="1" si="158"/>
        <v>1</v>
      </c>
    </row>
    <row r="317" spans="1:41">
      <c r="A317" s="1960">
        <f>ROW()</f>
        <v>317</v>
      </c>
      <c r="B317" s="2014" t="s">
        <v>1532</v>
      </c>
      <c r="C317" s="1866"/>
      <c r="D317" s="2235"/>
      <c r="E317" s="2234"/>
      <c r="F317" s="2234"/>
      <c r="G317" s="2234"/>
      <c r="H317" s="2234"/>
      <c r="I317" s="2234"/>
      <c r="J317" s="2234"/>
      <c r="K317" s="2234"/>
      <c r="L317" s="2234"/>
      <c r="M317" s="2234"/>
      <c r="N317" s="2234"/>
      <c r="O317" s="1909"/>
      <c r="P317" s="1913"/>
      <c r="Q317" s="1866"/>
      <c r="AC317" s="1867">
        <f t="shared" ca="1" si="121"/>
        <v>1</v>
      </c>
      <c r="AD317" s="1867">
        <f t="shared" ca="1" si="121"/>
        <v>1</v>
      </c>
      <c r="AE317" s="1867">
        <f t="shared" ca="1" si="121"/>
        <v>1</v>
      </c>
      <c r="AF317" s="1867">
        <f t="shared" ca="1" si="121"/>
        <v>0</v>
      </c>
      <c r="AG317" s="1867">
        <f t="shared" ca="1" si="121"/>
        <v>0</v>
      </c>
      <c r="AH317" s="1867">
        <f t="shared" ca="1" si="121"/>
        <v>0</v>
      </c>
      <c r="AI317" s="1867">
        <f t="shared" ca="1" si="152"/>
        <v>0</v>
      </c>
      <c r="AJ317" s="1867">
        <f t="shared" ca="1" si="152"/>
        <v>0</v>
      </c>
      <c r="AK317" s="1867">
        <f t="shared" ca="1" si="152"/>
        <v>0</v>
      </c>
      <c r="AL317" s="1867">
        <f t="shared" ca="1" si="152"/>
        <v>0</v>
      </c>
      <c r="AM317" s="1867">
        <f t="shared" ca="1" si="157"/>
        <v>1</v>
      </c>
      <c r="AN317" s="1868" t="s">
        <v>1585</v>
      </c>
      <c r="AO317" s="1867">
        <f t="shared" ca="1" si="158"/>
        <v>1</v>
      </c>
    </row>
    <row r="318" spans="1:41">
      <c r="A318" s="1960">
        <f>ROW()</f>
        <v>318</v>
      </c>
      <c r="B318" s="2005"/>
      <c r="C318" s="1866"/>
      <c r="D318" s="2234"/>
      <c r="E318" s="2234"/>
      <c r="F318" s="2234"/>
      <c r="G318" s="2234"/>
      <c r="H318" s="2234"/>
      <c r="I318" s="2234"/>
      <c r="J318" s="2234"/>
      <c r="K318" s="2234"/>
      <c r="L318" s="2234"/>
      <c r="M318" s="2234"/>
      <c r="N318" s="2234"/>
      <c r="O318" s="1909"/>
      <c r="P318" s="1913"/>
      <c r="Q318" s="1866"/>
      <c r="AC318" s="1867">
        <f t="shared" ca="1" si="121"/>
        <v>1</v>
      </c>
      <c r="AD318" s="1867">
        <f t="shared" ca="1" si="121"/>
        <v>1</v>
      </c>
      <c r="AE318" s="1867">
        <f t="shared" ca="1" si="121"/>
        <v>1</v>
      </c>
      <c r="AF318" s="1867">
        <f t="shared" ca="1" si="121"/>
        <v>0</v>
      </c>
      <c r="AG318" s="1867">
        <f t="shared" ca="1" si="121"/>
        <v>0</v>
      </c>
      <c r="AH318" s="1867">
        <f t="shared" ca="1" si="121"/>
        <v>0</v>
      </c>
      <c r="AI318" s="1867">
        <f t="shared" ca="1" si="152"/>
        <v>0</v>
      </c>
      <c r="AJ318" s="1867">
        <f t="shared" ca="1" si="152"/>
        <v>0</v>
      </c>
      <c r="AK318" s="1867">
        <f t="shared" ca="1" si="152"/>
        <v>0</v>
      </c>
      <c r="AL318" s="1867">
        <f t="shared" ca="1" si="152"/>
        <v>0</v>
      </c>
      <c r="AM318" s="1867">
        <f t="shared" ca="1" si="157"/>
        <v>1</v>
      </c>
      <c r="AN318" s="1868" t="s">
        <v>1585</v>
      </c>
      <c r="AO318" s="1867">
        <f t="shared" ca="1" si="158"/>
        <v>1</v>
      </c>
    </row>
    <row r="319" spans="1:41">
      <c r="A319" s="1960">
        <f>ROW()</f>
        <v>319</v>
      </c>
      <c r="B319" s="2005"/>
      <c r="C319" s="1866"/>
      <c r="D319" s="1866"/>
      <c r="E319" s="1904"/>
      <c r="F319" s="1904"/>
      <c r="G319" s="1904"/>
      <c r="H319" s="1904"/>
      <c r="I319" s="1904"/>
      <c r="J319" s="1904"/>
      <c r="K319" s="1904"/>
      <c r="L319" s="1904"/>
      <c r="M319" s="1904"/>
      <c r="N319" s="1904"/>
      <c r="O319" s="1909"/>
      <c r="P319" s="1913"/>
      <c r="Q319" s="1866"/>
      <c r="AC319" s="1867">
        <f t="shared" ca="1" si="121"/>
        <v>1</v>
      </c>
      <c r="AD319" s="1867">
        <f t="shared" ca="1" si="121"/>
        <v>1</v>
      </c>
      <c r="AE319" s="1867">
        <f t="shared" ca="1" si="121"/>
        <v>1</v>
      </c>
      <c r="AF319" s="1867">
        <f t="shared" ca="1" si="121"/>
        <v>1</v>
      </c>
      <c r="AG319" s="1867">
        <f t="shared" ca="1" si="121"/>
        <v>1</v>
      </c>
      <c r="AH319" s="1867">
        <f t="shared" ca="1" si="121"/>
        <v>1</v>
      </c>
      <c r="AI319" s="1867">
        <f t="shared" ca="1" si="152"/>
        <v>1</v>
      </c>
      <c r="AJ319" s="1867">
        <f t="shared" ca="1" si="152"/>
        <v>1</v>
      </c>
      <c r="AK319" s="1867">
        <f t="shared" ca="1" si="152"/>
        <v>1</v>
      </c>
      <c r="AL319" s="1867">
        <f t="shared" ca="1" si="152"/>
        <v>1</v>
      </c>
      <c r="AM319" s="1867">
        <f t="shared" ca="1" si="157"/>
        <v>1</v>
      </c>
      <c r="AN319" s="1868" t="s">
        <v>1585</v>
      </c>
      <c r="AO319" s="1867">
        <f t="shared" ca="1" si="158"/>
        <v>1</v>
      </c>
    </row>
    <row r="320" spans="1:41">
      <c r="A320" s="1960">
        <f>ROW()</f>
        <v>320</v>
      </c>
      <c r="B320" s="2005"/>
      <c r="C320" s="1866"/>
      <c r="D320" s="1866" t="s">
        <v>1849</v>
      </c>
      <c r="E320" s="1869"/>
      <c r="F320" s="1869"/>
      <c r="G320" s="1866"/>
      <c r="H320" s="1866"/>
      <c r="I320" s="1866"/>
      <c r="J320" s="1866"/>
      <c r="K320" s="1866"/>
      <c r="L320" s="1866"/>
      <c r="M320" s="1866"/>
      <c r="N320" s="1866"/>
      <c r="O320" s="1909"/>
      <c r="P320" s="1913"/>
      <c r="Q320" s="1866"/>
      <c r="AC320" s="1867">
        <f t="shared" ca="1" si="121"/>
        <v>1</v>
      </c>
      <c r="AD320" s="1867">
        <f t="shared" ca="1" si="121"/>
        <v>1</v>
      </c>
      <c r="AE320" s="1867">
        <f t="shared" ca="1" si="121"/>
        <v>1</v>
      </c>
      <c r="AF320" s="1867">
        <f t="shared" ca="1" si="121"/>
        <v>1</v>
      </c>
      <c r="AG320" s="1867">
        <f t="shared" ca="1" si="121"/>
        <v>1</v>
      </c>
      <c r="AH320" s="1867">
        <f t="shared" ca="1" si="121"/>
        <v>1</v>
      </c>
      <c r="AI320" s="1867">
        <f t="shared" ca="1" si="152"/>
        <v>1</v>
      </c>
      <c r="AJ320" s="1867">
        <f t="shared" ca="1" si="152"/>
        <v>1</v>
      </c>
      <c r="AK320" s="1867">
        <f t="shared" ca="1" si="152"/>
        <v>1</v>
      </c>
      <c r="AL320" s="1867">
        <f t="shared" ca="1" si="152"/>
        <v>1</v>
      </c>
      <c r="AM320" s="1867">
        <f t="shared" ca="1" si="157"/>
        <v>1</v>
      </c>
      <c r="AN320" s="1868" t="s">
        <v>1585</v>
      </c>
      <c r="AO320" s="1867">
        <f t="shared" ca="1" si="158"/>
        <v>1</v>
      </c>
    </row>
    <row r="321" spans="1:41">
      <c r="A321" s="1960">
        <f>ROW()</f>
        <v>321</v>
      </c>
      <c r="B321" s="1998" t="s">
        <v>1850</v>
      </c>
      <c r="C321" s="1999"/>
      <c r="D321" s="2000" t="s">
        <v>1851</v>
      </c>
      <c r="E321" s="2015"/>
      <c r="F321" s="2015"/>
      <c r="G321" s="2015"/>
      <c r="H321" s="2015"/>
      <c r="I321" s="2015"/>
      <c r="J321" s="2015"/>
      <c r="K321" s="2015"/>
      <c r="L321" s="2015"/>
      <c r="M321" s="2015"/>
      <c r="N321" s="2015"/>
      <c r="O321" s="1909"/>
      <c r="P321" s="1913"/>
      <c r="Q321" s="1866" t="s">
        <v>1756</v>
      </c>
      <c r="AC321" s="1867">
        <f t="shared" ca="1" si="121"/>
        <v>1</v>
      </c>
      <c r="AD321" s="1867">
        <f t="shared" ca="1" si="121"/>
        <v>1</v>
      </c>
      <c r="AE321" s="1867">
        <f t="shared" ca="1" si="121"/>
        <v>1</v>
      </c>
      <c r="AF321" s="1867">
        <f t="shared" ca="1" si="121"/>
        <v>1</v>
      </c>
      <c r="AG321" s="1867">
        <f t="shared" ca="1" si="121"/>
        <v>1</v>
      </c>
      <c r="AH321" s="1867">
        <f t="shared" ca="1" si="121"/>
        <v>1</v>
      </c>
      <c r="AI321" s="1867">
        <f t="shared" ca="1" si="152"/>
        <v>1</v>
      </c>
      <c r="AJ321" s="1867">
        <f t="shared" ca="1" si="152"/>
        <v>1</v>
      </c>
      <c r="AK321" s="1867">
        <f t="shared" ca="1" si="152"/>
        <v>1</v>
      </c>
      <c r="AL321" s="1867">
        <f t="shared" ca="1" si="152"/>
        <v>1</v>
      </c>
      <c r="AM321" s="1867">
        <f t="shared" ca="1" si="157"/>
        <v>1</v>
      </c>
      <c r="AN321" s="1868" t="s">
        <v>1585</v>
      </c>
      <c r="AO321" s="1867">
        <f t="shared" ca="1" si="158"/>
        <v>1</v>
      </c>
    </row>
    <row r="322" spans="1:41">
      <c r="A322" s="1960">
        <f>ROW()</f>
        <v>322</v>
      </c>
      <c r="B322" s="2003">
        <f>ROW(B85)</f>
        <v>85</v>
      </c>
      <c r="C322" s="1866"/>
      <c r="D322" s="1866" t="s">
        <v>1852</v>
      </c>
      <c r="E322" s="1936">
        <f t="shared" ref="E322:J322" si="164">E92</f>
        <v>458092.15679680742</v>
      </c>
      <c r="F322" s="1936">
        <f t="shared" si="164"/>
        <v>1085361.0261551179</v>
      </c>
      <c r="G322" s="1936">
        <f t="shared" si="164"/>
        <v>1113132.7448145812</v>
      </c>
      <c r="H322" s="1936">
        <f t="shared" si="164"/>
        <v>1678609.0612020288</v>
      </c>
      <c r="I322" s="1936">
        <f t="shared" si="164"/>
        <v>1970866.2707197256</v>
      </c>
      <c r="J322" s="1936">
        <f t="shared" si="164"/>
        <v>1865545.3185489587</v>
      </c>
      <c r="K322" s="1936">
        <f>K85</f>
        <v>0</v>
      </c>
      <c r="L322" s="1936">
        <f>L85</f>
        <v>0</v>
      </c>
      <c r="M322" s="1936">
        <f>M85</f>
        <v>0</v>
      </c>
      <c r="N322" s="1936">
        <f>N85</f>
        <v>0</v>
      </c>
      <c r="O322" s="1927"/>
      <c r="P322" s="1953"/>
      <c r="Q322" s="1866" t="s">
        <v>1853</v>
      </c>
      <c r="AC322" s="1867">
        <f t="shared" ref="AC322:AH341" ca="1" si="165">CELL("protect",A322)</f>
        <v>1</v>
      </c>
      <c r="AD322" s="1867">
        <f t="shared" ca="1" si="165"/>
        <v>1</v>
      </c>
      <c r="AE322" s="1867">
        <f t="shared" ca="1" si="165"/>
        <v>1</v>
      </c>
      <c r="AF322" s="1867">
        <f t="shared" ca="1" si="165"/>
        <v>1</v>
      </c>
      <c r="AG322" s="1867">
        <f t="shared" ca="1" si="165"/>
        <v>1</v>
      </c>
      <c r="AH322" s="1867">
        <f t="shared" ca="1" si="165"/>
        <v>1</v>
      </c>
      <c r="AI322" s="1867">
        <f t="shared" ca="1" si="152"/>
        <v>1</v>
      </c>
      <c r="AJ322" s="1867">
        <f t="shared" ca="1" si="152"/>
        <v>1</v>
      </c>
      <c r="AK322" s="1867">
        <f t="shared" ca="1" si="152"/>
        <v>1</v>
      </c>
      <c r="AL322" s="1867">
        <f t="shared" ca="1" si="152"/>
        <v>1</v>
      </c>
      <c r="AM322" s="1867">
        <f t="shared" ca="1" si="157"/>
        <v>1</v>
      </c>
      <c r="AN322" s="1868" t="s">
        <v>1585</v>
      </c>
      <c r="AO322" s="1867">
        <f t="shared" ca="1" si="158"/>
        <v>1</v>
      </c>
    </row>
    <row r="323" spans="1:41">
      <c r="A323" s="1960">
        <f>ROW()</f>
        <v>323</v>
      </c>
      <c r="B323" s="2003">
        <f>ROW(B81)</f>
        <v>81</v>
      </c>
      <c r="C323" s="1866"/>
      <c r="D323" s="1866" t="s">
        <v>1854</v>
      </c>
      <c r="E323" s="1904">
        <f t="shared" ref="E323:N323" si="166">E81</f>
        <v>0</v>
      </c>
      <c r="F323" s="1904">
        <f t="shared" si="166"/>
        <v>0</v>
      </c>
      <c r="G323" s="1904">
        <f t="shared" si="166"/>
        <v>0</v>
      </c>
      <c r="H323" s="1904">
        <f t="shared" si="166"/>
        <v>0</v>
      </c>
      <c r="I323" s="1904">
        <f t="shared" si="166"/>
        <v>0</v>
      </c>
      <c r="J323" s="1904">
        <f t="shared" si="166"/>
        <v>0</v>
      </c>
      <c r="K323" s="1904">
        <f t="shared" si="166"/>
        <v>0</v>
      </c>
      <c r="L323" s="1904">
        <f t="shared" si="166"/>
        <v>0</v>
      </c>
      <c r="M323" s="1904">
        <f t="shared" si="166"/>
        <v>0</v>
      </c>
      <c r="N323" s="1904">
        <f t="shared" si="166"/>
        <v>0</v>
      </c>
      <c r="O323" s="2004"/>
      <c r="P323" s="1913"/>
      <c r="Q323" s="1866"/>
      <c r="AC323" s="1867">
        <f t="shared" ca="1" si="165"/>
        <v>1</v>
      </c>
      <c r="AD323" s="1867">
        <f t="shared" ca="1" si="165"/>
        <v>1</v>
      </c>
      <c r="AE323" s="1867">
        <f t="shared" ca="1" si="165"/>
        <v>1</v>
      </c>
      <c r="AF323" s="1867">
        <f t="shared" ca="1" si="165"/>
        <v>1</v>
      </c>
      <c r="AG323" s="1867">
        <f t="shared" ca="1" si="165"/>
        <v>1</v>
      </c>
      <c r="AH323" s="1867">
        <f t="shared" ca="1" si="165"/>
        <v>1</v>
      </c>
      <c r="AI323" s="1867">
        <f t="shared" ca="1" si="152"/>
        <v>1</v>
      </c>
      <c r="AJ323" s="1867">
        <f t="shared" ca="1" si="152"/>
        <v>1</v>
      </c>
      <c r="AK323" s="1867">
        <f t="shared" ca="1" si="152"/>
        <v>1</v>
      </c>
      <c r="AL323" s="1867">
        <f t="shared" ca="1" si="152"/>
        <v>1</v>
      </c>
      <c r="AM323" s="1867">
        <f t="shared" ca="1" si="157"/>
        <v>1</v>
      </c>
      <c r="AN323" s="1868" t="s">
        <v>1585</v>
      </c>
      <c r="AO323" s="1867">
        <f t="shared" ca="1" si="158"/>
        <v>1</v>
      </c>
    </row>
    <row r="324" spans="1:41">
      <c r="A324" s="1960">
        <f>ROW()</f>
        <v>324</v>
      </c>
      <c r="B324" s="2003">
        <f>ROW(B77)</f>
        <v>77</v>
      </c>
      <c r="C324" s="1866"/>
      <c r="D324" s="1866" t="s">
        <v>1629</v>
      </c>
      <c r="E324" s="1904">
        <f t="shared" ref="E324:N324" si="167">+E77</f>
        <v>0</v>
      </c>
      <c r="F324" s="1904">
        <f t="shared" si="167"/>
        <v>0</v>
      </c>
      <c r="G324" s="1904">
        <f t="shared" si="167"/>
        <v>0</v>
      </c>
      <c r="H324" s="1904">
        <f t="shared" si="167"/>
        <v>0</v>
      </c>
      <c r="I324" s="1904">
        <f t="shared" si="167"/>
        <v>0</v>
      </c>
      <c r="J324" s="1904">
        <f t="shared" si="167"/>
        <v>0</v>
      </c>
      <c r="K324" s="1904">
        <f t="shared" si="167"/>
        <v>0</v>
      </c>
      <c r="L324" s="1904">
        <f t="shared" si="167"/>
        <v>0</v>
      </c>
      <c r="M324" s="1904">
        <f t="shared" si="167"/>
        <v>0</v>
      </c>
      <c r="N324" s="1904">
        <f t="shared" si="167"/>
        <v>0</v>
      </c>
      <c r="O324" s="2004"/>
      <c r="P324" s="1913"/>
      <c r="Q324" s="1866"/>
      <c r="AC324" s="1867">
        <f t="shared" ca="1" si="165"/>
        <v>1</v>
      </c>
      <c r="AD324" s="1867">
        <f t="shared" ca="1" si="165"/>
        <v>1</v>
      </c>
      <c r="AE324" s="1867">
        <f t="shared" ca="1" si="165"/>
        <v>1</v>
      </c>
      <c r="AF324" s="1867">
        <f t="shared" ca="1" si="165"/>
        <v>1</v>
      </c>
      <c r="AG324" s="1867">
        <f t="shared" ca="1" si="165"/>
        <v>1</v>
      </c>
      <c r="AH324" s="1867">
        <f t="shared" ca="1" si="165"/>
        <v>1</v>
      </c>
      <c r="AI324" s="1867">
        <f t="shared" ca="1" si="152"/>
        <v>1</v>
      </c>
      <c r="AJ324" s="1867">
        <f t="shared" ca="1" si="152"/>
        <v>1</v>
      </c>
      <c r="AK324" s="1867">
        <f t="shared" ca="1" si="152"/>
        <v>1</v>
      </c>
      <c r="AL324" s="1867">
        <f t="shared" ca="1" si="152"/>
        <v>1</v>
      </c>
      <c r="AM324" s="1867">
        <f t="shared" ca="1" si="157"/>
        <v>1</v>
      </c>
      <c r="AN324" s="1868" t="s">
        <v>1585</v>
      </c>
      <c r="AO324" s="1867">
        <f t="shared" ca="1" si="158"/>
        <v>1</v>
      </c>
    </row>
    <row r="325" spans="1:41">
      <c r="A325" s="1960">
        <f>ROW()</f>
        <v>325</v>
      </c>
      <c r="B325" s="2003">
        <f>ROW(B79)</f>
        <v>79</v>
      </c>
      <c r="C325" s="1866"/>
      <c r="D325" s="1866" t="s">
        <v>1855</v>
      </c>
      <c r="E325" s="1904">
        <f t="shared" ref="E325:N326" si="168">+E79</f>
        <v>0</v>
      </c>
      <c r="F325" s="1904">
        <f t="shared" si="168"/>
        <v>0</v>
      </c>
      <c r="G325" s="1904">
        <f t="shared" si="168"/>
        <v>0</v>
      </c>
      <c r="H325" s="1904">
        <f t="shared" si="168"/>
        <v>0</v>
      </c>
      <c r="I325" s="1904">
        <f t="shared" si="168"/>
        <v>0</v>
      </c>
      <c r="J325" s="1904">
        <f t="shared" si="168"/>
        <v>0</v>
      </c>
      <c r="K325" s="1904">
        <f t="shared" si="168"/>
        <v>0</v>
      </c>
      <c r="L325" s="1904">
        <f t="shared" si="168"/>
        <v>0</v>
      </c>
      <c r="M325" s="1904">
        <f t="shared" si="168"/>
        <v>0</v>
      </c>
      <c r="N325" s="1904">
        <f t="shared" si="168"/>
        <v>0</v>
      </c>
      <c r="O325" s="2004"/>
      <c r="P325" s="1913"/>
      <c r="Q325" s="1866"/>
      <c r="AC325" s="1867">
        <f t="shared" ca="1" si="165"/>
        <v>1</v>
      </c>
      <c r="AD325" s="1867">
        <f t="shared" ca="1" si="165"/>
        <v>1</v>
      </c>
      <c r="AE325" s="1867">
        <f t="shared" ca="1" si="165"/>
        <v>1</v>
      </c>
      <c r="AF325" s="1867">
        <f t="shared" ca="1" si="165"/>
        <v>1</v>
      </c>
      <c r="AG325" s="1867">
        <f t="shared" ca="1" si="165"/>
        <v>1</v>
      </c>
      <c r="AH325" s="1867">
        <f t="shared" ca="1" si="165"/>
        <v>1</v>
      </c>
      <c r="AI325" s="1867">
        <f t="shared" ca="1" si="152"/>
        <v>1</v>
      </c>
      <c r="AJ325" s="1867">
        <f t="shared" ca="1" si="152"/>
        <v>1</v>
      </c>
      <c r="AK325" s="1867">
        <f t="shared" ca="1" si="152"/>
        <v>1</v>
      </c>
      <c r="AL325" s="1867">
        <f t="shared" ca="1" si="152"/>
        <v>1</v>
      </c>
      <c r="AM325" s="1867">
        <f t="shared" ca="1" si="157"/>
        <v>1</v>
      </c>
      <c r="AN325" s="1868" t="s">
        <v>1585</v>
      </c>
      <c r="AO325" s="1867">
        <f t="shared" ca="1" si="158"/>
        <v>1</v>
      </c>
    </row>
    <row r="326" spans="1:41">
      <c r="A326" s="1960">
        <f>ROW()</f>
        <v>326</v>
      </c>
      <c r="B326" s="2003">
        <f>ROW(B80)</f>
        <v>80</v>
      </c>
      <c r="C326" s="1866"/>
      <c r="D326" s="1866" t="s">
        <v>1636</v>
      </c>
      <c r="E326" s="1904">
        <f t="shared" si="168"/>
        <v>0</v>
      </c>
      <c r="F326" s="1904">
        <f t="shared" si="168"/>
        <v>0</v>
      </c>
      <c r="G326" s="1904">
        <f t="shared" si="168"/>
        <v>0</v>
      </c>
      <c r="H326" s="1904">
        <f t="shared" si="168"/>
        <v>0</v>
      </c>
      <c r="I326" s="1904">
        <f t="shared" si="168"/>
        <v>0</v>
      </c>
      <c r="J326" s="1904">
        <f t="shared" si="168"/>
        <v>0</v>
      </c>
      <c r="K326" s="1904">
        <f t="shared" si="168"/>
        <v>0</v>
      </c>
      <c r="L326" s="1904">
        <f t="shared" si="168"/>
        <v>0</v>
      </c>
      <c r="M326" s="1904">
        <f t="shared" si="168"/>
        <v>0</v>
      </c>
      <c r="N326" s="1904">
        <f t="shared" si="168"/>
        <v>0</v>
      </c>
      <c r="O326" s="2004"/>
      <c r="P326" s="1913"/>
      <c r="Q326" s="1866"/>
      <c r="AC326" s="1867">
        <f t="shared" ca="1" si="165"/>
        <v>1</v>
      </c>
      <c r="AD326" s="1867">
        <f t="shared" ca="1" si="165"/>
        <v>1</v>
      </c>
      <c r="AE326" s="1867">
        <f t="shared" ca="1" si="165"/>
        <v>1</v>
      </c>
      <c r="AF326" s="1867">
        <f t="shared" ca="1" si="165"/>
        <v>1</v>
      </c>
      <c r="AG326" s="1867">
        <f t="shared" ca="1" si="165"/>
        <v>1</v>
      </c>
      <c r="AH326" s="1867">
        <f t="shared" ca="1" si="165"/>
        <v>1</v>
      </c>
      <c r="AI326" s="1867">
        <f t="shared" ca="1" si="152"/>
        <v>1</v>
      </c>
      <c r="AJ326" s="1867">
        <f t="shared" ca="1" si="152"/>
        <v>1</v>
      </c>
      <c r="AK326" s="1867">
        <f t="shared" ca="1" si="152"/>
        <v>1</v>
      </c>
      <c r="AL326" s="1867">
        <f t="shared" ca="1" si="152"/>
        <v>1</v>
      </c>
      <c r="AM326" s="1867">
        <f t="shared" ca="1" si="157"/>
        <v>1</v>
      </c>
      <c r="AN326" s="1868" t="s">
        <v>1585</v>
      </c>
      <c r="AO326" s="1867">
        <f t="shared" ca="1" si="158"/>
        <v>1</v>
      </c>
    </row>
    <row r="327" spans="1:41">
      <c r="A327" s="1960">
        <f>ROW()</f>
        <v>327</v>
      </c>
      <c r="B327" s="2003">
        <f>ROW(B82)</f>
        <v>82</v>
      </c>
      <c r="C327" s="1866"/>
      <c r="D327" s="1866" t="s">
        <v>1856</v>
      </c>
      <c r="E327" s="1904">
        <f t="shared" ref="E327:N327" si="169">+E82</f>
        <v>0</v>
      </c>
      <c r="F327" s="1904">
        <f t="shared" si="169"/>
        <v>0</v>
      </c>
      <c r="G327" s="1904">
        <f t="shared" si="169"/>
        <v>0</v>
      </c>
      <c r="H327" s="1904">
        <f t="shared" si="169"/>
        <v>0</v>
      </c>
      <c r="I327" s="1904">
        <f t="shared" si="169"/>
        <v>0</v>
      </c>
      <c r="J327" s="1904">
        <f t="shared" si="169"/>
        <v>0</v>
      </c>
      <c r="K327" s="1904">
        <f t="shared" si="169"/>
        <v>0</v>
      </c>
      <c r="L327" s="1904">
        <f t="shared" si="169"/>
        <v>0</v>
      </c>
      <c r="M327" s="1904">
        <f t="shared" si="169"/>
        <v>0</v>
      </c>
      <c r="N327" s="1904">
        <f t="shared" si="169"/>
        <v>0</v>
      </c>
      <c r="O327" s="2004"/>
      <c r="P327" s="1913"/>
      <c r="Q327" s="1866"/>
      <c r="AC327" s="1867">
        <f t="shared" ca="1" si="165"/>
        <v>1</v>
      </c>
      <c r="AD327" s="1867">
        <f t="shared" ca="1" si="165"/>
        <v>1</v>
      </c>
      <c r="AE327" s="1867">
        <f t="shared" ca="1" si="165"/>
        <v>1</v>
      </c>
      <c r="AF327" s="1867">
        <f t="shared" ca="1" si="165"/>
        <v>1</v>
      </c>
      <c r="AG327" s="1867">
        <f t="shared" ca="1" si="165"/>
        <v>1</v>
      </c>
      <c r="AH327" s="1867">
        <f t="shared" ca="1" si="165"/>
        <v>1</v>
      </c>
      <c r="AI327" s="1867">
        <f t="shared" ca="1" si="152"/>
        <v>1</v>
      </c>
      <c r="AJ327" s="1867">
        <f t="shared" ca="1" si="152"/>
        <v>1</v>
      </c>
      <c r="AK327" s="1867">
        <f t="shared" ca="1" si="152"/>
        <v>1</v>
      </c>
      <c r="AL327" s="1867">
        <f t="shared" ca="1" si="152"/>
        <v>1</v>
      </c>
      <c r="AM327" s="1867">
        <f t="shared" ca="1" si="157"/>
        <v>1</v>
      </c>
      <c r="AN327" s="1868" t="s">
        <v>1585</v>
      </c>
      <c r="AO327" s="1867">
        <f t="shared" ca="1" si="158"/>
        <v>1</v>
      </c>
    </row>
    <row r="328" spans="1:41">
      <c r="A328" s="1960">
        <f>ROW()</f>
        <v>328</v>
      </c>
      <c r="B328" s="2056"/>
      <c r="C328" s="1866"/>
      <c r="D328" s="1866" t="s">
        <v>1857</v>
      </c>
      <c r="E328" s="1934">
        <f t="shared" ref="E328:J328" si="170">SUM(E322:E327)</f>
        <v>458092.15679680742</v>
      </c>
      <c r="F328" s="1934">
        <f t="shared" si="170"/>
        <v>1085361.0261551179</v>
      </c>
      <c r="G328" s="1934">
        <f t="shared" si="170"/>
        <v>1113132.7448145812</v>
      </c>
      <c r="H328" s="1934">
        <f t="shared" si="170"/>
        <v>1678609.0612020288</v>
      </c>
      <c r="I328" s="1934">
        <f t="shared" si="170"/>
        <v>1970866.2707197256</v>
      </c>
      <c r="J328" s="1934">
        <f t="shared" si="170"/>
        <v>1865545.3185489587</v>
      </c>
      <c r="K328" s="1934">
        <f t="shared" ref="K328:N328" si="171">SUM(K322:K327)</f>
        <v>0</v>
      </c>
      <c r="L328" s="1934">
        <f t="shared" si="171"/>
        <v>0</v>
      </c>
      <c r="M328" s="1934">
        <f t="shared" si="171"/>
        <v>0</v>
      </c>
      <c r="N328" s="1934">
        <f t="shared" si="171"/>
        <v>0</v>
      </c>
      <c r="O328" s="1927"/>
      <c r="P328" s="1953"/>
      <c r="Q328" s="1866" t="s">
        <v>1858</v>
      </c>
      <c r="AC328" s="1867">
        <f t="shared" ca="1" si="165"/>
        <v>1</v>
      </c>
      <c r="AD328" s="1867">
        <f t="shared" ca="1" si="165"/>
        <v>1</v>
      </c>
      <c r="AE328" s="1867">
        <f t="shared" ca="1" si="165"/>
        <v>1</v>
      </c>
      <c r="AF328" s="1867">
        <f t="shared" ca="1" si="165"/>
        <v>1</v>
      </c>
      <c r="AG328" s="1867">
        <f t="shared" ca="1" si="165"/>
        <v>1</v>
      </c>
      <c r="AH328" s="1867">
        <f t="shared" ca="1" si="165"/>
        <v>1</v>
      </c>
      <c r="AI328" s="1867">
        <f t="shared" ca="1" si="152"/>
        <v>1</v>
      </c>
      <c r="AJ328" s="1867">
        <f t="shared" ca="1" si="152"/>
        <v>1</v>
      </c>
      <c r="AK328" s="1867">
        <f t="shared" ca="1" si="152"/>
        <v>1</v>
      </c>
      <c r="AL328" s="1867">
        <f t="shared" ca="1" si="152"/>
        <v>1</v>
      </c>
      <c r="AM328" s="1867">
        <f t="shared" ca="1" si="157"/>
        <v>1</v>
      </c>
      <c r="AN328" s="1868" t="s">
        <v>1585</v>
      </c>
      <c r="AO328" s="1867">
        <f t="shared" ca="1" si="158"/>
        <v>1</v>
      </c>
    </row>
    <row r="329" spans="1:41">
      <c r="A329" s="1960">
        <f>ROW()</f>
        <v>329</v>
      </c>
      <c r="B329" s="2056"/>
      <c r="C329" s="1866"/>
      <c r="D329" s="1866"/>
      <c r="E329" s="1904"/>
      <c r="F329" s="1904"/>
      <c r="G329" s="1904"/>
      <c r="H329" s="1904"/>
      <c r="I329" s="1904"/>
      <c r="J329" s="1904"/>
      <c r="K329" s="1904"/>
      <c r="L329" s="1904"/>
      <c r="M329" s="1904"/>
      <c r="N329" s="1904"/>
      <c r="O329" s="2004"/>
      <c r="P329" s="1913"/>
      <c r="Q329" s="1866"/>
      <c r="AC329" s="1867">
        <f t="shared" ca="1" si="165"/>
        <v>1</v>
      </c>
      <c r="AD329" s="1867">
        <f t="shared" ca="1" si="165"/>
        <v>1</v>
      </c>
      <c r="AE329" s="1867">
        <f t="shared" ca="1" si="165"/>
        <v>1</v>
      </c>
      <c r="AF329" s="1867">
        <f t="shared" ca="1" si="165"/>
        <v>1</v>
      </c>
      <c r="AG329" s="1867">
        <f t="shared" ca="1" si="165"/>
        <v>1</v>
      </c>
      <c r="AH329" s="1867">
        <f t="shared" ca="1" si="165"/>
        <v>1</v>
      </c>
      <c r="AI329" s="1867">
        <f t="shared" ca="1" si="152"/>
        <v>1</v>
      </c>
      <c r="AJ329" s="1867">
        <f t="shared" ca="1" si="152"/>
        <v>1</v>
      </c>
      <c r="AK329" s="1867">
        <f t="shared" ca="1" si="152"/>
        <v>1</v>
      </c>
      <c r="AL329" s="1867">
        <f t="shared" ca="1" si="152"/>
        <v>1</v>
      </c>
      <c r="AM329" s="1867">
        <f t="shared" ca="1" si="157"/>
        <v>1</v>
      </c>
      <c r="AN329" s="1868" t="s">
        <v>1585</v>
      </c>
      <c r="AO329" s="1867">
        <f t="shared" ca="1" si="158"/>
        <v>1</v>
      </c>
    </row>
    <row r="330" spans="1:41">
      <c r="A330" s="1960">
        <f>ROW()</f>
        <v>330</v>
      </c>
      <c r="B330" s="2003">
        <f>ROW(B143)</f>
        <v>143</v>
      </c>
      <c r="C330" s="1866"/>
      <c r="D330" s="1866" t="s">
        <v>1859</v>
      </c>
      <c r="E330" s="1936">
        <f t="shared" ref="E330:N330" si="172">E147</f>
        <v>0</v>
      </c>
      <c r="F330" s="1936">
        <f t="shared" si="172"/>
        <v>0</v>
      </c>
      <c r="G330" s="1936">
        <f t="shared" si="172"/>
        <v>0</v>
      </c>
      <c r="H330" s="1936">
        <f t="shared" si="172"/>
        <v>0</v>
      </c>
      <c r="I330" s="1936">
        <f t="shared" si="172"/>
        <v>0</v>
      </c>
      <c r="J330" s="1936">
        <f t="shared" si="172"/>
        <v>0</v>
      </c>
      <c r="K330" s="1936">
        <f t="shared" si="172"/>
        <v>0</v>
      </c>
      <c r="L330" s="1936">
        <f t="shared" si="172"/>
        <v>0</v>
      </c>
      <c r="M330" s="1936">
        <f t="shared" si="172"/>
        <v>0</v>
      </c>
      <c r="N330" s="1936">
        <f t="shared" si="172"/>
        <v>0</v>
      </c>
      <c r="O330" s="1927"/>
      <c r="P330" s="1913"/>
      <c r="Q330" s="1866"/>
      <c r="AC330" s="1867">
        <f t="shared" ca="1" si="165"/>
        <v>1</v>
      </c>
      <c r="AD330" s="1867">
        <f t="shared" ca="1" si="165"/>
        <v>1</v>
      </c>
      <c r="AE330" s="1867">
        <f t="shared" ca="1" si="165"/>
        <v>1</v>
      </c>
      <c r="AF330" s="1867">
        <f t="shared" ca="1" si="165"/>
        <v>1</v>
      </c>
      <c r="AG330" s="1867">
        <f t="shared" ca="1" si="165"/>
        <v>1</v>
      </c>
      <c r="AH330" s="1867">
        <f t="shared" ca="1" si="165"/>
        <v>1</v>
      </c>
      <c r="AI330" s="1867">
        <f t="shared" ca="1" si="152"/>
        <v>1</v>
      </c>
      <c r="AJ330" s="1867">
        <f t="shared" ca="1" si="152"/>
        <v>1</v>
      </c>
      <c r="AK330" s="1867">
        <f t="shared" ca="1" si="152"/>
        <v>1</v>
      </c>
      <c r="AL330" s="1867">
        <f t="shared" ca="1" si="152"/>
        <v>1</v>
      </c>
      <c r="AM330" s="1867">
        <f t="shared" ca="1" si="157"/>
        <v>1</v>
      </c>
      <c r="AN330" s="1868" t="s">
        <v>1585</v>
      </c>
      <c r="AO330" s="1867">
        <f t="shared" ca="1" si="158"/>
        <v>1</v>
      </c>
    </row>
    <row r="331" spans="1:41">
      <c r="A331" s="1960">
        <f>ROW()</f>
        <v>331</v>
      </c>
      <c r="B331" s="2003">
        <f>ROW(B77)</f>
        <v>77</v>
      </c>
      <c r="C331" s="1866"/>
      <c r="D331" s="1866" t="s">
        <v>1629</v>
      </c>
      <c r="E331" s="1904">
        <f t="shared" ref="E331:N331" si="173">E77</f>
        <v>0</v>
      </c>
      <c r="F331" s="1904">
        <f t="shared" si="173"/>
        <v>0</v>
      </c>
      <c r="G331" s="1904">
        <f t="shared" si="173"/>
        <v>0</v>
      </c>
      <c r="H331" s="1904">
        <f t="shared" si="173"/>
        <v>0</v>
      </c>
      <c r="I331" s="1904">
        <f t="shared" si="173"/>
        <v>0</v>
      </c>
      <c r="J331" s="1904">
        <f t="shared" si="173"/>
        <v>0</v>
      </c>
      <c r="K331" s="1904">
        <f t="shared" si="173"/>
        <v>0</v>
      </c>
      <c r="L331" s="1904">
        <f t="shared" si="173"/>
        <v>0</v>
      </c>
      <c r="M331" s="1904">
        <f t="shared" si="173"/>
        <v>0</v>
      </c>
      <c r="N331" s="1904">
        <f t="shared" si="173"/>
        <v>0</v>
      </c>
      <c r="O331" s="1927"/>
      <c r="P331" s="1913"/>
      <c r="Q331" s="1866" t="s">
        <v>1860</v>
      </c>
      <c r="AC331" s="1867">
        <f t="shared" ca="1" si="165"/>
        <v>1</v>
      </c>
      <c r="AD331" s="1867">
        <f t="shared" ca="1" si="165"/>
        <v>1</v>
      </c>
      <c r="AE331" s="1867">
        <f t="shared" ca="1" si="165"/>
        <v>1</v>
      </c>
      <c r="AF331" s="1867">
        <f t="shared" ca="1" si="165"/>
        <v>1</v>
      </c>
      <c r="AG331" s="1867">
        <f t="shared" ca="1" si="165"/>
        <v>1</v>
      </c>
      <c r="AH331" s="1867">
        <f t="shared" ca="1" si="165"/>
        <v>1</v>
      </c>
      <c r="AI331" s="1867">
        <f t="shared" ca="1" si="152"/>
        <v>1</v>
      </c>
      <c r="AJ331" s="1867">
        <f t="shared" ca="1" si="152"/>
        <v>1</v>
      </c>
      <c r="AK331" s="1867">
        <f t="shared" ca="1" si="152"/>
        <v>1</v>
      </c>
      <c r="AL331" s="1867">
        <f t="shared" ca="1" si="152"/>
        <v>1</v>
      </c>
      <c r="AM331" s="1867">
        <f t="shared" ca="1" si="157"/>
        <v>1</v>
      </c>
      <c r="AN331" s="1868" t="s">
        <v>1585</v>
      </c>
      <c r="AO331" s="1867">
        <f t="shared" ca="1" si="158"/>
        <v>1</v>
      </c>
    </row>
    <row r="332" spans="1:41">
      <c r="A332" s="1960">
        <f>ROW()</f>
        <v>332</v>
      </c>
      <c r="B332" s="2003">
        <f>ROW(B79)</f>
        <v>79</v>
      </c>
      <c r="C332" s="1866"/>
      <c r="D332" s="1866" t="s">
        <v>1861</v>
      </c>
      <c r="E332" s="1904">
        <f t="shared" ref="E332:N333" si="174">+E79</f>
        <v>0</v>
      </c>
      <c r="F332" s="1904">
        <f t="shared" si="174"/>
        <v>0</v>
      </c>
      <c r="G332" s="1904">
        <f t="shared" si="174"/>
        <v>0</v>
      </c>
      <c r="H332" s="1904">
        <f t="shared" si="174"/>
        <v>0</v>
      </c>
      <c r="I332" s="1904">
        <f t="shared" si="174"/>
        <v>0</v>
      </c>
      <c r="J332" s="1904">
        <f t="shared" si="174"/>
        <v>0</v>
      </c>
      <c r="K332" s="1904">
        <f t="shared" si="174"/>
        <v>0</v>
      </c>
      <c r="L332" s="1904">
        <f t="shared" si="174"/>
        <v>0</v>
      </c>
      <c r="M332" s="1904">
        <f t="shared" si="174"/>
        <v>0</v>
      </c>
      <c r="N332" s="1904">
        <f t="shared" si="174"/>
        <v>0</v>
      </c>
      <c r="O332" s="1927"/>
      <c r="P332" s="1913"/>
      <c r="Q332" s="1866"/>
      <c r="AC332" s="1867">
        <f t="shared" ca="1" si="165"/>
        <v>1</v>
      </c>
      <c r="AD332" s="1867">
        <f t="shared" ca="1" si="165"/>
        <v>1</v>
      </c>
      <c r="AE332" s="1867">
        <f t="shared" ca="1" si="165"/>
        <v>1</v>
      </c>
      <c r="AF332" s="1867">
        <f t="shared" ca="1" si="165"/>
        <v>1</v>
      </c>
      <c r="AG332" s="1867">
        <f t="shared" ca="1" si="165"/>
        <v>1</v>
      </c>
      <c r="AH332" s="1867">
        <f t="shared" ca="1" si="165"/>
        <v>1</v>
      </c>
      <c r="AI332" s="1867">
        <f t="shared" ca="1" si="152"/>
        <v>1</v>
      </c>
      <c r="AJ332" s="1867">
        <f t="shared" ca="1" si="152"/>
        <v>1</v>
      </c>
      <c r="AK332" s="1867">
        <f t="shared" ca="1" si="152"/>
        <v>1</v>
      </c>
      <c r="AL332" s="1867">
        <f t="shared" ca="1" si="152"/>
        <v>1</v>
      </c>
      <c r="AM332" s="1867">
        <f t="shared" ca="1" si="157"/>
        <v>1</v>
      </c>
      <c r="AN332" s="1868" t="s">
        <v>1585</v>
      </c>
      <c r="AO332" s="1867">
        <f t="shared" ca="1" si="158"/>
        <v>1</v>
      </c>
    </row>
    <row r="333" spans="1:41">
      <c r="A333" s="1960">
        <f>ROW()</f>
        <v>333</v>
      </c>
      <c r="B333" s="2003">
        <f>ROW(B80)</f>
        <v>80</v>
      </c>
      <c r="C333" s="1866"/>
      <c r="D333" s="1866" t="s">
        <v>1636</v>
      </c>
      <c r="E333" s="1904">
        <f t="shared" si="174"/>
        <v>0</v>
      </c>
      <c r="F333" s="1904">
        <f t="shared" si="174"/>
        <v>0</v>
      </c>
      <c r="G333" s="1904">
        <f t="shared" si="174"/>
        <v>0</v>
      </c>
      <c r="H333" s="1904">
        <f t="shared" si="174"/>
        <v>0</v>
      </c>
      <c r="I333" s="1904">
        <f t="shared" si="174"/>
        <v>0</v>
      </c>
      <c r="J333" s="1904">
        <f t="shared" si="174"/>
        <v>0</v>
      </c>
      <c r="K333" s="1904">
        <f t="shared" si="174"/>
        <v>0</v>
      </c>
      <c r="L333" s="1904">
        <f t="shared" si="174"/>
        <v>0</v>
      </c>
      <c r="M333" s="1904">
        <f t="shared" si="174"/>
        <v>0</v>
      </c>
      <c r="N333" s="1904">
        <f t="shared" si="174"/>
        <v>0</v>
      </c>
      <c r="O333" s="2004"/>
      <c r="P333" s="1913"/>
      <c r="Q333" s="1866"/>
      <c r="AC333" s="1867">
        <f t="shared" ca="1" si="165"/>
        <v>1</v>
      </c>
      <c r="AD333" s="1867">
        <f t="shared" ca="1" si="165"/>
        <v>1</v>
      </c>
      <c r="AE333" s="1867">
        <f t="shared" ca="1" si="165"/>
        <v>1</v>
      </c>
      <c r="AF333" s="1867">
        <f t="shared" ca="1" si="165"/>
        <v>1</v>
      </c>
      <c r="AG333" s="1867">
        <f t="shared" ca="1" si="165"/>
        <v>1</v>
      </c>
      <c r="AH333" s="1867">
        <f t="shared" ca="1" si="165"/>
        <v>1</v>
      </c>
      <c r="AI333" s="1867">
        <f t="shared" ca="1" si="152"/>
        <v>1</v>
      </c>
      <c r="AJ333" s="1867">
        <f t="shared" ca="1" si="152"/>
        <v>1</v>
      </c>
      <c r="AK333" s="1867">
        <f t="shared" ca="1" si="152"/>
        <v>1</v>
      </c>
      <c r="AL333" s="1867">
        <f t="shared" ca="1" si="152"/>
        <v>1</v>
      </c>
      <c r="AM333" s="1867">
        <f t="shared" ca="1" si="157"/>
        <v>1</v>
      </c>
      <c r="AN333" s="1868" t="s">
        <v>1585</v>
      </c>
      <c r="AO333" s="1867">
        <f t="shared" ca="1" si="158"/>
        <v>1</v>
      </c>
    </row>
    <row r="334" spans="1:41">
      <c r="A334" s="1960">
        <f>ROW()</f>
        <v>334</v>
      </c>
      <c r="B334" s="1971"/>
      <c r="C334" s="1866"/>
      <c r="D334" s="1866" t="s">
        <v>1862</v>
      </c>
      <c r="E334" s="1934">
        <f t="shared" ref="E334:N334" si="175">SUM(E330:E333)</f>
        <v>0</v>
      </c>
      <c r="F334" s="1934">
        <f t="shared" si="175"/>
        <v>0</v>
      </c>
      <c r="G334" s="1934">
        <f t="shared" si="175"/>
        <v>0</v>
      </c>
      <c r="H334" s="1934">
        <f t="shared" si="175"/>
        <v>0</v>
      </c>
      <c r="I334" s="1934">
        <f t="shared" si="175"/>
        <v>0</v>
      </c>
      <c r="J334" s="1934">
        <f t="shared" si="175"/>
        <v>0</v>
      </c>
      <c r="K334" s="1934">
        <f t="shared" si="175"/>
        <v>0</v>
      </c>
      <c r="L334" s="1934">
        <f t="shared" si="175"/>
        <v>0</v>
      </c>
      <c r="M334" s="1934">
        <f t="shared" si="175"/>
        <v>0</v>
      </c>
      <c r="N334" s="1934">
        <f t="shared" si="175"/>
        <v>0</v>
      </c>
      <c r="O334" s="1927"/>
      <c r="P334" s="1913"/>
      <c r="Q334" s="1866"/>
      <c r="AC334" s="1867">
        <f t="shared" ca="1" si="165"/>
        <v>1</v>
      </c>
      <c r="AD334" s="1867">
        <f t="shared" ca="1" si="165"/>
        <v>1</v>
      </c>
      <c r="AE334" s="1867">
        <f t="shared" ca="1" si="165"/>
        <v>1</v>
      </c>
      <c r="AF334" s="1867">
        <f t="shared" ca="1" si="165"/>
        <v>1</v>
      </c>
      <c r="AG334" s="1867">
        <f t="shared" ca="1" si="165"/>
        <v>1</v>
      </c>
      <c r="AH334" s="1867">
        <f t="shared" ca="1" si="165"/>
        <v>1</v>
      </c>
      <c r="AI334" s="1867">
        <f t="shared" ca="1" si="152"/>
        <v>1</v>
      </c>
      <c r="AJ334" s="1867">
        <f t="shared" ca="1" si="152"/>
        <v>1</v>
      </c>
      <c r="AK334" s="1867">
        <f t="shared" ca="1" si="152"/>
        <v>1</v>
      </c>
      <c r="AL334" s="1867">
        <f t="shared" ca="1" si="152"/>
        <v>1</v>
      </c>
      <c r="AM334" s="1867">
        <f t="shared" ca="1" si="157"/>
        <v>1</v>
      </c>
      <c r="AN334" s="1868" t="s">
        <v>1585</v>
      </c>
      <c r="AO334" s="1867">
        <f t="shared" ca="1" si="158"/>
        <v>1</v>
      </c>
    </row>
    <row r="335" spans="1:41">
      <c r="A335" s="1960">
        <f>ROW()</f>
        <v>335</v>
      </c>
      <c r="B335" s="1971"/>
      <c r="C335" s="1866"/>
      <c r="D335" s="1866"/>
      <c r="E335" s="1938"/>
      <c r="F335" s="1938"/>
      <c r="G335" s="1938"/>
      <c r="H335" s="1938"/>
      <c r="I335" s="1938"/>
      <c r="J335" s="1938"/>
      <c r="K335" s="1938"/>
      <c r="L335" s="1938"/>
      <c r="M335" s="1938"/>
      <c r="N335" s="1938"/>
      <c r="O335" s="1909"/>
      <c r="P335" s="1913"/>
      <c r="Q335" s="1866" t="s">
        <v>1863</v>
      </c>
      <c r="AC335" s="1867">
        <f t="shared" ca="1" si="165"/>
        <v>1</v>
      </c>
      <c r="AD335" s="1867">
        <f t="shared" ca="1" si="165"/>
        <v>1</v>
      </c>
      <c r="AE335" s="1867">
        <f t="shared" ca="1" si="165"/>
        <v>1</v>
      </c>
      <c r="AF335" s="1867">
        <f t="shared" ca="1" si="165"/>
        <v>1</v>
      </c>
      <c r="AG335" s="1867">
        <f t="shared" ca="1" si="165"/>
        <v>1</v>
      </c>
      <c r="AH335" s="1867">
        <f t="shared" ca="1" si="165"/>
        <v>1</v>
      </c>
      <c r="AI335" s="1867">
        <f t="shared" ca="1" si="152"/>
        <v>1</v>
      </c>
      <c r="AJ335" s="1867">
        <f t="shared" ca="1" si="152"/>
        <v>1</v>
      </c>
      <c r="AK335" s="1867">
        <f t="shared" ca="1" si="152"/>
        <v>1</v>
      </c>
      <c r="AL335" s="1867">
        <f t="shared" ca="1" si="152"/>
        <v>1</v>
      </c>
      <c r="AM335" s="1867">
        <f t="shared" ca="1" si="157"/>
        <v>1</v>
      </c>
      <c r="AN335" s="1868" t="s">
        <v>1585</v>
      </c>
      <c r="AO335" s="1867">
        <f t="shared" ca="1" si="158"/>
        <v>1</v>
      </c>
    </row>
    <row r="336" spans="1:41" ht="13.8" thickBot="1">
      <c r="A336" s="1960">
        <f>ROW()</f>
        <v>336</v>
      </c>
      <c r="B336" s="1971"/>
      <c r="C336" s="1866"/>
      <c r="D336" s="2006" t="s">
        <v>1864</v>
      </c>
      <c r="E336" s="2057">
        <f>IF(OR(E328=0,E334=0),0,E328/E334)</f>
        <v>0</v>
      </c>
      <c r="F336" s="2057">
        <f t="shared" ref="F336:N336" si="176">IF(OR(F328=0,F334=0),0,F328/F334)</f>
        <v>0</v>
      </c>
      <c r="G336" s="2057">
        <f t="shared" si="176"/>
        <v>0</v>
      </c>
      <c r="H336" s="2057">
        <f t="shared" si="176"/>
        <v>0</v>
      </c>
      <c r="I336" s="2057">
        <f t="shared" si="176"/>
        <v>0</v>
      </c>
      <c r="J336" s="2057">
        <f t="shared" si="176"/>
        <v>0</v>
      </c>
      <c r="K336" s="2057">
        <f t="shared" si="176"/>
        <v>0</v>
      </c>
      <c r="L336" s="2057">
        <f t="shared" si="176"/>
        <v>0</v>
      </c>
      <c r="M336" s="2057">
        <f t="shared" si="176"/>
        <v>0</v>
      </c>
      <c r="N336" s="2057">
        <f t="shared" si="176"/>
        <v>0</v>
      </c>
      <c r="O336" s="2058"/>
      <c r="P336" s="1913"/>
      <c r="Q336" s="1866" t="s">
        <v>1865</v>
      </c>
      <c r="AC336" s="1867">
        <f t="shared" ca="1" si="165"/>
        <v>1</v>
      </c>
      <c r="AD336" s="1867">
        <f t="shared" ca="1" si="165"/>
        <v>1</v>
      </c>
      <c r="AE336" s="1867">
        <f t="shared" ca="1" si="165"/>
        <v>1</v>
      </c>
      <c r="AF336" s="1867">
        <f t="shared" ca="1" si="165"/>
        <v>1</v>
      </c>
      <c r="AG336" s="1867">
        <f t="shared" ca="1" si="165"/>
        <v>1</v>
      </c>
      <c r="AH336" s="1867">
        <f t="shared" ca="1" si="165"/>
        <v>1</v>
      </c>
      <c r="AI336" s="1867">
        <f t="shared" ca="1" si="152"/>
        <v>1</v>
      </c>
      <c r="AJ336" s="1867">
        <f t="shared" ca="1" si="152"/>
        <v>1</v>
      </c>
      <c r="AK336" s="1867">
        <f t="shared" ca="1" si="152"/>
        <v>1</v>
      </c>
      <c r="AL336" s="1867">
        <f t="shared" ca="1" si="152"/>
        <v>1</v>
      </c>
      <c r="AM336" s="1867">
        <f t="shared" ca="1" si="157"/>
        <v>1</v>
      </c>
      <c r="AN336" s="1868" t="s">
        <v>1585</v>
      </c>
      <c r="AO336" s="1867">
        <f t="shared" ca="1" si="158"/>
        <v>1</v>
      </c>
    </row>
    <row r="337" spans="1:41" ht="13.8" thickTop="1">
      <c r="A337" s="1960">
        <f>ROW()</f>
        <v>337</v>
      </c>
      <c r="B337" s="1971"/>
      <c r="C337" s="1866"/>
      <c r="D337" s="1948" t="s">
        <v>1831</v>
      </c>
      <c r="E337" s="1904" t="str">
        <f>IF(E$334=0,"NA",IF(E$336&gt;=1.1,"MS&gt;=1.1",IF(E$336&lt;1.1,"DNMS&lt;1.1",0)))</f>
        <v>NA</v>
      </c>
      <c r="F337" s="1904" t="str">
        <f>IF(F$334=0,"NA",IF(F$336&gt;=1.1,"MS&gt;=1.1",IF(F$336&lt;1.1,"DNMS&lt;1.1",0)))</f>
        <v>NA</v>
      </c>
      <c r="G337" s="1904" t="str">
        <f>IF(G$334=0,"NA",IF(G$336&gt;=1.1,"MS&gt;=1.1",IF(G$336&lt;1.1,"DNMS&lt;1.1",0)))</f>
        <v>NA</v>
      </c>
      <c r="H337" s="1904" t="str">
        <f t="shared" ref="H337:K337" si="177">IF(H$334=0,"NA",IF(H$336&gt;=1.1,"MS&gt;=1.1",IF(H$336&lt;1.1,"DNMS&lt;1.1",0)))</f>
        <v>NA</v>
      </c>
      <c r="I337" s="1904" t="str">
        <f t="shared" si="177"/>
        <v>NA</v>
      </c>
      <c r="J337" s="1904" t="str">
        <f t="shared" si="177"/>
        <v>NA</v>
      </c>
      <c r="K337" s="1904" t="str">
        <f t="shared" si="177"/>
        <v>NA</v>
      </c>
      <c r="L337" s="1904">
        <f>IF(L$334=0,0,IF(L$336&gt;=1.1,"MS&gt;=1.1",IF(L$336&lt;1.1,"DNMS&lt;1.1",0)))</f>
        <v>0</v>
      </c>
      <c r="M337" s="1904">
        <f>IF(M$334=0,0,IF(M$336&gt;=1.1,"MS&gt;=1.1",IF(M$336&lt;1.1,"DNMS&lt;1.1",0)))</f>
        <v>0</v>
      </c>
      <c r="N337" s="1904">
        <f>IF(N$334=0,0,IF(N$336&gt;=1.1,"MS&gt;=1.1",IF(N$336&lt;1.1,"DNMS&lt;1.1",0)))</f>
        <v>0</v>
      </c>
      <c r="O337" s="1909"/>
      <c r="P337" s="1889"/>
      <c r="Q337" s="1866" t="s">
        <v>1866</v>
      </c>
      <c r="AC337" s="1867">
        <f t="shared" ca="1" si="165"/>
        <v>1</v>
      </c>
      <c r="AD337" s="1867">
        <f t="shared" ca="1" si="165"/>
        <v>1</v>
      </c>
      <c r="AE337" s="1867">
        <f t="shared" ca="1" si="165"/>
        <v>1</v>
      </c>
      <c r="AF337" s="1867">
        <f t="shared" ca="1" si="165"/>
        <v>1</v>
      </c>
      <c r="AG337" s="1867">
        <f t="shared" ca="1" si="165"/>
        <v>1</v>
      </c>
      <c r="AH337" s="1867">
        <f t="shared" ca="1" si="165"/>
        <v>1</v>
      </c>
      <c r="AI337" s="1867">
        <f t="shared" ca="1" si="152"/>
        <v>1</v>
      </c>
      <c r="AJ337" s="1867">
        <f t="shared" ca="1" si="152"/>
        <v>1</v>
      </c>
      <c r="AK337" s="1867">
        <f t="shared" ca="1" si="152"/>
        <v>1</v>
      </c>
      <c r="AL337" s="1867">
        <f t="shared" ca="1" si="152"/>
        <v>1</v>
      </c>
      <c r="AM337" s="1867">
        <f t="shared" ca="1" si="157"/>
        <v>1</v>
      </c>
      <c r="AN337" s="1868" t="s">
        <v>1585</v>
      </c>
      <c r="AO337" s="1867">
        <f t="shared" ca="1" si="158"/>
        <v>1</v>
      </c>
    </row>
    <row r="338" spans="1:41">
      <c r="A338" s="1960">
        <f>ROW()</f>
        <v>338</v>
      </c>
      <c r="B338" s="2014" t="s">
        <v>1532</v>
      </c>
      <c r="C338" s="1866"/>
      <c r="D338" s="2234"/>
      <c r="E338" s="2234"/>
      <c r="F338" s="2234"/>
      <c r="G338" s="2234"/>
      <c r="H338" s="2234"/>
      <c r="I338" s="2234"/>
      <c r="J338" s="2234"/>
      <c r="K338" s="2234"/>
      <c r="L338" s="2234"/>
      <c r="M338" s="2234"/>
      <c r="N338" s="2234"/>
      <c r="O338" s="1909"/>
      <c r="P338" s="1913"/>
      <c r="Q338" s="1866" t="s">
        <v>1867</v>
      </c>
      <c r="AC338" s="1867">
        <f t="shared" ca="1" si="165"/>
        <v>1</v>
      </c>
      <c r="AD338" s="1867">
        <f t="shared" ca="1" si="165"/>
        <v>1</v>
      </c>
      <c r="AE338" s="1867">
        <f t="shared" ca="1" si="165"/>
        <v>1</v>
      </c>
      <c r="AF338" s="1867">
        <f t="shared" ca="1" si="165"/>
        <v>0</v>
      </c>
      <c r="AG338" s="1867">
        <f t="shared" ca="1" si="165"/>
        <v>0</v>
      </c>
      <c r="AH338" s="1867">
        <f t="shared" ca="1" si="165"/>
        <v>0</v>
      </c>
      <c r="AI338" s="1867">
        <f t="shared" ca="1" si="152"/>
        <v>0</v>
      </c>
      <c r="AJ338" s="1867">
        <f t="shared" ca="1" si="152"/>
        <v>0</v>
      </c>
      <c r="AK338" s="1867">
        <f t="shared" ca="1" si="152"/>
        <v>0</v>
      </c>
      <c r="AL338" s="1867">
        <f t="shared" ca="1" si="152"/>
        <v>0</v>
      </c>
      <c r="AM338" s="1867">
        <f t="shared" ca="1" si="157"/>
        <v>1</v>
      </c>
      <c r="AN338" s="1868" t="s">
        <v>1585</v>
      </c>
      <c r="AO338" s="1867">
        <f t="shared" ca="1" si="158"/>
        <v>1</v>
      </c>
    </row>
    <row r="339" spans="1:41">
      <c r="A339" s="1960">
        <f>ROW()</f>
        <v>339</v>
      </c>
      <c r="B339" s="2005"/>
      <c r="C339" s="1866"/>
      <c r="D339" s="2234"/>
      <c r="E339" s="2234"/>
      <c r="F339" s="2234"/>
      <c r="G339" s="2234"/>
      <c r="H339" s="2234"/>
      <c r="I339" s="2234"/>
      <c r="J339" s="2234"/>
      <c r="K339" s="2234"/>
      <c r="L339" s="2234"/>
      <c r="M339" s="2234"/>
      <c r="N339" s="2234"/>
      <c r="O339" s="1909"/>
      <c r="P339" s="1913"/>
      <c r="AC339" s="1867">
        <f t="shared" ca="1" si="165"/>
        <v>1</v>
      </c>
      <c r="AD339" s="1867">
        <f t="shared" ca="1" si="165"/>
        <v>1</v>
      </c>
      <c r="AE339" s="1867">
        <f t="shared" ca="1" si="165"/>
        <v>1</v>
      </c>
      <c r="AF339" s="1867">
        <f t="shared" ca="1" si="165"/>
        <v>0</v>
      </c>
      <c r="AG339" s="1867">
        <f t="shared" ca="1" si="165"/>
        <v>0</v>
      </c>
      <c r="AH339" s="1867">
        <f t="shared" ca="1" si="165"/>
        <v>0</v>
      </c>
      <c r="AI339" s="1867">
        <f t="shared" ca="1" si="152"/>
        <v>0</v>
      </c>
      <c r="AJ339" s="1867">
        <f t="shared" ca="1" si="152"/>
        <v>0</v>
      </c>
      <c r="AK339" s="1867">
        <f t="shared" ca="1" si="152"/>
        <v>0</v>
      </c>
      <c r="AL339" s="1867">
        <f t="shared" ca="1" si="152"/>
        <v>0</v>
      </c>
      <c r="AM339" s="1867">
        <f t="shared" ca="1" si="157"/>
        <v>1</v>
      </c>
      <c r="AN339" s="1868" t="s">
        <v>1585</v>
      </c>
      <c r="AO339" s="1867">
        <f t="shared" ca="1" si="158"/>
        <v>1</v>
      </c>
    </row>
    <row r="340" spans="1:41">
      <c r="A340" s="1842"/>
      <c r="B340" s="2005"/>
      <c r="C340" s="1866"/>
      <c r="D340" s="1866"/>
      <c r="E340" s="1904"/>
      <c r="F340" s="1904"/>
      <c r="G340" s="1904"/>
      <c r="H340" s="1904"/>
      <c r="I340" s="1904"/>
      <c r="J340" s="1904"/>
      <c r="K340" s="1904"/>
      <c r="L340" s="1904"/>
      <c r="M340" s="1904"/>
      <c r="N340" s="1904"/>
      <c r="O340" s="1909"/>
      <c r="P340" s="1913"/>
      <c r="AC340" s="1867">
        <f t="shared" ca="1" si="165"/>
        <v>1</v>
      </c>
      <c r="AD340" s="1867">
        <f t="shared" ca="1" si="165"/>
        <v>1</v>
      </c>
      <c r="AE340" s="1867">
        <f t="shared" ca="1" si="165"/>
        <v>1</v>
      </c>
      <c r="AF340" s="1867">
        <f t="shared" ca="1" si="165"/>
        <v>1</v>
      </c>
      <c r="AG340" s="1867">
        <f t="shared" ca="1" si="165"/>
        <v>1</v>
      </c>
      <c r="AH340" s="1867">
        <f t="shared" ca="1" si="165"/>
        <v>1</v>
      </c>
      <c r="AI340" s="1867">
        <f t="shared" ca="1" si="152"/>
        <v>1</v>
      </c>
      <c r="AJ340" s="1867">
        <f t="shared" ca="1" si="152"/>
        <v>1</v>
      </c>
      <c r="AK340" s="1867">
        <f t="shared" ca="1" si="152"/>
        <v>1</v>
      </c>
      <c r="AL340" s="1867">
        <f t="shared" ca="1" si="152"/>
        <v>1</v>
      </c>
      <c r="AM340" s="1867">
        <f t="shared" ca="1" si="157"/>
        <v>1</v>
      </c>
      <c r="AN340" s="1868" t="s">
        <v>1585</v>
      </c>
      <c r="AO340" s="1867">
        <f t="shared" ca="1" si="158"/>
        <v>1</v>
      </c>
    </row>
    <row r="341" spans="1:41">
      <c r="A341" s="1842"/>
      <c r="B341" s="1906"/>
      <c r="E341" s="2004"/>
      <c r="F341" s="2004"/>
      <c r="G341" s="2004"/>
      <c r="H341" s="2004"/>
      <c r="I341" s="2004"/>
      <c r="J341" s="2004"/>
      <c r="K341" s="2004"/>
      <c r="L341" s="2004"/>
      <c r="M341" s="2004"/>
      <c r="N341" s="2004"/>
      <c r="O341" s="1909"/>
      <c r="P341" s="1889"/>
      <c r="AC341" s="1867">
        <f t="shared" ca="1" si="165"/>
        <v>1</v>
      </c>
      <c r="AD341" s="1867">
        <f t="shared" ca="1" si="165"/>
        <v>1</v>
      </c>
      <c r="AE341" s="1867">
        <f t="shared" ca="1" si="165"/>
        <v>1</v>
      </c>
      <c r="AF341" s="1867">
        <f t="shared" ca="1" si="165"/>
        <v>1</v>
      </c>
      <c r="AG341" s="1867">
        <f t="shared" ca="1" si="165"/>
        <v>1</v>
      </c>
      <c r="AH341" s="1867">
        <f t="shared" ca="1" si="165"/>
        <v>1</v>
      </c>
      <c r="AI341" s="1867">
        <f t="shared" ca="1" si="152"/>
        <v>1</v>
      </c>
      <c r="AJ341" s="1867">
        <f t="shared" ca="1" si="152"/>
        <v>1</v>
      </c>
      <c r="AK341" s="1867">
        <f t="shared" ca="1" si="152"/>
        <v>1</v>
      </c>
      <c r="AL341" s="1867">
        <f t="shared" ca="1" si="152"/>
        <v>1</v>
      </c>
      <c r="AM341" s="1867">
        <f t="shared" ca="1" si="157"/>
        <v>1</v>
      </c>
      <c r="AN341" s="1868" t="s">
        <v>1585</v>
      </c>
      <c r="AO341" s="1867">
        <f t="shared" ca="1" si="158"/>
        <v>1</v>
      </c>
    </row>
    <row r="342" spans="1:41" hidden="1">
      <c r="A342" s="1842"/>
      <c r="B342" s="1906"/>
      <c r="E342" s="2004"/>
      <c r="F342" s="2004"/>
      <c r="G342" s="2004"/>
      <c r="H342" s="2004"/>
      <c r="I342" s="2004"/>
      <c r="J342" s="2004"/>
      <c r="K342" s="2004"/>
      <c r="L342" s="2004"/>
      <c r="M342" s="2004"/>
      <c r="N342" s="2004"/>
      <c r="O342" s="1909"/>
      <c r="P342" s="1889"/>
      <c r="S342" s="2059"/>
      <c r="T342" s="2059"/>
      <c r="U342" s="2059"/>
      <c r="V342" s="2059"/>
      <c r="W342" s="2059"/>
      <c r="X342" s="2059"/>
      <c r="Y342" s="2059"/>
      <c r="Z342" s="2059"/>
      <c r="AA342" s="2059"/>
      <c r="AB342" s="2059"/>
      <c r="AC342" s="1867"/>
      <c r="AD342" s="1867"/>
      <c r="AE342" s="1867"/>
      <c r="AF342" s="1867"/>
      <c r="AG342" s="1867"/>
      <c r="AH342" s="1867"/>
      <c r="AI342" s="1867"/>
      <c r="AJ342" s="1867"/>
      <c r="AK342" s="1867"/>
      <c r="AL342" s="1867"/>
      <c r="AM342" s="1867"/>
      <c r="AN342" s="1867"/>
      <c r="AO342" s="1867"/>
    </row>
    <row r="343" spans="1:41" s="1843" customFormat="1" hidden="1" outlineLevel="1">
      <c r="C343" s="1844"/>
      <c r="D343" s="2060" t="str">
        <f ca="1">CELL("filename")</f>
        <v>C:\Users\Nicho\Desktop\[Attachment 2.  Eagle NV RFA 12.16.22.xlsx]CF Y1 Mo</v>
      </c>
      <c r="E343" s="2061"/>
      <c r="O343" s="1844"/>
      <c r="P343" s="1889" t="s">
        <v>1868</v>
      </c>
      <c r="S343" s="1844"/>
      <c r="T343" s="1844"/>
      <c r="U343" s="1844"/>
      <c r="V343" s="1844"/>
      <c r="W343" s="1844"/>
      <c r="X343" s="1844"/>
      <c r="Y343" s="1844"/>
      <c r="Z343" s="1844"/>
      <c r="AA343" s="1844"/>
      <c r="AB343" s="1844"/>
    </row>
    <row r="344" spans="1:41" s="1843" customFormat="1" hidden="1" outlineLevel="1">
      <c r="B344" s="2062"/>
      <c r="C344" s="2063"/>
      <c r="D344" s="2064" t="s">
        <v>1869</v>
      </c>
      <c r="E344" s="2065"/>
      <c r="F344" s="2065"/>
      <c r="G344" s="2063"/>
      <c r="H344" s="1844"/>
      <c r="I344" s="1844"/>
      <c r="J344" s="1844"/>
      <c r="K344" s="1844"/>
      <c r="L344" s="1844"/>
      <c r="M344" s="1844"/>
      <c r="N344" s="1844"/>
      <c r="O344" s="1844"/>
      <c r="P344" s="1889"/>
      <c r="S344" s="1844"/>
      <c r="T344" s="1844"/>
      <c r="U344" s="1844"/>
      <c r="V344" s="1844"/>
      <c r="W344" s="1844"/>
      <c r="X344" s="1844"/>
      <c r="Y344" s="1844"/>
      <c r="Z344" s="1844"/>
      <c r="AA344" s="1844"/>
      <c r="AB344" s="1844"/>
    </row>
    <row r="345" spans="1:41" s="1843" customFormat="1" hidden="1" outlineLevel="1">
      <c r="C345" s="1844"/>
      <c r="D345" s="2066" t="s">
        <v>1870</v>
      </c>
      <c r="E345" s="1860"/>
      <c r="F345" s="1860"/>
      <c r="G345" s="1844"/>
      <c r="H345" s="1844"/>
      <c r="I345" s="1844"/>
      <c r="J345" s="1844"/>
      <c r="K345" s="1844"/>
      <c r="L345" s="1844"/>
      <c r="M345" s="1844"/>
      <c r="N345" s="1844"/>
      <c r="O345" s="1844"/>
      <c r="P345" s="1889"/>
      <c r="S345" s="1844"/>
      <c r="T345" s="1844"/>
      <c r="U345" s="1844"/>
      <c r="V345" s="1844"/>
      <c r="W345" s="1844"/>
      <c r="X345" s="1844"/>
      <c r="Y345" s="1844"/>
      <c r="Z345" s="1844"/>
      <c r="AA345" s="1844"/>
      <c r="AB345" s="1844"/>
    </row>
    <row r="346" spans="1:41" s="1843" customFormat="1" hidden="1" outlineLevel="1">
      <c r="C346" s="1844"/>
      <c r="D346" s="1948" t="s">
        <v>1871</v>
      </c>
      <c r="E346" s="2067"/>
      <c r="F346" s="2067"/>
      <c r="G346" s="1849"/>
      <c r="H346" s="1849"/>
      <c r="I346" s="1849"/>
      <c r="J346" s="1849"/>
      <c r="K346" s="1849"/>
      <c r="L346" s="1849"/>
      <c r="M346" s="1849"/>
      <c r="N346" s="1849"/>
      <c r="O346" s="1849"/>
      <c r="P346" s="2068"/>
      <c r="S346" s="1844"/>
      <c r="T346" s="1844"/>
      <c r="U346" s="1844"/>
      <c r="V346" s="1844"/>
      <c r="W346" s="1844"/>
      <c r="X346" s="1844"/>
      <c r="Y346" s="1844"/>
      <c r="Z346" s="1844"/>
      <c r="AA346" s="1844"/>
      <c r="AB346" s="1844"/>
    </row>
    <row r="347" spans="1:41" s="1843" customFormat="1" hidden="1" outlineLevel="2">
      <c r="C347" s="1844"/>
      <c r="D347" s="2069" t="s">
        <v>1872</v>
      </c>
      <c r="E347" s="2070"/>
      <c r="F347" s="2070"/>
      <c r="G347" s="2071"/>
      <c r="H347" s="2071"/>
      <c r="I347" s="2071"/>
      <c r="J347" s="2071"/>
      <c r="K347" s="2071"/>
      <c r="L347" s="2071"/>
      <c r="M347" s="2071"/>
      <c r="N347" s="2071"/>
      <c r="O347" s="1844"/>
      <c r="P347" s="2072"/>
      <c r="S347" s="1844"/>
      <c r="T347" s="1844"/>
      <c r="U347" s="1844"/>
      <c r="V347" s="1844"/>
      <c r="W347" s="1844"/>
      <c r="X347" s="1844"/>
      <c r="Y347" s="1844"/>
      <c r="Z347" s="1844"/>
      <c r="AA347" s="1844"/>
      <c r="AB347" s="1844"/>
    </row>
    <row r="348" spans="1:41" s="1843" customFormat="1" hidden="1" outlineLevel="2">
      <c r="C348" s="1844"/>
      <c r="D348" s="1948"/>
      <c r="E348" s="2073">
        <f t="shared" ref="E348:N348" si="178">E197</f>
        <v>10.966927916966856</v>
      </c>
      <c r="F348" s="2073">
        <f t="shared" si="178"/>
        <v>38.198720814974429</v>
      </c>
      <c r="G348" s="2073">
        <f t="shared" si="178"/>
        <v>65.870410412683981</v>
      </c>
      <c r="H348" s="2073">
        <f t="shared" si="178"/>
        <v>108.35224060857843</v>
      </c>
      <c r="I348" s="2073">
        <f t="shared" si="178"/>
        <v>5932226.4585851496</v>
      </c>
      <c r="J348" s="2073">
        <f t="shared" si="178"/>
        <v>7701988.8619042737</v>
      </c>
      <c r="K348" s="2073">
        <f t="shared" si="178"/>
        <v>0</v>
      </c>
      <c r="L348" s="2073">
        <f t="shared" si="178"/>
        <v>0</v>
      </c>
      <c r="M348" s="2073">
        <f t="shared" si="178"/>
        <v>0</v>
      </c>
      <c r="N348" s="2073">
        <f t="shared" si="178"/>
        <v>0</v>
      </c>
      <c r="O348" s="1844"/>
      <c r="P348" s="2072"/>
      <c r="S348" s="1844"/>
      <c r="T348" s="1844"/>
      <c r="U348" s="1844"/>
      <c r="V348" s="1844"/>
      <c r="W348" s="1844"/>
      <c r="X348" s="1844"/>
      <c r="Y348" s="1844"/>
      <c r="Z348" s="1844"/>
      <c r="AA348" s="1844"/>
      <c r="AB348" s="1844"/>
    </row>
    <row r="349" spans="1:41" s="1843" customFormat="1" hidden="1" outlineLevel="2">
      <c r="C349" s="1844"/>
      <c r="D349" s="2074"/>
      <c r="E349" s="2075"/>
      <c r="F349" s="2075"/>
      <c r="G349" s="2075"/>
      <c r="H349" s="2075"/>
      <c r="I349" s="2075"/>
      <c r="J349" s="2075"/>
      <c r="K349" s="2075"/>
      <c r="L349" s="2075"/>
      <c r="M349" s="2075"/>
      <c r="N349" s="2075"/>
      <c r="O349" s="1844"/>
      <c r="P349" s="2072"/>
      <c r="S349" s="1844"/>
      <c r="T349" s="1844"/>
      <c r="U349" s="1844"/>
      <c r="V349" s="1844"/>
      <c r="W349" s="1844"/>
      <c r="X349" s="1844"/>
      <c r="Y349" s="1844"/>
      <c r="Z349" s="1844"/>
      <c r="AA349" s="1844"/>
      <c r="AB349" s="1844"/>
    </row>
    <row r="350" spans="1:41" s="1843" customFormat="1" hidden="1" outlineLevel="2">
      <c r="C350" s="1844"/>
      <c r="D350" s="2076" t="s">
        <v>1813</v>
      </c>
      <c r="E350" s="2077" t="str">
        <f t="shared" ref="E350:N350" si="179">IF(E$197&gt;=1.1,"MS",0)</f>
        <v>MS</v>
      </c>
      <c r="F350" s="2077" t="str">
        <f t="shared" si="179"/>
        <v>MS</v>
      </c>
      <c r="G350" s="2077" t="str">
        <f t="shared" si="179"/>
        <v>MS</v>
      </c>
      <c r="H350" s="2077" t="str">
        <f t="shared" si="179"/>
        <v>MS</v>
      </c>
      <c r="I350" s="2077" t="str">
        <f t="shared" si="179"/>
        <v>MS</v>
      </c>
      <c r="J350" s="2077" t="str">
        <f t="shared" si="179"/>
        <v>MS</v>
      </c>
      <c r="K350" s="2077">
        <f t="shared" si="179"/>
        <v>0</v>
      </c>
      <c r="L350" s="2077">
        <f t="shared" si="179"/>
        <v>0</v>
      </c>
      <c r="M350" s="2077">
        <f t="shared" si="179"/>
        <v>0</v>
      </c>
      <c r="N350" s="2077">
        <f t="shared" si="179"/>
        <v>0</v>
      </c>
      <c r="O350" s="1844"/>
      <c r="P350" s="1869" t="s">
        <v>1873</v>
      </c>
      <c r="S350" s="1844"/>
      <c r="T350" s="1844"/>
      <c r="U350" s="1844"/>
      <c r="V350" s="1844"/>
      <c r="W350" s="1844"/>
      <c r="X350" s="1844"/>
      <c r="Y350" s="1844"/>
      <c r="Z350" s="1844"/>
      <c r="AA350" s="1844"/>
      <c r="AB350" s="1844"/>
    </row>
    <row r="351" spans="1:41" s="1843" customFormat="1" hidden="1" outlineLevel="2">
      <c r="C351" s="1844"/>
      <c r="D351" s="2076" t="s">
        <v>1813</v>
      </c>
      <c r="E351" s="2077">
        <f t="shared" ref="E351:N351" si="180">IF(AND(E$197&lt;1.1,E$197&gt;1,E348&gt;D348),"MS",0)</f>
        <v>0</v>
      </c>
      <c r="F351" s="2077">
        <f t="shared" si="180"/>
        <v>0</v>
      </c>
      <c r="G351" s="2077">
        <f t="shared" si="180"/>
        <v>0</v>
      </c>
      <c r="H351" s="2077">
        <f t="shared" si="180"/>
        <v>0</v>
      </c>
      <c r="I351" s="2077">
        <f t="shared" si="180"/>
        <v>0</v>
      </c>
      <c r="J351" s="2077">
        <f t="shared" si="180"/>
        <v>0</v>
      </c>
      <c r="K351" s="2077">
        <f t="shared" si="180"/>
        <v>0</v>
      </c>
      <c r="L351" s="2077">
        <f t="shared" si="180"/>
        <v>0</v>
      </c>
      <c r="M351" s="2077">
        <f t="shared" si="180"/>
        <v>0</v>
      </c>
      <c r="N351" s="2077">
        <f t="shared" si="180"/>
        <v>0</v>
      </c>
      <c r="O351" s="1844"/>
      <c r="P351" s="1869" t="s">
        <v>1874</v>
      </c>
      <c r="S351" s="1844"/>
      <c r="T351" s="1844"/>
      <c r="U351" s="1844"/>
      <c r="V351" s="1844"/>
      <c r="W351" s="1844"/>
      <c r="X351" s="1844"/>
      <c r="Y351" s="1844"/>
      <c r="Z351" s="1844"/>
      <c r="AA351" s="1844"/>
      <c r="AB351" s="1844"/>
    </row>
    <row r="352" spans="1:41" s="1843" customFormat="1" hidden="1" outlineLevel="2">
      <c r="C352" s="1844"/>
      <c r="D352" s="2078" t="s">
        <v>1818</v>
      </c>
      <c r="E352" s="2079">
        <f>IF(AND(E348&gt;0.9,E348&lt;0.99),"DNMS",0)</f>
        <v>0</v>
      </c>
      <c r="F352" s="2079">
        <f>IF(AND(F348&gt;0.9,F348&lt;0.99),"DNMS",0)</f>
        <v>0</v>
      </c>
      <c r="G352" s="2079">
        <f>IF(AND(G348&gt;0.9,G348&lt;=1),"DNMS",0)</f>
        <v>0</v>
      </c>
      <c r="H352" s="2079">
        <f t="shared" ref="H352:N352" si="181">IF(AND(H348&gt;0.9,H348&lt;0.99),"DNMS",0)</f>
        <v>0</v>
      </c>
      <c r="I352" s="2079">
        <f t="shared" si="181"/>
        <v>0</v>
      </c>
      <c r="J352" s="2079">
        <f t="shared" si="181"/>
        <v>0</v>
      </c>
      <c r="K352" s="2079">
        <f t="shared" si="181"/>
        <v>0</v>
      </c>
      <c r="L352" s="2079">
        <f t="shared" si="181"/>
        <v>0</v>
      </c>
      <c r="M352" s="2079">
        <f t="shared" si="181"/>
        <v>0</v>
      </c>
      <c r="N352" s="2079">
        <f t="shared" si="181"/>
        <v>0</v>
      </c>
      <c r="O352" s="1844"/>
      <c r="P352" s="1869" t="s">
        <v>1875</v>
      </c>
      <c r="S352" s="1844"/>
      <c r="T352" s="1844"/>
      <c r="U352" s="1844"/>
      <c r="V352" s="1844"/>
      <c r="W352" s="1844"/>
      <c r="X352" s="1844"/>
      <c r="Y352" s="1844"/>
      <c r="Z352" s="1844"/>
      <c r="AA352" s="1844"/>
      <c r="AB352" s="1844"/>
    </row>
    <row r="353" spans="2:28" s="1843" customFormat="1" hidden="1" outlineLevel="2">
      <c r="C353" s="1844"/>
      <c r="D353" s="2078" t="s">
        <v>1818</v>
      </c>
      <c r="E353" s="2080">
        <f t="shared" ref="E353" si="182">IF(AND(E$348&gt;1, E$348&lt;1.1,E348&lt;D348),"DNMS",0)</f>
        <v>0</v>
      </c>
      <c r="F353" s="2080">
        <f>IF(AND(F$348&gt;1, F$348&lt;1.1,F348&lt;E348),"DNMS",0)</f>
        <v>0</v>
      </c>
      <c r="G353" s="2080">
        <f t="shared" ref="G353:N353" si="183">IF(AND(G$348&gt;1, G$348&lt;1.1,G348&lt;F348),"DNMS",0)</f>
        <v>0</v>
      </c>
      <c r="H353" s="2080">
        <f t="shared" si="183"/>
        <v>0</v>
      </c>
      <c r="I353" s="2080">
        <f t="shared" si="183"/>
        <v>0</v>
      </c>
      <c r="J353" s="2080">
        <f t="shared" si="183"/>
        <v>0</v>
      </c>
      <c r="K353" s="2080">
        <f t="shared" si="183"/>
        <v>0</v>
      </c>
      <c r="L353" s="2080">
        <f t="shared" si="183"/>
        <v>0</v>
      </c>
      <c r="M353" s="2080">
        <f t="shared" si="183"/>
        <v>0</v>
      </c>
      <c r="N353" s="2080">
        <f t="shared" si="183"/>
        <v>0</v>
      </c>
      <c r="O353" s="1844"/>
      <c r="P353" s="1869" t="s">
        <v>1876</v>
      </c>
      <c r="S353" s="1844"/>
      <c r="T353" s="1844"/>
      <c r="U353" s="1844"/>
      <c r="V353" s="1844"/>
      <c r="W353" s="1844"/>
      <c r="X353" s="1844"/>
      <c r="Y353" s="1844"/>
      <c r="Z353" s="1844"/>
      <c r="AA353" s="1844"/>
      <c r="AB353" s="1844"/>
    </row>
    <row r="354" spans="2:28" s="1843" customFormat="1" hidden="1" outlineLevel="2">
      <c r="C354" s="1844"/>
      <c r="D354" s="2081" t="s">
        <v>1824</v>
      </c>
      <c r="E354" s="2082">
        <f t="shared" ref="E354:N354" si="184">IF(E30=0,0,IF(E$197&lt;0.9,"FFBS",0))</f>
        <v>0</v>
      </c>
      <c r="F354" s="2082">
        <f t="shared" si="184"/>
        <v>0</v>
      </c>
      <c r="G354" s="2082">
        <f t="shared" si="184"/>
        <v>0</v>
      </c>
      <c r="H354" s="2082">
        <f t="shared" si="184"/>
        <v>0</v>
      </c>
      <c r="I354" s="2082">
        <f t="shared" si="184"/>
        <v>0</v>
      </c>
      <c r="J354" s="2082">
        <f t="shared" si="184"/>
        <v>0</v>
      </c>
      <c r="K354" s="2082">
        <f t="shared" si="184"/>
        <v>0</v>
      </c>
      <c r="L354" s="2082">
        <f t="shared" si="184"/>
        <v>0</v>
      </c>
      <c r="M354" s="2082">
        <f t="shared" si="184"/>
        <v>0</v>
      </c>
      <c r="N354" s="2082">
        <f t="shared" si="184"/>
        <v>0</v>
      </c>
      <c r="O354" s="1844"/>
      <c r="P354" s="1869" t="s">
        <v>1877</v>
      </c>
      <c r="S354" s="1844"/>
      <c r="T354" s="1844"/>
      <c r="U354" s="1844"/>
      <c r="V354" s="1844"/>
      <c r="W354" s="1844"/>
      <c r="X354" s="1844"/>
      <c r="Y354" s="1844"/>
      <c r="Z354" s="1844"/>
      <c r="AA354" s="1844"/>
      <c r="AB354" s="1844"/>
    </row>
    <row r="355" spans="2:28" s="1843" customFormat="1" hidden="1" outlineLevel="2">
      <c r="C355" s="1844"/>
      <c r="D355" s="1866"/>
      <c r="E355" s="2004" t="str">
        <f t="shared" ref="E355:N355" si="185">IF(E195=0,0,IF(OR(E350="ms",E351="ms"),"MS",IF(OR(E352="DNMS",E353="DNMS"),"DNMS",IF(E354="FFBS","FFBS",0))))</f>
        <v>MS</v>
      </c>
      <c r="F355" s="2004" t="str">
        <f t="shared" si="185"/>
        <v>MS</v>
      </c>
      <c r="G355" s="2004" t="str">
        <f t="shared" si="185"/>
        <v>MS</v>
      </c>
      <c r="H355" s="2004" t="str">
        <f t="shared" si="185"/>
        <v>MS</v>
      </c>
      <c r="I355" s="2004" t="str">
        <f t="shared" si="185"/>
        <v>MS</v>
      </c>
      <c r="J355" s="2004" t="str">
        <f t="shared" si="185"/>
        <v>MS</v>
      </c>
      <c r="K355" s="2004">
        <f t="shared" si="185"/>
        <v>0</v>
      </c>
      <c r="L355" s="2004">
        <f t="shared" si="185"/>
        <v>0</v>
      </c>
      <c r="M355" s="2004">
        <f t="shared" si="185"/>
        <v>0</v>
      </c>
      <c r="N355" s="2004">
        <f t="shared" si="185"/>
        <v>0</v>
      </c>
      <c r="O355" s="1844"/>
      <c r="P355" s="1844"/>
      <c r="S355" s="1844"/>
      <c r="T355" s="1844"/>
      <c r="U355" s="1844"/>
      <c r="V355" s="1844"/>
      <c r="W355" s="1844"/>
      <c r="X355" s="1844"/>
      <c r="Y355" s="1844"/>
      <c r="Z355" s="1844"/>
      <c r="AA355" s="1844"/>
      <c r="AB355" s="1844"/>
    </row>
    <row r="356" spans="2:28" s="1843" customFormat="1" hidden="1" outlineLevel="2">
      <c r="C356" s="1844"/>
      <c r="D356" s="1866"/>
      <c r="E356" s="2083" t="str">
        <f>IF(ISTEXT(D$211),"na",IF(AND(E$211&gt;30,E$211&lt;60,E$211&gt;D$211),"MS",IF(E$211&gt;=60,"MS",0)))</f>
        <v>na</v>
      </c>
      <c r="F356" s="1869"/>
      <c r="G356" s="1844"/>
      <c r="H356" s="1844"/>
      <c r="I356" s="1844"/>
      <c r="J356" s="1844"/>
      <c r="K356" s="1844"/>
      <c r="L356" s="1844"/>
      <c r="M356" s="1844"/>
      <c r="N356" s="1844"/>
      <c r="O356" s="1844"/>
      <c r="P356" s="1844"/>
      <c r="S356" s="1844"/>
      <c r="T356" s="1844"/>
      <c r="U356" s="1844"/>
      <c r="V356" s="1844"/>
      <c r="W356" s="1844"/>
      <c r="X356" s="1844"/>
      <c r="Y356" s="1844"/>
      <c r="Z356" s="1844"/>
      <c r="AA356" s="1844"/>
      <c r="AB356" s="1844"/>
    </row>
    <row r="357" spans="2:28" s="1843" customFormat="1" hidden="1" outlineLevel="2">
      <c r="B357" s="2061" t="s">
        <v>1769</v>
      </c>
      <c r="C357" s="1844"/>
      <c r="D357" s="2069" t="s">
        <v>1878</v>
      </c>
      <c r="E357" s="2084"/>
      <c r="F357" s="2084" t="s">
        <v>1879</v>
      </c>
      <c r="G357" s="2085"/>
      <c r="H357" s="2085"/>
      <c r="I357" s="2085"/>
      <c r="J357" s="2085"/>
      <c r="K357" s="2085"/>
      <c r="L357" s="2085"/>
      <c r="M357" s="2085"/>
      <c r="N357" s="2085"/>
      <c r="O357" s="1849"/>
      <c r="P357" s="1849"/>
      <c r="S357" s="1844"/>
      <c r="T357" s="1844"/>
      <c r="U357" s="1844"/>
      <c r="V357" s="1844"/>
      <c r="W357" s="1844"/>
      <c r="X357" s="1844"/>
      <c r="Y357" s="1844"/>
      <c r="Z357" s="1844"/>
      <c r="AA357" s="1844"/>
      <c r="AB357" s="1844"/>
    </row>
    <row r="358" spans="2:28" s="1843" customFormat="1" ht="12.75" hidden="1" customHeight="1" outlineLevel="2">
      <c r="C358" s="1844"/>
      <c r="D358" s="1866" t="s">
        <v>1813</v>
      </c>
      <c r="E358" s="2086">
        <f>IF(E$211&gt;=60,"MS",0)</f>
        <v>0</v>
      </c>
      <c r="F358" s="2086" t="str">
        <f>IF(F$211&gt;=60,"MS",0)</f>
        <v>MS</v>
      </c>
      <c r="G358" s="2086" t="str">
        <f>IF(G$211&gt;=60,"MS",0)</f>
        <v>MS</v>
      </c>
      <c r="H358" s="2086" t="str">
        <f>IF(H$211&gt;=60,"MS",0)</f>
        <v>MS</v>
      </c>
      <c r="I358" s="2086" t="str">
        <f>IF(I$211&gt;=60,"MS",0)</f>
        <v>MS</v>
      </c>
      <c r="J358" s="2086" t="str">
        <f t="shared" ref="J358:K358" si="186">IF(J$211&gt;=60,"MS",0)</f>
        <v>MS</v>
      </c>
      <c r="K358" s="2086">
        <f t="shared" si="186"/>
        <v>0</v>
      </c>
      <c r="L358" s="2087"/>
      <c r="M358" s="2087"/>
      <c r="N358" s="2087"/>
      <c r="O358" s="1844"/>
      <c r="P358" s="1869" t="s">
        <v>1880</v>
      </c>
      <c r="S358" s="1844"/>
      <c r="T358" s="1844"/>
      <c r="U358" s="1844"/>
      <c r="V358" s="1844"/>
      <c r="W358" s="1844"/>
      <c r="X358" s="1844"/>
      <c r="Y358" s="1844"/>
      <c r="Z358" s="1844"/>
      <c r="AA358" s="1844"/>
      <c r="AB358" s="1844"/>
    </row>
    <row r="359" spans="2:28" s="1843" customFormat="1" hidden="1" outlineLevel="2">
      <c r="C359" s="1844"/>
      <c r="D359" s="1866" t="s">
        <v>1813</v>
      </c>
      <c r="E359" s="2088" t="str">
        <f t="shared" ref="E359:J359" si="187">IF(ISTEXT(D$211),"na",IF(AND(E$211&gt;30,E$211&lt;60,E$211&gt;D$211),"MS",IF(E$211&gt;=60,"MS",0)))</f>
        <v>na</v>
      </c>
      <c r="F359" s="2088" t="str">
        <f t="shared" si="187"/>
        <v>MS</v>
      </c>
      <c r="G359" s="2088" t="str">
        <f t="shared" si="187"/>
        <v>MS</v>
      </c>
      <c r="H359" s="2088" t="str">
        <f t="shared" si="187"/>
        <v>MS</v>
      </c>
      <c r="I359" s="2088" t="str">
        <f t="shared" si="187"/>
        <v>MS</v>
      </c>
      <c r="J359" s="2088" t="str">
        <f t="shared" si="187"/>
        <v>MS</v>
      </c>
      <c r="K359" s="2088">
        <f t="shared" ref="K359" si="188">IF(ISNUMBER(J$211),IF(AND(K$211&gt;=30,K$211&lt;=60,(K$211-J$211)&gt;0),"MS",0),0)</f>
        <v>0</v>
      </c>
      <c r="L359" s="2087"/>
      <c r="M359" s="2087"/>
      <c r="N359" s="2087"/>
      <c r="O359" s="1844"/>
      <c r="P359" s="1869" t="s">
        <v>1881</v>
      </c>
      <c r="S359" s="1844"/>
      <c r="T359" s="1844"/>
      <c r="U359" s="1844"/>
      <c r="V359" s="1844"/>
      <c r="W359" s="1844"/>
      <c r="X359" s="1844"/>
      <c r="Y359" s="1844"/>
      <c r="Z359" s="1844"/>
      <c r="AA359" s="1844"/>
      <c r="AB359" s="1844"/>
    </row>
    <row r="360" spans="2:28" s="1843" customFormat="1" hidden="1" outlineLevel="2">
      <c r="C360" s="1844"/>
      <c r="D360" s="1866" t="s">
        <v>1818</v>
      </c>
      <c r="E360" s="2086">
        <f>IF(AND(E$211&gt;=15,E$211&lt;=29),"DNMS",0)</f>
        <v>0</v>
      </c>
      <c r="F360" s="2086">
        <f>IF(AND(F$211&gt;=15,F$211&lt;=29),"DNMS",0)</f>
        <v>0</v>
      </c>
      <c r="G360" s="2086">
        <f>IF(AND(G$211&gt;=15,G$211&lt;=29),"DNMS",0)</f>
        <v>0</v>
      </c>
      <c r="H360" s="2086">
        <f>IF(AND(H$211&gt;=15,H$211&lt;=29),"DNMS",0)</f>
        <v>0</v>
      </c>
      <c r="I360" s="2086">
        <f>IF(AND(I$211&gt;=15,I$211&lt;=29),"DNMS",0)</f>
        <v>0</v>
      </c>
      <c r="J360" s="2086">
        <f t="shared" ref="J360:K360" si="189">IF(AND(J$211&gt;=15,J$211&lt;=29),"DNMS",0)</f>
        <v>0</v>
      </c>
      <c r="K360" s="2086">
        <f t="shared" si="189"/>
        <v>0</v>
      </c>
      <c r="L360" s="2087"/>
      <c r="M360" s="2087"/>
      <c r="N360" s="2087"/>
      <c r="O360" s="1844"/>
      <c r="P360" s="1869" t="s">
        <v>1882</v>
      </c>
      <c r="S360" s="1844"/>
      <c r="T360" s="1844"/>
      <c r="U360" s="1844"/>
      <c r="V360" s="1844"/>
      <c r="W360" s="1844"/>
      <c r="X360" s="1844"/>
      <c r="Y360" s="1844"/>
      <c r="Z360" s="1844"/>
      <c r="AA360" s="1844"/>
      <c r="AB360" s="1844"/>
    </row>
    <row r="361" spans="2:28" s="1843" customFormat="1" hidden="1" outlineLevel="2">
      <c r="C361" s="1844"/>
      <c r="D361" s="1866" t="s">
        <v>1818</v>
      </c>
      <c r="E361" s="2088">
        <f>IFERROR(IF(ISNUMBER(E$211),IF(AND(E$211&gt;=30,E$211&lt;=60,(E$211-D$211)&lt;0),"DNMS",0),0),0)</f>
        <v>0</v>
      </c>
      <c r="F361" s="2088">
        <f>IFERROR(IF(ISNUMBER(F$211),IF(AND(F$211&gt;=30,F$211&lt;=60,(F$211-E$211)&lt;0),"DNMS",0),0),0)</f>
        <v>0</v>
      </c>
      <c r="G361" s="2088">
        <f t="shared" ref="G361:N361" si="190">IFERROR(IF(ISNUMBER(G$211),IF(AND(G$211&gt;=30,G$211&lt;=60,(G$211-F$211)&lt;0),"DNMS",0),0),0)</f>
        <v>0</v>
      </c>
      <c r="H361" s="2088">
        <f t="shared" si="190"/>
        <v>0</v>
      </c>
      <c r="I361" s="2088">
        <f t="shared" si="190"/>
        <v>0</v>
      </c>
      <c r="J361" s="2088">
        <f t="shared" si="190"/>
        <v>0</v>
      </c>
      <c r="K361" s="2088">
        <f t="shared" si="190"/>
        <v>0</v>
      </c>
      <c r="L361" s="2087">
        <f t="shared" si="190"/>
        <v>0</v>
      </c>
      <c r="M361" s="2087">
        <f t="shared" si="190"/>
        <v>0</v>
      </c>
      <c r="N361" s="2087">
        <f t="shared" si="190"/>
        <v>0</v>
      </c>
      <c r="O361" s="1844"/>
      <c r="P361" s="1869" t="s">
        <v>1883</v>
      </c>
      <c r="S361" s="1844"/>
      <c r="T361" s="1844"/>
      <c r="U361" s="1844"/>
      <c r="V361" s="1844"/>
      <c r="W361" s="1844"/>
      <c r="X361" s="1844"/>
      <c r="Y361" s="1844"/>
      <c r="Z361" s="1844"/>
      <c r="AA361" s="1844"/>
      <c r="AB361" s="1844"/>
    </row>
    <row r="362" spans="2:28" s="1843" customFormat="1" ht="12.75" hidden="1" customHeight="1" outlineLevel="2">
      <c r="C362" s="1844"/>
      <c r="D362" s="1866" t="s">
        <v>1824</v>
      </c>
      <c r="E362" s="2086">
        <f t="shared" ref="E362:N362" si="191">IF(E30=0,0,IF(E$211&lt;15,"FFBS",0))</f>
        <v>0</v>
      </c>
      <c r="F362" s="2086">
        <f t="shared" si="191"/>
        <v>0</v>
      </c>
      <c r="G362" s="2086">
        <f t="shared" si="191"/>
        <v>0</v>
      </c>
      <c r="H362" s="2086">
        <f t="shared" si="191"/>
        <v>0</v>
      </c>
      <c r="I362" s="2086">
        <f t="shared" si="191"/>
        <v>0</v>
      </c>
      <c r="J362" s="2086">
        <f t="shared" si="191"/>
        <v>0</v>
      </c>
      <c r="K362" s="2086">
        <f t="shared" si="191"/>
        <v>0</v>
      </c>
      <c r="L362" s="2087">
        <f t="shared" si="191"/>
        <v>0</v>
      </c>
      <c r="M362" s="2087">
        <f t="shared" si="191"/>
        <v>0</v>
      </c>
      <c r="N362" s="2087">
        <f t="shared" si="191"/>
        <v>0</v>
      </c>
      <c r="O362" s="1844"/>
      <c r="P362" s="1869" t="s">
        <v>1884</v>
      </c>
      <c r="S362" s="1844"/>
      <c r="T362" s="1844"/>
      <c r="U362" s="1844"/>
      <c r="V362" s="1844"/>
      <c r="W362" s="1844"/>
      <c r="X362" s="1844"/>
      <c r="Y362" s="1844"/>
      <c r="Z362" s="1844"/>
      <c r="AA362" s="1844"/>
      <c r="AB362" s="1844"/>
    </row>
    <row r="363" spans="2:28" s="1843" customFormat="1" hidden="1" outlineLevel="2">
      <c r="C363" s="1844"/>
      <c r="D363" s="2089"/>
      <c r="E363" s="2090" t="str">
        <f t="shared" ref="E363:J363" si="192">+IF(ISTEXT(D$226),"n/a",IF(E$206&gt;0,IF(OR(E358="ms",E359="ms"),"MS",IF(OR(E360="DNMS",E361="DNMS"),"DNMS",IF(E362="FFBS","FFBS",0))),0))</f>
        <v>n/a</v>
      </c>
      <c r="F363" s="2090" t="str">
        <f t="shared" si="192"/>
        <v>MS</v>
      </c>
      <c r="G363" s="2090" t="str">
        <f t="shared" si="192"/>
        <v>MS</v>
      </c>
      <c r="H363" s="2090" t="str">
        <f t="shared" si="192"/>
        <v>MS</v>
      </c>
      <c r="I363" s="2090" t="str">
        <f t="shared" si="192"/>
        <v>MS</v>
      </c>
      <c r="J363" s="2090" t="str">
        <f t="shared" si="192"/>
        <v>MS</v>
      </c>
      <c r="K363" s="1904">
        <f>IF(K$206&gt;0,IF(OR(K$358="ms",K359="ms"),"MS",IF(OR(K360="DNMS",K361="DNMS"),"DNMS",IF(K362="FFBS","FFBS",0))),0)</f>
        <v>0</v>
      </c>
      <c r="L363" s="1904">
        <f>IF(L$206&gt;0,IF(OR(L$358="ms",L359="ms"),"MS",IF(OR(L360="DNMS",L361="DNMS"),"DNMS",IF(L362="FFBS","FFBS",0))),0)</f>
        <v>0</v>
      </c>
      <c r="M363" s="1904">
        <f>IF(M$206&gt;0,IF(OR(M$358="ms",M359="ms"),"MS",IF(OR(M360="DNMS",M361="DNMS"),"DNMS",IF(M362="FFBS","FFBS",0))),0)</f>
        <v>0</v>
      </c>
      <c r="N363" s="1904">
        <f>IF(N$206&gt;0,IF(OR(N$358="ms",N359="ms"),"MS",IF(OR(N360="DNMS",N361="DNMS"),"DNMS",IF(N362="FFBS","FFBS",0))),0)</f>
        <v>0</v>
      </c>
      <c r="O363" s="1844"/>
      <c r="P363" s="1844"/>
      <c r="S363" s="1844"/>
      <c r="T363" s="1844"/>
      <c r="U363" s="1844"/>
      <c r="V363" s="1844"/>
      <c r="W363" s="1844"/>
      <c r="X363" s="1844"/>
      <c r="Y363" s="1844"/>
      <c r="Z363" s="1844"/>
      <c r="AA363" s="1844"/>
      <c r="AB363" s="1844"/>
    </row>
    <row r="364" spans="2:28" s="1843" customFormat="1" hidden="1" outlineLevel="2">
      <c r="C364" s="1844"/>
      <c r="D364" s="1866" t="s">
        <v>1885</v>
      </c>
      <c r="E364" s="1904">
        <f>IF(E$86&gt;0,0,1)</f>
        <v>0</v>
      </c>
      <c r="F364" s="1904">
        <f>IF(F$86&gt;0,0,1)</f>
        <v>0</v>
      </c>
      <c r="G364" s="1904">
        <f>IF(G$86&gt;0,0,1)</f>
        <v>0</v>
      </c>
      <c r="H364" s="1904">
        <f t="shared" ref="H364:N364" si="193">IF(H$85&gt;0,0,1)</f>
        <v>1</v>
      </c>
      <c r="I364" s="1904">
        <f t="shared" si="193"/>
        <v>1</v>
      </c>
      <c r="J364" s="1904">
        <f t="shared" si="193"/>
        <v>1</v>
      </c>
      <c r="K364" s="1904">
        <f t="shared" si="193"/>
        <v>1</v>
      </c>
      <c r="L364" s="1904">
        <f t="shared" si="193"/>
        <v>1</v>
      </c>
      <c r="M364" s="1904">
        <f t="shared" si="193"/>
        <v>1</v>
      </c>
      <c r="N364" s="1904">
        <f t="shared" si="193"/>
        <v>1</v>
      </c>
      <c r="O364" s="1844"/>
      <c r="P364" s="1844"/>
      <c r="S364" s="1844"/>
      <c r="T364" s="1844"/>
      <c r="U364" s="1844"/>
      <c r="V364" s="1844"/>
      <c r="W364" s="1844"/>
      <c r="X364" s="1844"/>
      <c r="Y364" s="1844"/>
      <c r="Z364" s="1844"/>
      <c r="AA364" s="1844"/>
      <c r="AB364" s="1844"/>
    </row>
    <row r="365" spans="2:28" s="1843" customFormat="1" hidden="1" outlineLevel="2">
      <c r="C365" s="1844"/>
      <c r="D365" s="1866" t="s">
        <v>1886</v>
      </c>
      <c r="E365" s="1904">
        <f>IF($E$16=$E$18,1,0)</f>
        <v>1</v>
      </c>
      <c r="F365" s="1904">
        <f t="shared" ref="F365:N365" si="194">IF($E$16=$E$18,1,0)</f>
        <v>1</v>
      </c>
      <c r="G365" s="1904">
        <f t="shared" si="194"/>
        <v>1</v>
      </c>
      <c r="H365" s="1904">
        <f t="shared" si="194"/>
        <v>1</v>
      </c>
      <c r="I365" s="1904">
        <f t="shared" si="194"/>
        <v>1</v>
      </c>
      <c r="J365" s="1904">
        <f t="shared" si="194"/>
        <v>1</v>
      </c>
      <c r="K365" s="1904">
        <f t="shared" si="194"/>
        <v>1</v>
      </c>
      <c r="L365" s="1904">
        <f t="shared" si="194"/>
        <v>1</v>
      </c>
      <c r="M365" s="1904">
        <f t="shared" si="194"/>
        <v>1</v>
      </c>
      <c r="N365" s="1904">
        <f t="shared" si="194"/>
        <v>1</v>
      </c>
      <c r="O365" s="1844"/>
      <c r="P365" s="1844"/>
      <c r="S365" s="1844"/>
      <c r="T365" s="1844"/>
      <c r="U365" s="1844"/>
      <c r="V365" s="1844"/>
      <c r="W365" s="1844"/>
      <c r="X365" s="1844"/>
      <c r="Y365" s="1844"/>
      <c r="Z365" s="1844"/>
      <c r="AA365" s="1844"/>
      <c r="AB365" s="1844"/>
    </row>
    <row r="366" spans="2:28" s="1843" customFormat="1" hidden="1" outlineLevel="2">
      <c r="C366" s="1844"/>
      <c r="D366" s="1866" t="s">
        <v>1887</v>
      </c>
      <c r="E366" s="2091">
        <f t="shared" ref="E366:N366" si="195">IF(E$211&gt;15,1,0)</f>
        <v>1</v>
      </c>
      <c r="F366" s="2091">
        <f t="shared" si="195"/>
        <v>1</v>
      </c>
      <c r="G366" s="2087">
        <f t="shared" si="195"/>
        <v>1</v>
      </c>
      <c r="H366" s="2087">
        <f t="shared" si="195"/>
        <v>1</v>
      </c>
      <c r="I366" s="2087">
        <f t="shared" si="195"/>
        <v>1</v>
      </c>
      <c r="J366" s="2087">
        <f t="shared" si="195"/>
        <v>1</v>
      </c>
      <c r="K366" s="2087">
        <f t="shared" si="195"/>
        <v>0</v>
      </c>
      <c r="L366" s="2087">
        <f t="shared" si="195"/>
        <v>0</v>
      </c>
      <c r="M366" s="2087">
        <f t="shared" si="195"/>
        <v>0</v>
      </c>
      <c r="N366" s="2087">
        <f t="shared" si="195"/>
        <v>0</v>
      </c>
      <c r="O366" s="1844"/>
      <c r="P366" s="1844"/>
      <c r="S366" s="1844"/>
      <c r="T366" s="1844"/>
      <c r="U366" s="1844"/>
      <c r="V366" s="1844"/>
      <c r="W366" s="1844"/>
      <c r="X366" s="1844"/>
      <c r="Y366" s="1844"/>
      <c r="Z366" s="1844"/>
      <c r="AA366" s="1844"/>
      <c r="AB366" s="1844"/>
    </row>
    <row r="367" spans="2:28" s="1843" customFormat="1" hidden="1" outlineLevel="2">
      <c r="C367" s="1844"/>
      <c r="D367" s="1866" t="s">
        <v>1888</v>
      </c>
      <c r="E367" s="1904">
        <f t="shared" ref="E367:N367" si="196">IF(E$30&gt;0,IF(E$211&gt;15,1,0),0)</f>
        <v>1</v>
      </c>
      <c r="F367" s="1904">
        <f t="shared" si="196"/>
        <v>1</v>
      </c>
      <c r="G367" s="1904">
        <f t="shared" si="196"/>
        <v>1</v>
      </c>
      <c r="H367" s="1904">
        <f t="shared" si="196"/>
        <v>1</v>
      </c>
      <c r="I367" s="1904">
        <f t="shared" si="196"/>
        <v>1</v>
      </c>
      <c r="J367" s="1904">
        <f t="shared" si="196"/>
        <v>1</v>
      </c>
      <c r="K367" s="1904">
        <f t="shared" si="196"/>
        <v>0</v>
      </c>
      <c r="L367" s="1904">
        <f t="shared" si="196"/>
        <v>0</v>
      </c>
      <c r="M367" s="1904">
        <f t="shared" si="196"/>
        <v>0</v>
      </c>
      <c r="N367" s="1904">
        <f t="shared" si="196"/>
        <v>0</v>
      </c>
      <c r="O367" s="1844"/>
      <c r="P367" s="1844"/>
      <c r="Q367" s="2092" t="s">
        <v>1889</v>
      </c>
      <c r="S367" s="1844"/>
      <c r="T367" s="1844"/>
      <c r="U367" s="1844"/>
      <c r="V367" s="1844"/>
      <c r="W367" s="1844"/>
      <c r="X367" s="1844"/>
      <c r="Y367" s="1844"/>
      <c r="Z367" s="1844"/>
      <c r="AA367" s="1844"/>
      <c r="AB367" s="1844"/>
    </row>
    <row r="368" spans="2:28" s="1843" customFormat="1" hidden="1" outlineLevel="2">
      <c r="C368" s="1844"/>
      <c r="D368" s="1866" t="s">
        <v>1890</v>
      </c>
      <c r="E368" s="1904">
        <f t="shared" ref="E368:N368" si="197">IF(OR(E365=1,E3=1),1,0)</f>
        <v>1</v>
      </c>
      <c r="F368" s="1904">
        <f t="shared" si="197"/>
        <v>1</v>
      </c>
      <c r="G368" s="1904">
        <f t="shared" si="197"/>
        <v>1</v>
      </c>
      <c r="H368" s="1904">
        <f t="shared" si="197"/>
        <v>1</v>
      </c>
      <c r="I368" s="1904">
        <f t="shared" si="197"/>
        <v>1</v>
      </c>
      <c r="J368" s="1904">
        <f t="shared" si="197"/>
        <v>1</v>
      </c>
      <c r="K368" s="1904">
        <f t="shared" si="197"/>
        <v>1</v>
      </c>
      <c r="L368" s="1904">
        <f t="shared" si="197"/>
        <v>1</v>
      </c>
      <c r="M368" s="1904">
        <f t="shared" si="197"/>
        <v>1</v>
      </c>
      <c r="N368" s="1904">
        <f t="shared" si="197"/>
        <v>1</v>
      </c>
      <c r="O368" s="1844"/>
      <c r="P368" s="1844"/>
      <c r="S368" s="1844"/>
      <c r="T368" s="1844"/>
      <c r="U368" s="1844"/>
      <c r="V368" s="1844"/>
      <c r="W368" s="1844"/>
      <c r="X368" s="1844"/>
      <c r="Y368" s="1844"/>
      <c r="Z368" s="1844"/>
      <c r="AA368" s="1844"/>
      <c r="AB368" s="1844"/>
    </row>
    <row r="369" spans="2:28" s="1843" customFormat="1" hidden="1" outlineLevel="2">
      <c r="C369" s="1844"/>
      <c r="D369" s="1866" t="s">
        <v>1891</v>
      </c>
      <c r="E369" s="1904">
        <f t="shared" ref="E369:N369" si="198">IF(E$30&gt;0,IF(E$211&gt;30,1,0),0)</f>
        <v>1</v>
      </c>
      <c r="F369" s="1904">
        <f t="shared" si="198"/>
        <v>1</v>
      </c>
      <c r="G369" s="1904">
        <f t="shared" si="198"/>
        <v>1</v>
      </c>
      <c r="H369" s="1904">
        <f t="shared" si="198"/>
        <v>1</v>
      </c>
      <c r="I369" s="1904">
        <f t="shared" si="198"/>
        <v>1</v>
      </c>
      <c r="J369" s="1904">
        <f t="shared" si="198"/>
        <v>1</v>
      </c>
      <c r="K369" s="1904">
        <f t="shared" si="198"/>
        <v>0</v>
      </c>
      <c r="L369" s="1904">
        <f t="shared" si="198"/>
        <v>0</v>
      </c>
      <c r="M369" s="1904">
        <f t="shared" si="198"/>
        <v>0</v>
      </c>
      <c r="N369" s="1904">
        <f t="shared" si="198"/>
        <v>0</v>
      </c>
      <c r="O369" s="1844"/>
      <c r="P369" s="1844"/>
      <c r="S369" s="1844"/>
      <c r="T369" s="1844"/>
      <c r="U369" s="1844"/>
      <c r="V369" s="1844"/>
      <c r="W369" s="1844"/>
      <c r="X369" s="1844"/>
      <c r="Y369" s="1844"/>
      <c r="Z369" s="1844"/>
      <c r="AA369" s="1844"/>
      <c r="AB369" s="1844"/>
    </row>
    <row r="370" spans="2:28" s="1843" customFormat="1" hidden="1" outlineLevel="2">
      <c r="C370" s="1844"/>
      <c r="D370" s="1866" t="s">
        <v>1892</v>
      </c>
      <c r="E370" s="1904" t="str">
        <f>IF(OR(E369=1,E367=1,E358="ms",E359="ms"),"MS",0)</f>
        <v>MS</v>
      </c>
      <c r="F370" s="1904" t="str">
        <f t="shared" ref="F370:N370" si="199">IF(OR(F369=1,F367=1,F358="ms",F359="ms"),"MS",0)</f>
        <v>MS</v>
      </c>
      <c r="G370" s="1904" t="str">
        <f t="shared" si="199"/>
        <v>MS</v>
      </c>
      <c r="H370" s="1904" t="str">
        <f t="shared" si="199"/>
        <v>MS</v>
      </c>
      <c r="I370" s="1904" t="str">
        <f t="shared" si="199"/>
        <v>MS</v>
      </c>
      <c r="J370" s="1904" t="str">
        <f t="shared" si="199"/>
        <v>MS</v>
      </c>
      <c r="K370" s="1904">
        <f t="shared" si="199"/>
        <v>0</v>
      </c>
      <c r="L370" s="1904">
        <f t="shared" si="199"/>
        <v>0</v>
      </c>
      <c r="M370" s="1904">
        <f t="shared" si="199"/>
        <v>0</v>
      </c>
      <c r="N370" s="1904">
        <f t="shared" si="199"/>
        <v>0</v>
      </c>
      <c r="O370" s="1844"/>
      <c r="P370" s="1844"/>
      <c r="S370" s="1844"/>
      <c r="T370" s="1844"/>
      <c r="U370" s="1844"/>
      <c r="V370" s="1844"/>
      <c r="W370" s="1844"/>
      <c r="X370" s="1844"/>
      <c r="Y370" s="1844"/>
      <c r="Z370" s="1844"/>
      <c r="AA370" s="1844"/>
      <c r="AB370" s="1844"/>
    </row>
    <row r="371" spans="2:28" s="1843" customFormat="1" hidden="1" outlineLevel="2">
      <c r="C371" s="1844"/>
      <c r="D371" s="1866" t="s">
        <v>1579</v>
      </c>
      <c r="E371" s="1869"/>
      <c r="F371" s="1869"/>
      <c r="G371" s="1866"/>
      <c r="H371" s="1866"/>
      <c r="I371" s="1866"/>
      <c r="J371" s="1866"/>
      <c r="K371" s="1866"/>
      <c r="L371" s="1866"/>
      <c r="M371" s="1866"/>
      <c r="N371" s="1866"/>
      <c r="O371" s="1844"/>
      <c r="P371" s="1844"/>
      <c r="S371" s="1844"/>
      <c r="T371" s="1844"/>
      <c r="U371" s="1844"/>
      <c r="V371" s="1844"/>
      <c r="W371" s="1844"/>
      <c r="X371" s="1844"/>
      <c r="Y371" s="1844"/>
      <c r="Z371" s="1844"/>
      <c r="AA371" s="1844"/>
      <c r="AB371" s="1844"/>
    </row>
    <row r="372" spans="2:28" s="1843" customFormat="1" hidden="1" outlineLevel="2">
      <c r="C372" s="1844"/>
      <c r="D372" s="1866" t="s">
        <v>1577</v>
      </c>
      <c r="E372" s="2083"/>
      <c r="F372" s="1869"/>
      <c r="G372" s="1844"/>
      <c r="H372" s="1844"/>
      <c r="I372" s="1844"/>
      <c r="J372" s="1844"/>
      <c r="K372" s="1844"/>
      <c r="L372" s="1844"/>
      <c r="M372" s="1844"/>
      <c r="N372" s="1844"/>
      <c r="O372" s="1844"/>
      <c r="P372" s="1844"/>
      <c r="S372" s="1844"/>
      <c r="T372" s="1844"/>
      <c r="U372" s="1844"/>
      <c r="V372" s="1844"/>
      <c r="W372" s="1844"/>
      <c r="X372" s="1844"/>
      <c r="Y372" s="1844"/>
      <c r="Z372" s="1844"/>
      <c r="AA372" s="1844"/>
      <c r="AB372" s="1844"/>
    </row>
    <row r="373" spans="2:28" s="1843" customFormat="1" hidden="1" outlineLevel="2">
      <c r="C373" s="1844"/>
      <c r="D373" s="1866"/>
      <c r="E373" s="2083" t="str">
        <f>+IF(ISTEXT(D$226),"na",D$226)</f>
        <v>na</v>
      </c>
      <c r="F373" s="1869"/>
      <c r="G373" s="1844"/>
      <c r="H373" s="1844"/>
      <c r="I373" s="1844"/>
      <c r="J373" s="1844"/>
      <c r="K373" s="1844"/>
      <c r="L373" s="1844"/>
      <c r="M373" s="1844"/>
      <c r="N373" s="1844"/>
      <c r="O373" s="1844"/>
      <c r="P373" s="1844"/>
      <c r="S373" s="1844"/>
      <c r="T373" s="1844"/>
      <c r="U373" s="1844"/>
      <c r="V373" s="1844"/>
      <c r="W373" s="1844"/>
      <c r="X373" s="1844"/>
      <c r="Y373" s="1844"/>
      <c r="Z373" s="1844"/>
      <c r="AA373" s="1844"/>
      <c r="AB373" s="1844"/>
    </row>
    <row r="374" spans="2:28" s="1843" customFormat="1" hidden="1" outlineLevel="2">
      <c r="B374" s="2061" t="s">
        <v>1782</v>
      </c>
      <c r="C374" s="1844"/>
      <c r="D374" s="2069" t="s">
        <v>1893</v>
      </c>
      <c r="E374" s="2084"/>
      <c r="F374" s="2084" t="s">
        <v>1879</v>
      </c>
      <c r="G374" s="2085"/>
      <c r="H374" s="2085"/>
      <c r="I374" s="2085"/>
      <c r="J374" s="2085"/>
      <c r="K374" s="2085"/>
      <c r="L374" s="2085"/>
      <c r="M374" s="2085"/>
      <c r="N374" s="2085"/>
      <c r="O374" s="1849"/>
      <c r="P374" s="1849"/>
      <c r="S374" s="1844"/>
      <c r="T374" s="1844"/>
      <c r="U374" s="1844"/>
      <c r="V374" s="1844"/>
      <c r="W374" s="1844"/>
      <c r="X374" s="1844"/>
      <c r="Y374" s="1844"/>
      <c r="Z374" s="1844"/>
      <c r="AA374" s="1844"/>
      <c r="AB374" s="1844"/>
    </row>
    <row r="375" spans="2:28" s="1843" customFormat="1" hidden="1" outlineLevel="2">
      <c r="C375" s="1844"/>
      <c r="D375" s="1866" t="s">
        <v>1894</v>
      </c>
      <c r="E375" s="2093">
        <f>IF(OR((E16=E4),(E16=F4)),E4-$E$4,0)</f>
        <v>0</v>
      </c>
      <c r="F375" s="2093">
        <f>IF(OR((F16=F4),(F16=G4)),F4-$E$4,0)</f>
        <v>0</v>
      </c>
      <c r="G375" s="2004"/>
      <c r="H375" s="2004"/>
      <c r="I375" s="2004"/>
      <c r="J375" s="2004"/>
      <c r="K375" s="2004"/>
      <c r="L375" s="2004"/>
      <c r="M375" s="2004"/>
      <c r="N375" s="2004"/>
    </row>
    <row r="376" spans="2:28" s="1843" customFormat="1" hidden="1" outlineLevel="2">
      <c r="C376" s="1844"/>
      <c r="D376" s="1866" t="s">
        <v>1813</v>
      </c>
      <c r="E376" s="2086">
        <f t="shared" ref="E376:N376" si="200">IF(E$226&gt;=60,"MS",0)</f>
        <v>0</v>
      </c>
      <c r="F376" s="2086" t="str">
        <f t="shared" si="200"/>
        <v>MS</v>
      </c>
      <c r="G376" s="2086" t="str">
        <f t="shared" si="200"/>
        <v>MS</v>
      </c>
      <c r="H376" s="2086" t="str">
        <f t="shared" si="200"/>
        <v>MS</v>
      </c>
      <c r="I376" s="2086" t="str">
        <f t="shared" si="200"/>
        <v>MS</v>
      </c>
      <c r="J376" s="2086" t="str">
        <f t="shared" si="200"/>
        <v>MS</v>
      </c>
      <c r="K376" s="2086">
        <f t="shared" si="200"/>
        <v>0</v>
      </c>
      <c r="L376" s="2086">
        <f t="shared" si="200"/>
        <v>0</v>
      </c>
      <c r="M376" s="2086">
        <f t="shared" si="200"/>
        <v>0</v>
      </c>
      <c r="N376" s="2086">
        <f t="shared" si="200"/>
        <v>0</v>
      </c>
      <c r="O376" s="1844"/>
      <c r="P376" s="1869" t="s">
        <v>1880</v>
      </c>
      <c r="S376" s="1844"/>
      <c r="T376" s="1844"/>
      <c r="U376" s="1844"/>
      <c r="V376" s="1844"/>
      <c r="W376" s="1844"/>
      <c r="X376" s="1844"/>
      <c r="Y376" s="1844"/>
      <c r="Z376" s="1844"/>
      <c r="AA376" s="1844"/>
      <c r="AB376" s="1844"/>
    </row>
    <row r="377" spans="2:28" s="1843" customFormat="1" hidden="1" outlineLevel="2">
      <c r="C377" s="1844"/>
      <c r="D377" s="1866" t="s">
        <v>1895</v>
      </c>
      <c r="E377" s="2088" t="str">
        <f>IF(ISTEXT(D$226),"na",IF(AND(E$226&gt;30,E$226&lt;60,E$226&gt;D$226),"MS",IF(E$226&gt;=60,"MS",0)))</f>
        <v>na</v>
      </c>
      <c r="F377" s="2088" t="str">
        <f>IF(ISTEXT(E$226),"na",IF(AND(F$226&gt;30,F$226&lt;60,F$226&gt;E$226),"MS",IF(F$226&gt;=60,"MS",0)))</f>
        <v>MS</v>
      </c>
      <c r="G377" s="2088" t="str">
        <f>IF(ISTEXT(F$226),"na",IF(AND(G$226&gt;30,G$226&lt;60,G$226&gt;F$226),"MS",IF(G$226&gt;=60,"MS",0)))</f>
        <v>MS</v>
      </c>
      <c r="H377" s="2088" t="str">
        <f t="shared" ref="H377:J377" si="201">IF(ISTEXT(G$226),"na",IF(AND(H$226&gt;30,H$226&lt;60,H$226&gt;G$226),"MS",IF(H$226&gt;=60,"MS",0)))</f>
        <v>MS</v>
      </c>
      <c r="I377" s="2088" t="str">
        <f t="shared" si="201"/>
        <v>MS</v>
      </c>
      <c r="J377" s="2088" t="str">
        <f t="shared" si="201"/>
        <v>MS</v>
      </c>
      <c r="K377" s="1867">
        <f t="shared" ref="K377:N377" si="202">IF(ISNUMBER(J$226),IF(AND(K$226&gt;=30,K$226&lt;=60,(K$226-J$226)&gt;0),"MS",0),0)</f>
        <v>0</v>
      </c>
      <c r="L377" s="1867">
        <f t="shared" si="202"/>
        <v>0</v>
      </c>
      <c r="M377" s="1867">
        <f t="shared" si="202"/>
        <v>0</v>
      </c>
      <c r="N377" s="1867">
        <f t="shared" si="202"/>
        <v>0</v>
      </c>
      <c r="O377" s="1844"/>
      <c r="P377" s="1869" t="s">
        <v>1881</v>
      </c>
      <c r="S377" s="1844"/>
      <c r="T377" s="1844"/>
      <c r="U377" s="1844"/>
      <c r="V377" s="1844"/>
      <c r="W377" s="1844"/>
      <c r="X377" s="1844"/>
      <c r="Y377" s="1844"/>
      <c r="Z377" s="1844"/>
      <c r="AA377" s="1844"/>
      <c r="AB377" s="1844"/>
    </row>
    <row r="378" spans="2:28" s="1843" customFormat="1" hidden="1" outlineLevel="2">
      <c r="C378" s="1844"/>
      <c r="D378" s="1866" t="s">
        <v>1818</v>
      </c>
      <c r="E378" s="2086">
        <f t="shared" ref="E378:N378" si="203">IF(AND(E$226&gt;=15,E$226&lt;=29),"DNMS",0)</f>
        <v>0</v>
      </c>
      <c r="F378" s="2086">
        <f t="shared" si="203"/>
        <v>0</v>
      </c>
      <c r="G378" s="2086">
        <f t="shared" si="203"/>
        <v>0</v>
      </c>
      <c r="H378" s="2086">
        <f t="shared" si="203"/>
        <v>0</v>
      </c>
      <c r="I378" s="2086">
        <f t="shared" si="203"/>
        <v>0</v>
      </c>
      <c r="J378" s="2086">
        <f t="shared" si="203"/>
        <v>0</v>
      </c>
      <c r="K378" s="2086">
        <f t="shared" si="203"/>
        <v>0</v>
      </c>
      <c r="L378" s="2086">
        <f t="shared" si="203"/>
        <v>0</v>
      </c>
      <c r="M378" s="2086">
        <f t="shared" si="203"/>
        <v>0</v>
      </c>
      <c r="N378" s="2086">
        <f t="shared" si="203"/>
        <v>0</v>
      </c>
      <c r="O378" s="1844"/>
      <c r="P378" s="1869" t="s">
        <v>1882</v>
      </c>
      <c r="S378" s="1844"/>
      <c r="T378" s="1844"/>
      <c r="U378" s="1844"/>
      <c r="V378" s="1844"/>
      <c r="W378" s="1844"/>
      <c r="X378" s="1844"/>
      <c r="Y378" s="1844"/>
      <c r="Z378" s="1844"/>
      <c r="AA378" s="1844"/>
      <c r="AB378" s="1844"/>
    </row>
    <row r="379" spans="2:28" s="1843" customFormat="1" hidden="1" outlineLevel="2">
      <c r="C379" s="1844"/>
      <c r="D379" s="1866" t="s">
        <v>1818</v>
      </c>
      <c r="E379" s="2088">
        <f t="shared" ref="E379:J379" si="204">IF(ISNUMBER(D$226),IF(AND(E$226&gt;=30,E$226&lt;=60,(E$226-D$226)&lt;0),"DNMS",0),0)</f>
        <v>0</v>
      </c>
      <c r="F379" s="2088">
        <f t="shared" si="204"/>
        <v>0</v>
      </c>
      <c r="G379" s="2088">
        <f t="shared" si="204"/>
        <v>0</v>
      </c>
      <c r="H379" s="2088">
        <f t="shared" si="204"/>
        <v>0</v>
      </c>
      <c r="I379" s="2088">
        <f t="shared" si="204"/>
        <v>0</v>
      </c>
      <c r="J379" s="1867">
        <f t="shared" si="204"/>
        <v>0</v>
      </c>
      <c r="K379" s="1867"/>
      <c r="L379" s="1867"/>
      <c r="M379" s="1867"/>
      <c r="N379" s="1867"/>
      <c r="O379" s="1844"/>
      <c r="P379" s="1869" t="s">
        <v>1883</v>
      </c>
      <c r="S379" s="1844"/>
      <c r="T379" s="1844"/>
      <c r="U379" s="1844"/>
      <c r="V379" s="1844"/>
      <c r="W379" s="1844"/>
      <c r="X379" s="1844"/>
      <c r="Y379" s="1844"/>
      <c r="Z379" s="1844"/>
      <c r="AA379" s="1844"/>
      <c r="AB379" s="1844"/>
    </row>
    <row r="380" spans="2:28" s="1843" customFormat="1" hidden="1" outlineLevel="2">
      <c r="C380" s="1844"/>
      <c r="D380" s="1866" t="s">
        <v>1824</v>
      </c>
      <c r="E380" s="2086">
        <f t="shared" ref="E380:N380" si="205">IF(E30=0,0,IF(E$226&lt;15,"FFBS",0))</f>
        <v>0</v>
      </c>
      <c r="F380" s="2086">
        <f t="shared" si="205"/>
        <v>0</v>
      </c>
      <c r="G380" s="2086">
        <f t="shared" si="205"/>
        <v>0</v>
      </c>
      <c r="H380" s="2086">
        <f t="shared" si="205"/>
        <v>0</v>
      </c>
      <c r="I380" s="2086">
        <f t="shared" si="205"/>
        <v>0</v>
      </c>
      <c r="J380" s="2086">
        <f t="shared" si="205"/>
        <v>0</v>
      </c>
      <c r="K380" s="2086">
        <f t="shared" si="205"/>
        <v>0</v>
      </c>
      <c r="L380" s="2086">
        <f t="shared" si="205"/>
        <v>0</v>
      </c>
      <c r="M380" s="2086">
        <f t="shared" si="205"/>
        <v>0</v>
      </c>
      <c r="N380" s="2086">
        <f t="shared" si="205"/>
        <v>0</v>
      </c>
      <c r="O380" s="1844"/>
      <c r="P380" s="1869" t="s">
        <v>1884</v>
      </c>
      <c r="S380" s="1844"/>
      <c r="T380" s="1844"/>
      <c r="U380" s="1844"/>
      <c r="V380" s="1844"/>
      <c r="W380" s="1844"/>
      <c r="X380" s="1844"/>
      <c r="Y380" s="1844"/>
      <c r="Z380" s="1844"/>
      <c r="AA380" s="1844"/>
      <c r="AB380" s="1844"/>
    </row>
    <row r="381" spans="2:28" s="1843" customFormat="1" hidden="1" outlineLevel="2">
      <c r="C381" s="1844"/>
      <c r="D381" s="1866"/>
      <c r="E381" s="2089" t="str">
        <f t="shared" ref="E381:J381" si="206">+IF(ISTEXT(D$226),"n/a",IF(E$206&gt;0,IF(OR(E$376="ms",E377="ms"),"MS",IF(OR(E378="DNMS",E379="DNMS"),"DNMS",IF(E380="FFBS","FFBS",0))),0))</f>
        <v>n/a</v>
      </c>
      <c r="F381" s="2089" t="str">
        <f t="shared" si="206"/>
        <v>MS</v>
      </c>
      <c r="G381" s="2089" t="str">
        <f t="shared" si="206"/>
        <v>MS</v>
      </c>
      <c r="H381" s="2089" t="str">
        <f t="shared" si="206"/>
        <v>MS</v>
      </c>
      <c r="I381" s="2089" t="str">
        <f t="shared" si="206"/>
        <v>MS</v>
      </c>
      <c r="J381" s="2089" t="str">
        <f t="shared" si="206"/>
        <v>MS</v>
      </c>
      <c r="K381" s="2094">
        <f>IF(K$206&gt;0,IF(OR(K$376="ms",K377="ms"),"MS",IF(OR(K378="DNMS",K379="DNMS",#REF!="DNMS"),"DNMS",IF(K380="FFBS","FFBS",0))),0)</f>
        <v>0</v>
      </c>
      <c r="L381" s="2094">
        <f>IF(L$206&gt;0,IF(OR(L$376="ms",L377="ms"),"MS",IF(OR(L378="DNMS",L379="DNMS",#REF!="DNMS"),"DNMS",IF(L380="FFBS","FFBS",0))),0)</f>
        <v>0</v>
      </c>
      <c r="M381" s="2094">
        <f>IF(M$206&gt;0,IF(OR(M$376="ms",M377="ms"),"MS",IF(OR(M378="DNMS",M379="DNMS",#REF!="DNMS"),"DNMS",IF(M380="FFBS","FFBS",0))),0)</f>
        <v>0</v>
      </c>
      <c r="N381" s="2094">
        <f>IF(N$206&gt;0,IF(OR(N$376="ms",N377="ms"),"MS",IF(OR(N378="DNMS",N379="DNMS",#REF!="DNMS"),"DNMS",IF(N380="FFBS","FFBS",0))),0)</f>
        <v>0</v>
      </c>
      <c r="O381" s="1844"/>
      <c r="P381" s="1844"/>
      <c r="S381" s="1844"/>
      <c r="T381" s="1844"/>
      <c r="U381" s="1844"/>
      <c r="V381" s="1844"/>
      <c r="W381" s="1844"/>
      <c r="X381" s="1844"/>
      <c r="Y381" s="1844"/>
      <c r="Z381" s="1844"/>
      <c r="AA381" s="1844"/>
      <c r="AB381" s="1844"/>
    </row>
    <row r="382" spans="2:28" s="1843" customFormat="1" hidden="1" outlineLevel="2">
      <c r="C382" s="1844"/>
      <c r="D382" s="1866" t="s">
        <v>1885</v>
      </c>
      <c r="E382" s="1904">
        <f>IF(E$86&gt;0,0,1)</f>
        <v>0</v>
      </c>
      <c r="F382" s="1904">
        <f>IF(F$86&gt;0,0,1)</f>
        <v>0</v>
      </c>
      <c r="G382" s="1904">
        <f>IF(G$86&gt;0,0,1)</f>
        <v>0</v>
      </c>
      <c r="H382" s="1904">
        <f t="shared" ref="H382:N382" si="207">IF(H$85&gt;0,0,1)</f>
        <v>1</v>
      </c>
      <c r="I382" s="1904">
        <f t="shared" si="207"/>
        <v>1</v>
      </c>
      <c r="J382" s="1904">
        <f t="shared" si="207"/>
        <v>1</v>
      </c>
      <c r="K382" s="1904">
        <f t="shared" si="207"/>
        <v>1</v>
      </c>
      <c r="L382" s="1904">
        <f t="shared" si="207"/>
        <v>1</v>
      </c>
      <c r="M382" s="1904">
        <f t="shared" si="207"/>
        <v>1</v>
      </c>
      <c r="N382" s="1904">
        <f t="shared" si="207"/>
        <v>1</v>
      </c>
      <c r="O382" s="1844"/>
      <c r="P382" s="1844"/>
      <c r="S382" s="1844"/>
      <c r="T382" s="1844"/>
      <c r="U382" s="1844"/>
      <c r="V382" s="1844"/>
      <c r="W382" s="1844"/>
      <c r="X382" s="1844"/>
      <c r="Y382" s="1844"/>
      <c r="Z382" s="1844"/>
      <c r="AA382" s="1844"/>
      <c r="AB382" s="1844"/>
    </row>
    <row r="383" spans="2:28" s="1843" customFormat="1" hidden="1" outlineLevel="2">
      <c r="C383" s="1844"/>
      <c r="D383" s="1866" t="s">
        <v>1886</v>
      </c>
      <c r="E383" s="1904">
        <f>IF($E$16=$E$18,1,0)</f>
        <v>1</v>
      </c>
      <c r="F383" s="1904">
        <f t="shared" ref="F383:N383" si="208">IF($E$16=$E$18,1,0)</f>
        <v>1</v>
      </c>
      <c r="G383" s="1904">
        <f t="shared" si="208"/>
        <v>1</v>
      </c>
      <c r="H383" s="1904">
        <f t="shared" si="208"/>
        <v>1</v>
      </c>
      <c r="I383" s="1904">
        <f t="shared" si="208"/>
        <v>1</v>
      </c>
      <c r="J383" s="1904">
        <f t="shared" si="208"/>
        <v>1</v>
      </c>
      <c r="K383" s="1904">
        <f t="shared" si="208"/>
        <v>1</v>
      </c>
      <c r="L383" s="1904">
        <f t="shared" si="208"/>
        <v>1</v>
      </c>
      <c r="M383" s="1904">
        <f t="shared" si="208"/>
        <v>1</v>
      </c>
      <c r="N383" s="1904">
        <f t="shared" si="208"/>
        <v>1</v>
      </c>
      <c r="O383" s="1844"/>
      <c r="P383" s="1844"/>
      <c r="S383" s="1844"/>
      <c r="T383" s="1844"/>
      <c r="U383" s="1844"/>
      <c r="V383" s="1844"/>
      <c r="W383" s="1844"/>
      <c r="X383" s="1844"/>
      <c r="Y383" s="1844"/>
      <c r="Z383" s="1844"/>
      <c r="AA383" s="1844"/>
      <c r="AB383" s="1844"/>
    </row>
    <row r="384" spans="2:28" s="1843" customFormat="1" hidden="1" outlineLevel="2">
      <c r="C384" s="1844"/>
      <c r="D384" s="1866" t="s">
        <v>1887</v>
      </c>
      <c r="E384" s="2091">
        <f t="shared" ref="E384:N384" si="209">IF(E$211&gt;15,1,0)</f>
        <v>1</v>
      </c>
      <c r="F384" s="2091">
        <f t="shared" si="209"/>
        <v>1</v>
      </c>
      <c r="G384" s="1867">
        <f t="shared" si="209"/>
        <v>1</v>
      </c>
      <c r="H384" s="1867">
        <f t="shared" si="209"/>
        <v>1</v>
      </c>
      <c r="I384" s="1867">
        <f t="shared" si="209"/>
        <v>1</v>
      </c>
      <c r="J384" s="1867">
        <f t="shared" si="209"/>
        <v>1</v>
      </c>
      <c r="K384" s="1867">
        <f t="shared" si="209"/>
        <v>0</v>
      </c>
      <c r="L384" s="1867">
        <f t="shared" si="209"/>
        <v>0</v>
      </c>
      <c r="M384" s="1867">
        <f t="shared" si="209"/>
        <v>0</v>
      </c>
      <c r="N384" s="1867">
        <f t="shared" si="209"/>
        <v>0</v>
      </c>
      <c r="O384" s="1844"/>
      <c r="P384" s="1844"/>
      <c r="S384" s="1844"/>
      <c r="T384" s="1844"/>
      <c r="U384" s="1844"/>
      <c r="V384" s="1844"/>
      <c r="W384" s="1844"/>
      <c r="X384" s="1844"/>
      <c r="Y384" s="1844"/>
      <c r="Z384" s="1844"/>
      <c r="AA384" s="1844"/>
      <c r="AB384" s="1844"/>
    </row>
    <row r="385" spans="3:28" s="1843" customFormat="1" hidden="1" outlineLevel="2">
      <c r="C385" s="1844"/>
      <c r="D385" s="1866" t="s">
        <v>1888</v>
      </c>
      <c r="E385" s="1904">
        <f t="shared" ref="E385:N385" si="210">IF(E$30&gt;0,IF(E$211&gt;15,1,0),0)</f>
        <v>1</v>
      </c>
      <c r="F385" s="1904">
        <f t="shared" si="210"/>
        <v>1</v>
      </c>
      <c r="G385" s="1904">
        <f t="shared" si="210"/>
        <v>1</v>
      </c>
      <c r="H385" s="1904">
        <f t="shared" si="210"/>
        <v>1</v>
      </c>
      <c r="I385" s="1904">
        <f t="shared" si="210"/>
        <v>1</v>
      </c>
      <c r="J385" s="1904">
        <f t="shared" si="210"/>
        <v>1</v>
      </c>
      <c r="K385" s="1904">
        <f t="shared" si="210"/>
        <v>0</v>
      </c>
      <c r="L385" s="1904">
        <f t="shared" si="210"/>
        <v>0</v>
      </c>
      <c r="M385" s="1904">
        <f t="shared" si="210"/>
        <v>0</v>
      </c>
      <c r="N385" s="1904">
        <f t="shared" si="210"/>
        <v>0</v>
      </c>
      <c r="O385" s="1844"/>
      <c r="P385" s="1844"/>
      <c r="Q385" s="2092" t="s">
        <v>1889</v>
      </c>
      <c r="S385" s="1844"/>
      <c r="T385" s="1844"/>
      <c r="U385" s="1844"/>
      <c r="V385" s="1844"/>
      <c r="W385" s="1844"/>
      <c r="X385" s="1844"/>
      <c r="Y385" s="1844"/>
      <c r="Z385" s="1844"/>
      <c r="AA385" s="1844"/>
      <c r="AB385" s="1844"/>
    </row>
    <row r="386" spans="3:28" s="1843" customFormat="1" hidden="1" outlineLevel="2">
      <c r="C386" s="1844"/>
      <c r="D386" s="1866" t="s">
        <v>1890</v>
      </c>
      <c r="E386" s="1904">
        <f t="shared" ref="E386:N386" si="211">IF(OR(E383=1,E20=1),1,0)</f>
        <v>1</v>
      </c>
      <c r="F386" s="1904">
        <f t="shared" si="211"/>
        <v>1</v>
      </c>
      <c r="G386" s="1904">
        <f t="shared" si="211"/>
        <v>1</v>
      </c>
      <c r="H386" s="1904">
        <f t="shared" si="211"/>
        <v>1</v>
      </c>
      <c r="I386" s="1904">
        <f t="shared" si="211"/>
        <v>1</v>
      </c>
      <c r="J386" s="1904">
        <f t="shared" si="211"/>
        <v>1</v>
      </c>
      <c r="K386" s="1904">
        <f t="shared" si="211"/>
        <v>1</v>
      </c>
      <c r="L386" s="1904">
        <f t="shared" si="211"/>
        <v>1</v>
      </c>
      <c r="M386" s="1904">
        <f t="shared" si="211"/>
        <v>1</v>
      </c>
      <c r="N386" s="1904">
        <f t="shared" si="211"/>
        <v>1</v>
      </c>
      <c r="O386" s="1844"/>
      <c r="P386" s="1844"/>
      <c r="S386" s="1844"/>
      <c r="T386" s="1844"/>
      <c r="U386" s="1844"/>
      <c r="V386" s="1844"/>
      <c r="W386" s="1844"/>
      <c r="X386" s="1844"/>
      <c r="Y386" s="1844"/>
      <c r="Z386" s="1844"/>
      <c r="AA386" s="1844"/>
      <c r="AB386" s="1844"/>
    </row>
    <row r="387" spans="3:28" s="1843" customFormat="1" hidden="1" outlineLevel="2">
      <c r="C387" s="1844"/>
      <c r="D387" s="1866" t="s">
        <v>1891</v>
      </c>
      <c r="E387" s="1904">
        <f t="shared" ref="E387:N387" si="212">IF(E$30&gt;0,IF(E$211&gt;30,1,0),0)</f>
        <v>1</v>
      </c>
      <c r="F387" s="1904">
        <f t="shared" si="212"/>
        <v>1</v>
      </c>
      <c r="G387" s="1904">
        <f t="shared" si="212"/>
        <v>1</v>
      </c>
      <c r="H387" s="1904">
        <f t="shared" si="212"/>
        <v>1</v>
      </c>
      <c r="I387" s="1904">
        <f t="shared" si="212"/>
        <v>1</v>
      </c>
      <c r="J387" s="1904">
        <f t="shared" si="212"/>
        <v>1</v>
      </c>
      <c r="K387" s="1904">
        <f t="shared" si="212"/>
        <v>0</v>
      </c>
      <c r="L387" s="1904">
        <f t="shared" si="212"/>
        <v>0</v>
      </c>
      <c r="M387" s="1904">
        <f t="shared" si="212"/>
        <v>0</v>
      </c>
      <c r="N387" s="1904">
        <f t="shared" si="212"/>
        <v>0</v>
      </c>
      <c r="O387" s="1844"/>
      <c r="P387" s="1844"/>
      <c r="S387" s="1844"/>
      <c r="T387" s="1844"/>
      <c r="U387" s="1844"/>
      <c r="V387" s="1844"/>
      <c r="W387" s="1844"/>
      <c r="X387" s="1844"/>
      <c r="Y387" s="1844"/>
      <c r="Z387" s="1844"/>
      <c r="AA387" s="1844"/>
      <c r="AB387" s="1844"/>
    </row>
    <row r="388" spans="3:28" s="1843" customFormat="1" hidden="1" outlineLevel="2">
      <c r="C388" s="1844"/>
      <c r="D388" s="1866" t="s">
        <v>1892</v>
      </c>
      <c r="E388" s="1904" t="str">
        <f t="shared" ref="E388:N388" si="213">IF(OR(E387=1,E385=1,E376="ms",E377="ms"),"MS",0)</f>
        <v>MS</v>
      </c>
      <c r="F388" s="1904" t="str">
        <f t="shared" si="213"/>
        <v>MS</v>
      </c>
      <c r="G388" s="1904" t="str">
        <f t="shared" si="213"/>
        <v>MS</v>
      </c>
      <c r="H388" s="1904" t="str">
        <f t="shared" si="213"/>
        <v>MS</v>
      </c>
      <c r="I388" s="1904" t="str">
        <f t="shared" si="213"/>
        <v>MS</v>
      </c>
      <c r="J388" s="1904" t="str">
        <f t="shared" si="213"/>
        <v>MS</v>
      </c>
      <c r="K388" s="1904">
        <f t="shared" si="213"/>
        <v>0</v>
      </c>
      <c r="L388" s="1904">
        <f t="shared" si="213"/>
        <v>0</v>
      </c>
      <c r="M388" s="1904">
        <f t="shared" si="213"/>
        <v>0</v>
      </c>
      <c r="N388" s="1904">
        <f t="shared" si="213"/>
        <v>0</v>
      </c>
      <c r="O388" s="1844"/>
      <c r="P388" s="1844"/>
      <c r="S388" s="1844"/>
      <c r="T388" s="1844"/>
      <c r="U388" s="1844"/>
      <c r="V388" s="1844"/>
      <c r="W388" s="1844"/>
      <c r="X388" s="1844"/>
      <c r="Y388" s="1844"/>
      <c r="Z388" s="1844"/>
      <c r="AA388" s="1844"/>
      <c r="AB388" s="1844"/>
    </row>
    <row r="389" spans="3:28" s="1843" customFormat="1" hidden="1" outlineLevel="2">
      <c r="C389" s="1844"/>
      <c r="D389" s="1866" t="s">
        <v>1579</v>
      </c>
      <c r="E389" s="1869"/>
      <c r="F389" s="1869"/>
      <c r="G389" s="1844"/>
      <c r="H389" s="1844"/>
      <c r="I389" s="1844"/>
      <c r="J389" s="1844"/>
      <c r="K389" s="1844"/>
      <c r="L389" s="1844"/>
      <c r="M389" s="1844"/>
      <c r="N389" s="1844"/>
      <c r="O389" s="1844"/>
      <c r="P389" s="1844"/>
      <c r="S389" s="1844"/>
      <c r="T389" s="1844"/>
      <c r="U389" s="1844"/>
      <c r="V389" s="1844"/>
      <c r="W389" s="1844"/>
      <c r="X389" s="1844"/>
      <c r="Y389" s="1844"/>
      <c r="Z389" s="1844"/>
      <c r="AA389" s="1844"/>
      <c r="AB389" s="1844"/>
    </row>
    <row r="390" spans="3:28" s="1843" customFormat="1" hidden="1" outlineLevel="2">
      <c r="C390" s="1844"/>
      <c r="D390" s="1866" t="s">
        <v>1577</v>
      </c>
      <c r="E390" s="1869"/>
      <c r="F390" s="1869"/>
      <c r="G390" s="1844"/>
      <c r="H390" s="1844"/>
      <c r="I390" s="1844"/>
      <c r="J390" s="1844"/>
      <c r="K390" s="1844"/>
      <c r="L390" s="1844"/>
      <c r="M390" s="1844"/>
      <c r="N390" s="1844"/>
      <c r="O390" s="1844"/>
      <c r="P390" s="1844"/>
      <c r="S390" s="1844"/>
      <c r="T390" s="1844"/>
      <c r="U390" s="1844"/>
      <c r="V390" s="1844"/>
      <c r="W390" s="1844"/>
      <c r="X390" s="1844"/>
      <c r="Y390" s="1844"/>
      <c r="Z390" s="1844"/>
      <c r="AA390" s="1844"/>
      <c r="AB390" s="1844"/>
    </row>
    <row r="391" spans="3:28" s="1843" customFormat="1" hidden="1" outlineLevel="2">
      <c r="C391" s="1844"/>
      <c r="D391" s="1866"/>
      <c r="E391" s="1869"/>
      <c r="F391" s="1869"/>
      <c r="G391" s="1844"/>
      <c r="H391" s="1844"/>
      <c r="I391" s="1844"/>
      <c r="J391" s="1844"/>
      <c r="K391" s="1844"/>
      <c r="L391" s="1844"/>
      <c r="M391" s="1844"/>
      <c r="N391" s="1844"/>
      <c r="O391" s="1844"/>
      <c r="P391" s="1844"/>
      <c r="S391" s="1844"/>
      <c r="T391" s="1844"/>
      <c r="U391" s="1844"/>
      <c r="V391" s="1844"/>
      <c r="W391" s="1844"/>
      <c r="X391" s="1844"/>
      <c r="Y391" s="1844"/>
      <c r="Z391" s="1844"/>
      <c r="AA391" s="1844"/>
      <c r="AB391" s="1844"/>
    </row>
    <row r="392" spans="3:28" hidden="1" outlineLevel="2">
      <c r="D392" s="2069" t="s">
        <v>1896</v>
      </c>
      <c r="E392" s="2084"/>
      <c r="F392" s="2084"/>
      <c r="G392" s="2085"/>
      <c r="H392" s="2085"/>
      <c r="I392" s="2085"/>
      <c r="J392" s="2085"/>
      <c r="K392" s="2085"/>
      <c r="L392" s="2085"/>
      <c r="M392" s="2085"/>
      <c r="N392" s="2085"/>
      <c r="O392" s="1849"/>
      <c r="P392" s="1849"/>
    </row>
    <row r="393" spans="3:28" hidden="1" outlineLevel="2">
      <c r="D393" s="1866" t="s">
        <v>1813</v>
      </c>
      <c r="E393" s="1869"/>
      <c r="F393" s="1869" t="s">
        <v>1897</v>
      </c>
    </row>
    <row r="394" spans="3:28" hidden="1" outlineLevel="2">
      <c r="D394" s="1866"/>
      <c r="E394" s="1869"/>
      <c r="F394" s="1869" t="e">
        <v>#N/A</v>
      </c>
    </row>
    <row r="395" spans="3:28" hidden="1" outlineLevel="2">
      <c r="D395" s="1866" t="s">
        <v>1818</v>
      </c>
      <c r="E395" s="1869"/>
      <c r="F395" s="1869" t="s">
        <v>1898</v>
      </c>
    </row>
    <row r="396" spans="3:28" hidden="1" outlineLevel="2">
      <c r="D396" s="1866" t="s">
        <v>1818</v>
      </c>
      <c r="E396" s="1869"/>
      <c r="F396" s="1869" t="s">
        <v>1899</v>
      </c>
    </row>
    <row r="397" spans="3:28" hidden="1" outlineLevel="2">
      <c r="D397" s="1866" t="s">
        <v>1824</v>
      </c>
      <c r="E397" s="1869"/>
      <c r="F397" s="1869" t="s">
        <v>1900</v>
      </c>
    </row>
    <row r="398" spans="3:28" hidden="1" outlineLevel="1" collapsed="1">
      <c r="D398" s="2095" t="s">
        <v>1901</v>
      </c>
      <c r="E398" s="2096"/>
      <c r="F398" s="2096"/>
      <c r="G398" s="2097"/>
      <c r="H398" s="2098"/>
      <c r="I398" s="2097"/>
      <c r="J398" s="2097"/>
      <c r="K398" s="2097"/>
      <c r="L398" s="2097"/>
      <c r="M398" s="2097"/>
      <c r="N398" s="2097"/>
    </row>
    <row r="399" spans="3:28" hidden="1" outlineLevel="1">
      <c r="D399" s="2095" t="s">
        <v>1902</v>
      </c>
      <c r="E399" s="2096">
        <f>E4</f>
        <v>2022</v>
      </c>
      <c r="F399" s="2096"/>
      <c r="G399" s="2097"/>
      <c r="H399" s="2098"/>
      <c r="I399" s="2097"/>
      <c r="J399" s="2097"/>
      <c r="K399" s="2097"/>
      <c r="L399" s="2097"/>
      <c r="M399" s="2097"/>
      <c r="N399" s="2097"/>
      <c r="P399" s="1913"/>
    </row>
    <row r="400" spans="3:28" hidden="1" outlineLevel="1">
      <c r="D400" s="1866" t="s">
        <v>1903</v>
      </c>
      <c r="E400" s="1860">
        <v>2014</v>
      </c>
      <c r="F400" s="2096">
        <f>+E399+1</f>
        <v>2023</v>
      </c>
      <c r="G400" s="2097">
        <f t="shared" ref="G400:N400" si="214">+F400+1</f>
        <v>2024</v>
      </c>
      <c r="H400" s="2098">
        <f t="shared" si="214"/>
        <v>2025</v>
      </c>
      <c r="I400" s="2097">
        <f t="shared" si="214"/>
        <v>2026</v>
      </c>
      <c r="J400" s="2097">
        <f t="shared" si="214"/>
        <v>2027</v>
      </c>
      <c r="K400" s="2097">
        <f t="shared" si="214"/>
        <v>2028</v>
      </c>
      <c r="L400" s="2097">
        <f t="shared" si="214"/>
        <v>2029</v>
      </c>
      <c r="M400" s="2097">
        <f t="shared" si="214"/>
        <v>2030</v>
      </c>
      <c r="N400" s="2097">
        <f t="shared" si="214"/>
        <v>2031</v>
      </c>
    </row>
    <row r="401" spans="4:16" hidden="1" outlineLevel="1">
      <c r="D401" s="2095"/>
      <c r="E401" s="2096">
        <f>1+E400</f>
        <v>2015</v>
      </c>
      <c r="F401" s="2096">
        <f t="shared" ref="F401:N401" si="215">1+F400</f>
        <v>2024</v>
      </c>
      <c r="G401" s="2097">
        <f t="shared" si="215"/>
        <v>2025</v>
      </c>
      <c r="H401" s="2098">
        <f t="shared" si="215"/>
        <v>2026</v>
      </c>
      <c r="I401" s="2097">
        <f t="shared" si="215"/>
        <v>2027</v>
      </c>
      <c r="J401" s="2097">
        <f t="shared" si="215"/>
        <v>2028</v>
      </c>
      <c r="K401" s="2097">
        <f t="shared" si="215"/>
        <v>2029</v>
      </c>
      <c r="L401" s="2097">
        <f t="shared" si="215"/>
        <v>2030</v>
      </c>
      <c r="M401" s="2097">
        <f t="shared" si="215"/>
        <v>2031</v>
      </c>
      <c r="N401" s="2097">
        <f t="shared" si="215"/>
        <v>2032</v>
      </c>
    </row>
    <row r="402" spans="4:16" hidden="1" outlineLevel="1">
      <c r="D402" s="2099" t="s">
        <v>1904</v>
      </c>
      <c r="E402" s="2100">
        <f>IF(E16=E4,1,0)</f>
        <v>1</v>
      </c>
      <c r="F402" s="2100">
        <f>IF(E402=1,2,0)</f>
        <v>2</v>
      </c>
      <c r="G402" s="2097">
        <v>3</v>
      </c>
      <c r="H402" s="2098"/>
      <c r="I402" s="2097"/>
      <c r="J402" s="2097"/>
      <c r="K402" s="2097"/>
      <c r="L402" s="2097"/>
      <c r="M402" s="2097"/>
      <c r="N402" s="2097"/>
    </row>
    <row r="403" spans="4:16" hidden="1" outlineLevel="1">
      <c r="D403" s="2099" t="s">
        <v>1905</v>
      </c>
      <c r="E403" s="2101">
        <f t="shared" ref="E403:N403" si="216">+E3</f>
        <v>1</v>
      </c>
      <c r="F403" s="2101">
        <f t="shared" si="216"/>
        <v>2</v>
      </c>
      <c r="G403" s="2101">
        <f t="shared" si="216"/>
        <v>3</v>
      </c>
      <c r="H403" s="2101">
        <f t="shared" si="216"/>
        <v>4</v>
      </c>
      <c r="I403" s="2101">
        <f t="shared" si="216"/>
        <v>5</v>
      </c>
      <c r="J403" s="2101">
        <f t="shared" si="216"/>
        <v>6</v>
      </c>
      <c r="K403" s="2101">
        <f t="shared" si="216"/>
        <v>7</v>
      </c>
      <c r="L403" s="2101">
        <f t="shared" si="216"/>
        <v>8</v>
      </c>
      <c r="M403" s="2101">
        <f t="shared" si="216"/>
        <v>9</v>
      </c>
      <c r="N403" s="2101">
        <f t="shared" si="216"/>
        <v>10</v>
      </c>
    </row>
    <row r="404" spans="4:16" hidden="1" outlineLevel="1">
      <c r="D404" s="2099" t="s">
        <v>1902</v>
      </c>
      <c r="E404" s="2102" t="str">
        <f>IF((E$243&gt;=0.95),"MS",0)</f>
        <v>MS</v>
      </c>
      <c r="F404" s="2102" t="str">
        <f>IF((F$243&gt;=0.95),"MS",0)</f>
        <v>MS</v>
      </c>
      <c r="G404" s="2103"/>
      <c r="H404" s="2103"/>
      <c r="I404" s="2103"/>
      <c r="J404" s="2103"/>
      <c r="K404" s="2103"/>
      <c r="L404" s="2103"/>
      <c r="M404" s="2103"/>
      <c r="N404" s="2103"/>
    </row>
    <row r="405" spans="4:16" hidden="1" outlineLevel="1">
      <c r="D405" s="2104" t="s">
        <v>1906</v>
      </c>
      <c r="E405" s="2105" t="str">
        <f>IF($E402=1,IF($E406="MS","MS",0))</f>
        <v>MS</v>
      </c>
      <c r="F405" s="2105" t="str">
        <f>IF($E402=1,IF(F406="MS","MS",0))</f>
        <v>MS</v>
      </c>
      <c r="G405" s="2106" t="str">
        <f>IF($E402=1,IF(G406="MS","MS",0))</f>
        <v>MS</v>
      </c>
      <c r="H405" s="2107"/>
      <c r="I405" s="2059"/>
      <c r="J405" s="2059"/>
      <c r="K405" s="2059"/>
      <c r="L405" s="2059"/>
      <c r="M405" s="2059"/>
      <c r="N405" s="2059"/>
    </row>
    <row r="406" spans="4:16" hidden="1" outlineLevel="1">
      <c r="D406" s="2108" t="s">
        <v>1907</v>
      </c>
      <c r="E406" s="2109" t="str">
        <f>IF((E$243&gt;=0.95),"MS",0)</f>
        <v>MS</v>
      </c>
      <c r="F406" s="2109" t="str">
        <f>IF((F$243&gt;=0.95),"MS",0)</f>
        <v>MS</v>
      </c>
      <c r="G406" s="2110" t="str">
        <f t="shared" ref="G406:N406" si="217">IF((G$243&gt;=0.95),"MS",0)</f>
        <v>MS</v>
      </c>
      <c r="H406" s="2110" t="str">
        <f t="shared" si="217"/>
        <v>MS</v>
      </c>
      <c r="I406" s="2110" t="str">
        <f t="shared" si="217"/>
        <v>MS</v>
      </c>
      <c r="J406" s="2110" t="str">
        <f t="shared" si="217"/>
        <v>MS</v>
      </c>
      <c r="K406" s="2110">
        <f t="shared" si="217"/>
        <v>0</v>
      </c>
      <c r="L406" s="2110">
        <f t="shared" si="217"/>
        <v>0</v>
      </c>
      <c r="M406" s="2110">
        <f t="shared" si="217"/>
        <v>0</v>
      </c>
      <c r="N406" s="2110">
        <f t="shared" si="217"/>
        <v>0</v>
      </c>
      <c r="P406" s="1844" t="s">
        <v>1908</v>
      </c>
    </row>
    <row r="407" spans="4:16" hidden="1" outlineLevel="1">
      <c r="D407" s="2074" t="s">
        <v>1909</v>
      </c>
      <c r="E407" s="2111" t="s">
        <v>1521</v>
      </c>
      <c r="F407" s="2112" t="str">
        <f>+E406</f>
        <v>MS</v>
      </c>
      <c r="G407" s="2112" t="str">
        <f t="shared" ref="G407:N407" si="218">+F406</f>
        <v>MS</v>
      </c>
      <c r="H407" s="2113" t="str">
        <f t="shared" si="218"/>
        <v>MS</v>
      </c>
      <c r="I407" s="2113" t="str">
        <f t="shared" si="218"/>
        <v>MS</v>
      </c>
      <c r="J407" s="2113" t="str">
        <f t="shared" si="218"/>
        <v>MS</v>
      </c>
      <c r="K407" s="2113" t="str">
        <f t="shared" si="218"/>
        <v>MS</v>
      </c>
      <c r="L407" s="2113">
        <f t="shared" si="218"/>
        <v>0</v>
      </c>
      <c r="M407" s="2113">
        <f t="shared" si="218"/>
        <v>0</v>
      </c>
      <c r="N407" s="2113">
        <f t="shared" si="218"/>
        <v>0</v>
      </c>
      <c r="P407" s="1844" t="s">
        <v>1910</v>
      </c>
    </row>
    <row r="408" spans="4:16" hidden="1" outlineLevel="1">
      <c r="D408" s="2074" t="s">
        <v>1911</v>
      </c>
      <c r="E408" s="2114" t="s">
        <v>1521</v>
      </c>
      <c r="F408" s="2114"/>
      <c r="G408" s="2115" t="str">
        <f>+E406</f>
        <v>MS</v>
      </c>
      <c r="H408" s="2116" t="str">
        <f t="shared" ref="H408:N408" si="219">+F406</f>
        <v>MS</v>
      </c>
      <c r="I408" s="2116" t="str">
        <f t="shared" si="219"/>
        <v>MS</v>
      </c>
      <c r="J408" s="2116" t="str">
        <f t="shared" si="219"/>
        <v>MS</v>
      </c>
      <c r="K408" s="2116" t="str">
        <f t="shared" si="219"/>
        <v>MS</v>
      </c>
      <c r="L408" s="2116" t="str">
        <f t="shared" si="219"/>
        <v>MS</v>
      </c>
      <c r="M408" s="2116">
        <f t="shared" si="219"/>
        <v>0</v>
      </c>
      <c r="N408" s="2116">
        <f t="shared" si="219"/>
        <v>0</v>
      </c>
      <c r="P408" s="1844" t="s">
        <v>1912</v>
      </c>
    </row>
    <row r="409" spans="4:16" hidden="1" outlineLevel="1">
      <c r="D409" s="2074" t="s">
        <v>1913</v>
      </c>
      <c r="E409" s="2114"/>
      <c r="F409" s="2114"/>
      <c r="G409" s="2117"/>
      <c r="H409" s="2115" t="str">
        <f>+E406</f>
        <v>MS</v>
      </c>
      <c r="I409" s="2115" t="str">
        <f t="shared" ref="I409:N409" si="220">+F406</f>
        <v>MS</v>
      </c>
      <c r="J409" s="2115" t="str">
        <f t="shared" si="220"/>
        <v>MS</v>
      </c>
      <c r="K409" s="2115" t="str">
        <f t="shared" si="220"/>
        <v>MS</v>
      </c>
      <c r="L409" s="2115" t="str">
        <f t="shared" si="220"/>
        <v>MS</v>
      </c>
      <c r="M409" s="2115" t="str">
        <f t="shared" si="220"/>
        <v>MS</v>
      </c>
      <c r="N409" s="2115">
        <f t="shared" si="220"/>
        <v>0</v>
      </c>
      <c r="P409" s="1844" t="s">
        <v>1914</v>
      </c>
    </row>
    <row r="410" spans="4:16" hidden="1" outlineLevel="1">
      <c r="D410" s="2069" t="s">
        <v>1915</v>
      </c>
      <c r="E410" s="2118" t="str">
        <f t="shared" ref="E410:F410" si="221">IF(E404="MS","MS",IF(AND(E406="MS",E408="MS",E407="MS"),"MS","DNMS"))</f>
        <v>MS</v>
      </c>
      <c r="F410" s="2118" t="str">
        <f t="shared" si="221"/>
        <v>MS</v>
      </c>
      <c r="G410" s="2118" t="str">
        <f>IF(G404="MS","MS",IF(AND(G406="MS",G408="MS",G407="MS"),"MS","DNMS"))</f>
        <v>MS</v>
      </c>
      <c r="H410" s="2118" t="str">
        <f t="shared" ref="H410:N410" si="222">IF(H404="MS","MS",IF(AND(H406="MS",H408="MS",H407="MS"),"MS","DNMS"))</f>
        <v>MS</v>
      </c>
      <c r="I410" s="2118" t="str">
        <f t="shared" si="222"/>
        <v>MS</v>
      </c>
      <c r="J410" s="2118" t="str">
        <f t="shared" si="222"/>
        <v>MS</v>
      </c>
      <c r="K410" s="2118" t="str">
        <f t="shared" si="222"/>
        <v>DNMS</v>
      </c>
      <c r="L410" s="2118" t="str">
        <f t="shared" si="222"/>
        <v>DNMS</v>
      </c>
      <c r="M410" s="2118" t="str">
        <f t="shared" si="222"/>
        <v>DNMS</v>
      </c>
      <c r="N410" s="2118" t="str">
        <f t="shared" si="222"/>
        <v>DNMS</v>
      </c>
    </row>
    <row r="411" spans="4:16" hidden="1" outlineLevel="1">
      <c r="D411" s="2119" t="s">
        <v>1915</v>
      </c>
      <c r="E411" s="2120" t="str">
        <f>IF(OR(E402=1,E402=2),E405,9)</f>
        <v>MS</v>
      </c>
      <c r="F411" s="2120" t="str">
        <f t="shared" ref="F411" si="223">IF(OR(F402=1,F402=2),F405,9)</f>
        <v>MS</v>
      </c>
      <c r="G411" s="2120">
        <f>IF(OR(G402=1,G402=2),G405,9)</f>
        <v>9</v>
      </c>
      <c r="H411" s="2120" t="str">
        <f t="shared" ref="H411:N411" si="224">IF(AND(H$243&gt;=0.95,E$243&gt;=0.95,F$243&gt;=0.95,G$243&gt;=0.95),"MS",0)</f>
        <v>MS</v>
      </c>
      <c r="I411" s="2120" t="str">
        <f t="shared" si="224"/>
        <v>MS</v>
      </c>
      <c r="J411" s="2120" t="str">
        <f t="shared" si="224"/>
        <v>MS</v>
      </c>
      <c r="K411" s="2120">
        <f t="shared" si="224"/>
        <v>0</v>
      </c>
      <c r="L411" s="2120">
        <f t="shared" si="224"/>
        <v>0</v>
      </c>
      <c r="M411" s="2120">
        <f t="shared" si="224"/>
        <v>0</v>
      </c>
      <c r="N411" s="2120">
        <f t="shared" si="224"/>
        <v>0</v>
      </c>
    </row>
    <row r="412" spans="4:16" hidden="1" outlineLevel="1">
      <c r="D412" s="2066"/>
      <c r="E412" s="2121"/>
      <c r="F412" s="2121"/>
      <c r="G412" s="2121"/>
      <c r="H412" s="2121"/>
      <c r="I412" s="2121"/>
      <c r="J412" s="2121"/>
      <c r="K412" s="2121"/>
      <c r="L412" s="2121"/>
      <c r="M412" s="2121"/>
      <c r="N412" s="2121"/>
    </row>
    <row r="413" spans="4:16" hidden="1" outlineLevel="1">
      <c r="D413" s="2122" t="s">
        <v>1916</v>
      </c>
      <c r="E413" s="2123">
        <f t="shared" ref="E413:N413" si="225">IF(AND(E243&gt;0.85,E243&lt;0.95),"DNMS",0)</f>
        <v>0</v>
      </c>
      <c r="F413" s="2123">
        <f t="shared" si="225"/>
        <v>0</v>
      </c>
      <c r="G413" s="2123">
        <f t="shared" si="225"/>
        <v>0</v>
      </c>
      <c r="H413" s="2123">
        <f t="shared" si="225"/>
        <v>0</v>
      </c>
      <c r="I413" s="2123">
        <f t="shared" si="225"/>
        <v>0</v>
      </c>
      <c r="J413" s="2123">
        <f t="shared" si="225"/>
        <v>0</v>
      </c>
      <c r="K413" s="2123">
        <f t="shared" si="225"/>
        <v>0</v>
      </c>
      <c r="L413" s="2123">
        <f t="shared" si="225"/>
        <v>0</v>
      </c>
      <c r="M413" s="2123">
        <f t="shared" si="225"/>
        <v>0</v>
      </c>
      <c r="N413" s="2123">
        <f t="shared" si="225"/>
        <v>0</v>
      </c>
      <c r="P413" s="1844" t="s">
        <v>1917</v>
      </c>
    </row>
    <row r="414" spans="4:16" hidden="1" outlineLevel="1">
      <c r="D414" s="2066" t="s">
        <v>1918</v>
      </c>
      <c r="E414" s="2121"/>
      <c r="F414" s="2121"/>
      <c r="G414" s="2121"/>
      <c r="H414" s="2121"/>
      <c r="I414" s="2121"/>
      <c r="J414" s="2121"/>
      <c r="K414" s="2121"/>
      <c r="L414" s="2121"/>
      <c r="M414" s="2121"/>
      <c r="N414" s="2121"/>
      <c r="P414" s="2124" t="s">
        <v>1919</v>
      </c>
    </row>
    <row r="415" spans="4:16" hidden="1" outlineLevel="1">
      <c r="D415" s="2066" t="s">
        <v>1920</v>
      </c>
      <c r="E415" s="2125" t="str">
        <f>IF((E$243&gt;=0.95),"MS",0)</f>
        <v>MS</v>
      </c>
      <c r="F415" s="2125" t="str">
        <f>IF((F$243&gt;=0.95),"MS",0)</f>
        <v>MS</v>
      </c>
      <c r="G415" s="2125" t="str">
        <f t="shared" ref="G415:N415" si="226">IF((G$243&gt;=0.95),"MS",0)</f>
        <v>MS</v>
      </c>
      <c r="H415" s="2125" t="str">
        <f t="shared" si="226"/>
        <v>MS</v>
      </c>
      <c r="I415" s="2125" t="str">
        <f t="shared" si="226"/>
        <v>MS</v>
      </c>
      <c r="J415" s="2125" t="str">
        <f t="shared" si="226"/>
        <v>MS</v>
      </c>
      <c r="K415" s="2125">
        <f t="shared" si="226"/>
        <v>0</v>
      </c>
      <c r="L415" s="2125">
        <f t="shared" si="226"/>
        <v>0</v>
      </c>
      <c r="M415" s="2125">
        <f t="shared" si="226"/>
        <v>0</v>
      </c>
      <c r="N415" s="2125">
        <f t="shared" si="226"/>
        <v>0</v>
      </c>
      <c r="P415" s="2126"/>
    </row>
    <row r="416" spans="4:16" hidden="1" outlineLevel="1">
      <c r="D416" s="2066" t="s">
        <v>1921</v>
      </c>
      <c r="E416" s="2127"/>
      <c r="F416" s="2121">
        <f>IF(E$243&lt;0.95,"DNMS",0)</f>
        <v>0</v>
      </c>
      <c r="G416" s="2121">
        <f t="shared" ref="G416:N416" si="227">IF(F$243&lt;0.95,"DNMS",0)</f>
        <v>0</v>
      </c>
      <c r="H416" s="2121">
        <f t="shared" si="227"/>
        <v>0</v>
      </c>
      <c r="I416" s="2121">
        <f t="shared" si="227"/>
        <v>0</v>
      </c>
      <c r="J416" s="2121">
        <f t="shared" si="227"/>
        <v>0</v>
      </c>
      <c r="K416" s="2121">
        <f t="shared" si="227"/>
        <v>0</v>
      </c>
      <c r="L416" s="2121" t="str">
        <f t="shared" si="227"/>
        <v>DNMS</v>
      </c>
      <c r="M416" s="2121" t="str">
        <f t="shared" si="227"/>
        <v>DNMS</v>
      </c>
      <c r="N416" s="2121" t="str">
        <f t="shared" si="227"/>
        <v>DNMS</v>
      </c>
    </row>
    <row r="417" spans="4:17" hidden="1" outlineLevel="1">
      <c r="D417" s="2066" t="s">
        <v>1922</v>
      </c>
      <c r="E417" s="2127"/>
      <c r="F417" s="2127"/>
      <c r="G417" s="2121">
        <f>IF(E$243&lt;0.95,"DNMS",0)</f>
        <v>0</v>
      </c>
      <c r="H417" s="2121">
        <f t="shared" ref="H417:N417" si="228">IF(F$243&lt;0.95,"DNMS",0)</f>
        <v>0</v>
      </c>
      <c r="I417" s="2121">
        <f t="shared" si="228"/>
        <v>0</v>
      </c>
      <c r="J417" s="2121">
        <f t="shared" si="228"/>
        <v>0</v>
      </c>
      <c r="K417" s="2121">
        <f t="shared" si="228"/>
        <v>0</v>
      </c>
      <c r="L417" s="2121">
        <f t="shared" si="228"/>
        <v>0</v>
      </c>
      <c r="M417" s="2121" t="str">
        <f t="shared" si="228"/>
        <v>DNMS</v>
      </c>
      <c r="N417" s="2121" t="str">
        <f t="shared" si="228"/>
        <v>DNMS</v>
      </c>
    </row>
    <row r="418" spans="4:17" hidden="1" outlineLevel="1">
      <c r="D418" s="2066" t="s">
        <v>1923</v>
      </c>
      <c r="E418" s="2128"/>
      <c r="F418" s="2128"/>
      <c r="G418" s="2128"/>
      <c r="H418" s="2129">
        <f>IF(E$243&lt;0.95,"DNMS",0)</f>
        <v>0</v>
      </c>
      <c r="I418" s="2129">
        <f t="shared" ref="I418:N418" si="229">IF(F$243&lt;0.95,"DNMS",0)</f>
        <v>0</v>
      </c>
      <c r="J418" s="2129">
        <f t="shared" si="229"/>
        <v>0</v>
      </c>
      <c r="K418" s="2129">
        <f t="shared" si="229"/>
        <v>0</v>
      </c>
      <c r="L418" s="2129">
        <f t="shared" si="229"/>
        <v>0</v>
      </c>
      <c r="M418" s="2129">
        <f t="shared" si="229"/>
        <v>0</v>
      </c>
      <c r="N418" s="2129" t="str">
        <f t="shared" si="229"/>
        <v>DNMS</v>
      </c>
    </row>
    <row r="419" spans="4:17" ht="39.6" hidden="1" outlineLevel="1">
      <c r="D419" s="2130" t="s">
        <v>1924</v>
      </c>
      <c r="E419" s="2128"/>
      <c r="F419" s="2128"/>
      <c r="G419" s="2128"/>
      <c r="H419" s="2129"/>
      <c r="I419" s="2129"/>
      <c r="J419" s="2129"/>
      <c r="K419" s="2129"/>
      <c r="L419" s="2129"/>
      <c r="M419" s="2129"/>
      <c r="N419" s="2129"/>
      <c r="P419" s="2131" t="s">
        <v>1925</v>
      </c>
    </row>
    <row r="420" spans="4:17" hidden="1" outlineLevel="1">
      <c r="D420" s="2132" t="s">
        <v>1577</v>
      </c>
      <c r="E420" s="2094">
        <f t="shared" ref="E420:N420" si="230">IF(E241&gt;0,IF(E243&lt;0.85,"FFBS",0),0)</f>
        <v>0</v>
      </c>
      <c r="F420" s="2094">
        <f t="shared" si="230"/>
        <v>0</v>
      </c>
      <c r="G420" s="2094">
        <f t="shared" si="230"/>
        <v>0</v>
      </c>
      <c r="H420" s="2094">
        <f t="shared" si="230"/>
        <v>0</v>
      </c>
      <c r="I420" s="2094">
        <f t="shared" si="230"/>
        <v>0</v>
      </c>
      <c r="J420" s="2094">
        <f t="shared" si="230"/>
        <v>0</v>
      </c>
      <c r="K420" s="2094">
        <f t="shared" si="230"/>
        <v>0</v>
      </c>
      <c r="L420" s="2094">
        <f t="shared" si="230"/>
        <v>0</v>
      </c>
      <c r="M420" s="2094">
        <f t="shared" si="230"/>
        <v>0</v>
      </c>
      <c r="N420" s="2094">
        <f t="shared" si="230"/>
        <v>0</v>
      </c>
    </row>
    <row r="421" spans="4:17" hidden="1" outlineLevel="1">
      <c r="D421" s="2066"/>
      <c r="E421" s="2133">
        <f t="shared" ref="E421:N421" si="231">+E243</f>
        <v>1</v>
      </c>
      <c r="F421" s="2133">
        <f t="shared" si="231"/>
        <v>1</v>
      </c>
      <c r="G421" s="2133">
        <f t="shared" si="231"/>
        <v>1</v>
      </c>
      <c r="H421" s="2133">
        <f t="shared" si="231"/>
        <v>1</v>
      </c>
      <c r="I421" s="2133">
        <f t="shared" si="231"/>
        <v>1</v>
      </c>
      <c r="J421" s="2133">
        <f t="shared" si="231"/>
        <v>1</v>
      </c>
      <c r="K421" s="2133">
        <f t="shared" si="231"/>
        <v>0</v>
      </c>
      <c r="L421" s="2133">
        <f t="shared" si="231"/>
        <v>0</v>
      </c>
      <c r="M421" s="2133">
        <f t="shared" si="231"/>
        <v>0</v>
      </c>
      <c r="N421" s="2133">
        <f t="shared" si="231"/>
        <v>0</v>
      </c>
    </row>
    <row r="422" spans="4:17" hidden="1" outlineLevel="1">
      <c r="D422" s="2134" t="s">
        <v>1926</v>
      </c>
      <c r="E422" s="2094" t="str">
        <f t="shared" ref="E422:N422" si="232">IF(E30&lt;=0,0,IFERROR(IF(AND(E421&gt;=0.95,D421&gt;=0.95,C421&gt;=0.95,B421&gt;=0.95),"MS",IF(E421&lt;0.85,"FFBS","DNMS")),0))</f>
        <v>DNMS</v>
      </c>
      <c r="F422" s="2094" t="str">
        <f t="shared" si="232"/>
        <v>DNMS</v>
      </c>
      <c r="G422" s="2094" t="str">
        <f t="shared" si="232"/>
        <v>DNMS</v>
      </c>
      <c r="H422" s="2094" t="str">
        <f t="shared" si="232"/>
        <v>MS</v>
      </c>
      <c r="I422" s="2094" t="str">
        <f t="shared" si="232"/>
        <v>MS</v>
      </c>
      <c r="J422" s="2094" t="str">
        <f t="shared" si="232"/>
        <v>MS</v>
      </c>
      <c r="K422" s="2094">
        <f t="shared" si="232"/>
        <v>0</v>
      </c>
      <c r="L422" s="2094">
        <f t="shared" si="232"/>
        <v>0</v>
      </c>
      <c r="M422" s="2094">
        <f t="shared" si="232"/>
        <v>0</v>
      </c>
      <c r="N422" s="2094">
        <f t="shared" si="232"/>
        <v>0</v>
      </c>
      <c r="Q422" s="2124" t="s">
        <v>1927</v>
      </c>
    </row>
    <row r="423" spans="4:17" hidden="1" outlineLevel="1">
      <c r="D423" s="2135" t="s">
        <v>1928</v>
      </c>
      <c r="E423" s="2094" t="str">
        <f>IF(E241=0,0,IF(E410="MS","MS",IF(OR(E413="DNMS",E418="DNMS"),"DNMS",IF(E420="FFBS","FFBS",0))))</f>
        <v>MS</v>
      </c>
      <c r="F423" s="2094" t="str">
        <f>IF(F241=0,0,IF(F410="MS","MS",IF(OR(F413="DNMS",F418="DNMS"),"DNMS",IF(F420="FFBS","FFBS",0))))</f>
        <v>MS</v>
      </c>
      <c r="G423" s="2094" t="str">
        <f>IF(G241=0,0,IF(G410="MS","MS",IF(OR(G413="DNMS",G418="DNMS"),"DNMS",IF(G420="FFBS","FFBS",0))))</f>
        <v>MS</v>
      </c>
      <c r="H423" s="2094" t="str">
        <f>IF(H241=0,0,IF(H410="MS","MS",IF(OR(H413="DNMS",H418="DNMS"),"DNMS",IF(H420="FFBS","FFBS",0))))</f>
        <v>MS</v>
      </c>
      <c r="I423" s="2094" t="str">
        <f>IF(I241=0,0,IF(I410="MS","MS",IF(_xlfn.XOR(I413="DNMS",I418="DNMS"),"DNMS",IF(I420="FFBS","FFBS",0))))</f>
        <v>MS</v>
      </c>
      <c r="J423" s="2094" t="str">
        <f>IF(J241=0,0,IF(J410="MS","MS",IF(OR(J413="DNMS",J418="DNMS"),"DNMS",IF(J420="FFBS","FFBS",0))))</f>
        <v>MS</v>
      </c>
      <c r="K423" s="2094">
        <f>IF(K241=0,0,IF(K410="MS","MS",IF(OR(K413="DNMS",K418="DNMS"),"DNMS",IF(K420="FFBS","FFBS",0))))</f>
        <v>0</v>
      </c>
      <c r="L423" s="2094">
        <f>IF(L241=0,0,IF(L410="MS","MS",IF(OR(L413="DNMS",L418="DNMS"),"DNMS",IF(L420="FFBS","FFBS",0))))</f>
        <v>0</v>
      </c>
      <c r="M423" s="2094">
        <f>IF(M241=0,0,IF(M410="MS","MS",IF(OR(M413="DNMS",M418="DNMS"),"DNMS",IF(M420="FFBS","FFBS",0))))</f>
        <v>0</v>
      </c>
      <c r="N423" s="2094">
        <f>IF(N241=0,0,IF(N410="MS","MS",IF(OR(N413="DNMS",N418="DNMS"),"DNMS",IF(N420="FFBS","FFBS",0))))</f>
        <v>0</v>
      </c>
    </row>
    <row r="424" spans="4:17" hidden="1" outlineLevel="1">
      <c r="D424" s="2044" t="s">
        <v>1929</v>
      </c>
      <c r="E424" s="1869"/>
      <c r="F424" s="2094" t="str">
        <f t="shared" ref="F424:N424" si="233">IF(F241=0,0,IF(F410="MS","MS",IF(OR(F413="DNMS",F418="DNMS"),"DNMS",IF(F420="FFBS","FFBS",0))))</f>
        <v>MS</v>
      </c>
      <c r="G424" s="2094" t="str">
        <f t="shared" si="233"/>
        <v>MS</v>
      </c>
      <c r="H424" s="2094" t="str">
        <f t="shared" si="233"/>
        <v>MS</v>
      </c>
      <c r="I424" s="2094" t="str">
        <f t="shared" si="233"/>
        <v>MS</v>
      </c>
      <c r="J424" s="2094" t="str">
        <f t="shared" si="233"/>
        <v>MS</v>
      </c>
      <c r="K424" s="2094">
        <f t="shared" si="233"/>
        <v>0</v>
      </c>
      <c r="L424" s="2094">
        <f t="shared" si="233"/>
        <v>0</v>
      </c>
      <c r="M424" s="2094">
        <f t="shared" si="233"/>
        <v>0</v>
      </c>
      <c r="N424" s="2094">
        <f t="shared" si="233"/>
        <v>0</v>
      </c>
    </row>
    <row r="425" spans="4:17" hidden="1" outlineLevel="1">
      <c r="D425" s="2044" t="s">
        <v>1930</v>
      </c>
      <c r="E425" s="2094" t="str">
        <f t="shared" ref="E425:J425" si="234">IF(E30&lt;=0,0,IFERROR(IF(E421&gt;=0.95,"MS",IF(E421&lt;0.85,"FFBS","DNMS")),0))</f>
        <v>MS</v>
      </c>
      <c r="F425" s="2094" t="str">
        <f t="shared" si="234"/>
        <v>MS</v>
      </c>
      <c r="G425" s="2094" t="str">
        <f t="shared" si="234"/>
        <v>MS</v>
      </c>
      <c r="H425" s="2094" t="str">
        <f t="shared" si="234"/>
        <v>MS</v>
      </c>
      <c r="I425" s="2094" t="str">
        <f t="shared" si="234"/>
        <v>MS</v>
      </c>
      <c r="J425" s="2094" t="str">
        <f t="shared" si="234"/>
        <v>MS</v>
      </c>
      <c r="K425" s="2004"/>
      <c r="L425" s="2004"/>
      <c r="M425" s="2004"/>
      <c r="N425" s="2004"/>
    </row>
    <row r="426" spans="4:17" hidden="1" outlineLevel="1">
      <c r="D426" s="2044"/>
      <c r="E426" s="2083"/>
      <c r="F426" s="2004"/>
      <c r="G426" s="2004"/>
      <c r="H426" s="2004"/>
      <c r="I426" s="2004"/>
      <c r="J426" s="2004"/>
      <c r="K426" s="2004"/>
      <c r="L426" s="2004"/>
      <c r="M426" s="2004"/>
      <c r="N426" s="2004"/>
    </row>
    <row r="427" spans="4:17" hidden="1" outlineLevel="1">
      <c r="D427" s="1866" t="s">
        <v>1931</v>
      </c>
      <c r="E427" s="2083"/>
      <c r="F427" s="1869"/>
    </row>
    <row r="428" spans="4:17" hidden="1" outlineLevel="1">
      <c r="D428" s="1866"/>
      <c r="E428" s="1869"/>
      <c r="F428" s="1869"/>
    </row>
    <row r="429" spans="4:17" hidden="1" outlineLevel="1" collapsed="1">
      <c r="D429" s="2044" t="s">
        <v>1932</v>
      </c>
      <c r="E429" s="1909"/>
      <c r="F429" s="1909"/>
      <c r="G429" s="1909"/>
      <c r="H429" s="1909"/>
      <c r="I429" s="1909"/>
      <c r="J429" s="1909"/>
      <c r="K429" s="1909"/>
      <c r="L429" s="1909"/>
      <c r="M429" s="1909"/>
      <c r="N429" s="1909"/>
    </row>
    <row r="430" spans="4:17" hidden="1" outlineLevel="1">
      <c r="D430" s="2000" t="s">
        <v>1933</v>
      </c>
      <c r="E430" s="2024"/>
      <c r="F430" s="2024"/>
      <c r="G430" s="2024"/>
      <c r="H430" s="2024"/>
      <c r="I430" s="2024"/>
      <c r="J430" s="2024"/>
      <c r="K430" s="2024"/>
      <c r="L430" s="2024"/>
      <c r="M430" s="2024"/>
      <c r="N430" s="2024"/>
    </row>
    <row r="431" spans="4:17" ht="14.4" hidden="1" outlineLevel="1">
      <c r="D431" s="2044" t="s">
        <v>1934</v>
      </c>
      <c r="E431" s="2004" t="str">
        <f t="shared" ref="E431:N431" si="235">IF(E284=0,0,IF(E284&gt;0,"Pos","Neg"))</f>
        <v>Pos</v>
      </c>
      <c r="F431" s="2004" t="str">
        <f t="shared" si="235"/>
        <v>Pos</v>
      </c>
      <c r="G431" s="2004" t="str">
        <f t="shared" si="235"/>
        <v>Pos</v>
      </c>
      <c r="H431" s="2004" t="str">
        <f t="shared" si="235"/>
        <v>Pos</v>
      </c>
      <c r="I431" s="2004" t="str">
        <f t="shared" si="235"/>
        <v>Pos</v>
      </c>
      <c r="J431" s="2004" t="str">
        <f t="shared" si="235"/>
        <v>Pos</v>
      </c>
      <c r="K431" s="2004">
        <f t="shared" si="235"/>
        <v>0</v>
      </c>
      <c r="L431" s="2004">
        <f t="shared" si="235"/>
        <v>0</v>
      </c>
      <c r="M431" s="2004">
        <f t="shared" si="235"/>
        <v>0</v>
      </c>
      <c r="N431" s="2004">
        <f t="shared" si="235"/>
        <v>0</v>
      </c>
      <c r="P431" s="2136" t="s">
        <v>1935</v>
      </c>
    </row>
    <row r="432" spans="4:17" ht="14.4" hidden="1" outlineLevel="1">
      <c r="D432" s="2044" t="s">
        <v>1936</v>
      </c>
      <c r="E432" s="2004">
        <f t="shared" ref="E432:N432" si="236">IF(E289=0,0,IF(E289&gt;0,"Pos","Neg"))</f>
        <v>0</v>
      </c>
      <c r="F432" s="2004">
        <f t="shared" si="236"/>
        <v>0</v>
      </c>
      <c r="G432" s="2004" t="str">
        <f t="shared" si="236"/>
        <v>Pos</v>
      </c>
      <c r="H432" s="2004" t="str">
        <f t="shared" si="236"/>
        <v>Pos</v>
      </c>
      <c r="I432" s="2004" t="str">
        <f t="shared" si="236"/>
        <v>Pos</v>
      </c>
      <c r="J432" s="2004" t="str">
        <f t="shared" si="236"/>
        <v>Pos</v>
      </c>
      <c r="K432" s="2004">
        <f t="shared" si="236"/>
        <v>0</v>
      </c>
      <c r="L432" s="2004">
        <f t="shared" si="236"/>
        <v>0</v>
      </c>
      <c r="M432" s="2004">
        <f t="shared" si="236"/>
        <v>0</v>
      </c>
      <c r="N432" s="2004">
        <f t="shared" si="236"/>
        <v>0</v>
      </c>
      <c r="P432" s="2136" t="s">
        <v>1937</v>
      </c>
    </row>
    <row r="433" spans="4:16" ht="14.4" hidden="1" outlineLevel="1">
      <c r="D433" s="2137" t="s">
        <v>1938</v>
      </c>
      <c r="E433" s="2094" t="str">
        <f t="shared" ref="E433:N433" si="237">IF(E284=0,0,IF(AND(E432="Neg",E431="Neg"),"FFBS",IF(_xlfn.XOR(E431="Neg",E432="Neg"),"DNMS",IF(E284&gt;0,"MS",0))))</f>
        <v>MS</v>
      </c>
      <c r="F433" s="2094" t="str">
        <f t="shared" si="237"/>
        <v>MS</v>
      </c>
      <c r="G433" s="2094" t="str">
        <f t="shared" si="237"/>
        <v>MS</v>
      </c>
      <c r="H433" s="2094" t="str">
        <f t="shared" si="237"/>
        <v>MS</v>
      </c>
      <c r="I433" s="2094" t="str">
        <f t="shared" si="237"/>
        <v>MS</v>
      </c>
      <c r="J433" s="2094" t="str">
        <f t="shared" si="237"/>
        <v>MS</v>
      </c>
      <c r="K433" s="2094">
        <f t="shared" si="237"/>
        <v>0</v>
      </c>
      <c r="L433" s="2094">
        <f t="shared" si="237"/>
        <v>0</v>
      </c>
      <c r="M433" s="2094">
        <f t="shared" si="237"/>
        <v>0</v>
      </c>
      <c r="N433" s="2094">
        <f t="shared" si="237"/>
        <v>0</v>
      </c>
      <c r="P433" s="2136" t="s">
        <v>1939</v>
      </c>
    </row>
    <row r="434" spans="4:16" ht="14.4" hidden="1" outlineLevel="1">
      <c r="D434" s="1866"/>
      <c r="E434" s="1869"/>
      <c r="F434" s="1869"/>
      <c r="P434" s="2138" t="s">
        <v>1940</v>
      </c>
    </row>
    <row r="435" spans="4:16" ht="14.4" hidden="1" outlineLevel="1">
      <c r="D435" s="1866"/>
      <c r="E435" s="1869"/>
      <c r="F435" s="1869"/>
      <c r="P435" s="2136" t="s">
        <v>1941</v>
      </c>
    </row>
    <row r="436" spans="4:16" ht="14.4" hidden="1" outlineLevel="1">
      <c r="D436" s="1866"/>
      <c r="E436" s="1869"/>
      <c r="F436" s="1869"/>
      <c r="P436" s="2136" t="s">
        <v>1942</v>
      </c>
    </row>
    <row r="437" spans="4:16" ht="14.4" hidden="1" outlineLevel="1">
      <c r="D437" s="1866"/>
      <c r="E437" s="1869"/>
      <c r="F437" s="1869"/>
      <c r="P437" s="2136" t="s">
        <v>1943</v>
      </c>
    </row>
    <row r="438" spans="4:16" ht="14.4" hidden="1" outlineLevel="1">
      <c r="D438" s="1866"/>
      <c r="E438" s="1869"/>
      <c r="F438" s="1869"/>
      <c r="P438" s="2139" t="s">
        <v>1944</v>
      </c>
    </row>
    <row r="439" spans="4:16" hidden="1" collapsed="1">
      <c r="D439" s="1866"/>
      <c r="E439" s="1869"/>
      <c r="F439" s="1869"/>
    </row>
    <row r="440" spans="4:16">
      <c r="D440" s="1866"/>
      <c r="E440" s="1869"/>
      <c r="F440" s="1869"/>
    </row>
    <row r="441" spans="4:16">
      <c r="D441" s="1866"/>
      <c r="E441" s="1869"/>
      <c r="F441" s="1869"/>
    </row>
    <row r="442" spans="4:16">
      <c r="D442" s="1866"/>
      <c r="E442" s="1869"/>
      <c r="F442" s="1869"/>
    </row>
    <row r="443" spans="4:16">
      <c r="D443" s="1866"/>
      <c r="E443" s="1869"/>
      <c r="F443" s="1869"/>
    </row>
    <row r="444" spans="4:16">
      <c r="D444" s="1866"/>
      <c r="E444" s="1869"/>
      <c r="F444" s="1869"/>
    </row>
    <row r="445" spans="4:16">
      <c r="D445" s="1866"/>
      <c r="E445" s="1869"/>
      <c r="F445" s="1869"/>
    </row>
    <row r="446" spans="4:16">
      <c r="D446" s="1866"/>
      <c r="E446" s="1869"/>
      <c r="F446" s="1869"/>
    </row>
    <row r="447" spans="4:16">
      <c r="D447" s="1866"/>
      <c r="E447" s="1869"/>
      <c r="F447" s="1869"/>
    </row>
    <row r="448" spans="4:16">
      <c r="D448" s="1866"/>
      <c r="E448" s="1869"/>
      <c r="F448" s="1869"/>
    </row>
    <row r="449" spans="4:6">
      <c r="D449" s="1866"/>
      <c r="E449" s="1869"/>
      <c r="F449" s="1869"/>
    </row>
    <row r="450" spans="4:6">
      <c r="D450" s="1866"/>
      <c r="E450" s="1869"/>
      <c r="F450" s="1869"/>
    </row>
    <row r="451" spans="4:6">
      <c r="D451" s="1866"/>
      <c r="E451" s="1869"/>
      <c r="F451" s="1869"/>
    </row>
    <row r="452" spans="4:6">
      <c r="D452" s="1866"/>
      <c r="E452" s="1869"/>
      <c r="F452" s="1869"/>
    </row>
    <row r="453" spans="4:6">
      <c r="D453" s="1866"/>
      <c r="E453" s="1869"/>
      <c r="F453" s="1869"/>
    </row>
    <row r="454" spans="4:6">
      <c r="D454" s="1866"/>
      <c r="E454" s="1869"/>
      <c r="F454" s="1869"/>
    </row>
    <row r="455" spans="4:6">
      <c r="D455" s="1866"/>
      <c r="E455" s="1869"/>
      <c r="F455" s="1869"/>
    </row>
    <row r="456" spans="4:6">
      <c r="D456" s="1866"/>
      <c r="E456" s="1869"/>
      <c r="F456" s="1869"/>
    </row>
    <row r="457" spans="4:6">
      <c r="D457" s="1866"/>
      <c r="E457" s="1869"/>
      <c r="F457" s="1869"/>
    </row>
    <row r="458" spans="4:6">
      <c r="D458" s="1866"/>
      <c r="E458" s="1869"/>
      <c r="F458" s="1869"/>
    </row>
    <row r="459" spans="4:6">
      <c r="D459" s="1866"/>
      <c r="E459" s="1869"/>
      <c r="F459" s="1869"/>
    </row>
    <row r="460" spans="4:6">
      <c r="D460" s="1866"/>
      <c r="E460" s="1869"/>
      <c r="F460" s="1869"/>
    </row>
    <row r="461" spans="4:6">
      <c r="D461" s="1866"/>
      <c r="E461" s="1869"/>
      <c r="F461" s="1869"/>
    </row>
    <row r="462" spans="4:6">
      <c r="D462" s="1866"/>
      <c r="E462" s="1869"/>
      <c r="F462" s="1869"/>
    </row>
    <row r="463" spans="4:6">
      <c r="D463" s="1866"/>
      <c r="E463" s="1869"/>
      <c r="F463" s="1869"/>
    </row>
    <row r="464" spans="4:6">
      <c r="D464" s="1866"/>
      <c r="E464" s="1869"/>
      <c r="F464" s="1869"/>
    </row>
    <row r="465" spans="4:6">
      <c r="D465" s="1866"/>
      <c r="E465" s="1869"/>
      <c r="F465" s="1869"/>
    </row>
    <row r="466" spans="4:6">
      <c r="D466" s="1866"/>
      <c r="E466" s="1869"/>
      <c r="F466" s="1869"/>
    </row>
    <row r="467" spans="4:6">
      <c r="D467" s="1866"/>
      <c r="E467" s="1869"/>
      <c r="F467" s="1869"/>
    </row>
    <row r="468" spans="4:6">
      <c r="D468" s="1866"/>
      <c r="E468" s="1869"/>
      <c r="F468" s="1869"/>
    </row>
    <row r="469" spans="4:6">
      <c r="D469" s="1866"/>
      <c r="E469" s="1869"/>
      <c r="F469" s="1869"/>
    </row>
    <row r="470" spans="4:6">
      <c r="D470" s="1866"/>
      <c r="E470" s="1869"/>
      <c r="F470" s="1869"/>
    </row>
    <row r="471" spans="4:6">
      <c r="D471" s="1866"/>
      <c r="E471" s="1869"/>
      <c r="F471" s="1869"/>
    </row>
    <row r="472" spans="4:6">
      <c r="D472" s="1866"/>
      <c r="E472" s="1869"/>
      <c r="F472" s="1869"/>
    </row>
    <row r="473" spans="4:6">
      <c r="D473" s="1866"/>
      <c r="E473" s="1869"/>
      <c r="F473" s="1869"/>
    </row>
    <row r="474" spans="4:6">
      <c r="D474" s="1866"/>
      <c r="E474" s="1869"/>
      <c r="F474" s="1869"/>
    </row>
    <row r="475" spans="4:6">
      <c r="D475" s="1866"/>
      <c r="E475" s="1869"/>
      <c r="F475" s="1869"/>
    </row>
    <row r="476" spans="4:6">
      <c r="D476" s="1866"/>
      <c r="E476" s="1869"/>
      <c r="F476" s="1869"/>
    </row>
    <row r="477" spans="4:6">
      <c r="D477" s="1866"/>
      <c r="E477" s="1869"/>
      <c r="F477" s="1869"/>
    </row>
    <row r="478" spans="4:6">
      <c r="D478" s="1866"/>
      <c r="E478" s="1869"/>
      <c r="F478" s="1869"/>
    </row>
    <row r="479" spans="4:6">
      <c r="D479" s="1866"/>
      <c r="E479" s="1869"/>
      <c r="F479" s="1869"/>
    </row>
    <row r="480" spans="4:6">
      <c r="D480" s="1866"/>
      <c r="E480" s="1869"/>
      <c r="F480" s="1869"/>
    </row>
    <row r="481" spans="4:6">
      <c r="D481" s="1866"/>
      <c r="E481" s="1869"/>
      <c r="F481" s="1869"/>
    </row>
    <row r="482" spans="4:6">
      <c r="D482" s="1866"/>
      <c r="E482" s="1869"/>
      <c r="F482" s="1869"/>
    </row>
    <row r="483" spans="4:6">
      <c r="D483" s="1866"/>
      <c r="E483" s="1869"/>
      <c r="F483" s="1869"/>
    </row>
    <row r="484" spans="4:6">
      <c r="D484" s="1866"/>
      <c r="E484" s="1869"/>
      <c r="F484" s="1869"/>
    </row>
    <row r="485" spans="4:6">
      <c r="D485" s="1866"/>
      <c r="E485" s="1869"/>
      <c r="F485" s="1869"/>
    </row>
    <row r="486" spans="4:6">
      <c r="D486" s="1866"/>
      <c r="E486" s="1869"/>
      <c r="F486" s="1869"/>
    </row>
    <row r="487" spans="4:6">
      <c r="D487" s="1866"/>
      <c r="E487" s="1869"/>
      <c r="F487" s="1869"/>
    </row>
    <row r="488" spans="4:6">
      <c r="D488" s="1866"/>
      <c r="E488" s="1869"/>
      <c r="F488" s="1869"/>
    </row>
    <row r="489" spans="4:6">
      <c r="D489" s="1866"/>
      <c r="E489" s="1869"/>
      <c r="F489" s="1869"/>
    </row>
    <row r="490" spans="4:6">
      <c r="D490" s="1866"/>
      <c r="E490" s="1869"/>
      <c r="F490" s="1869"/>
    </row>
    <row r="491" spans="4:6">
      <c r="D491" s="1866"/>
      <c r="E491" s="1869"/>
      <c r="F491" s="1869"/>
    </row>
    <row r="492" spans="4:6">
      <c r="D492" s="1866"/>
      <c r="E492" s="1869"/>
      <c r="F492" s="1869"/>
    </row>
    <row r="493" spans="4:6">
      <c r="D493" s="1866"/>
      <c r="E493" s="1869"/>
      <c r="F493" s="1869"/>
    </row>
    <row r="494" spans="4:6">
      <c r="D494" s="1866"/>
      <c r="E494" s="1869"/>
      <c r="F494" s="1869"/>
    </row>
    <row r="495" spans="4:6">
      <c r="D495" s="1866"/>
      <c r="E495" s="1869"/>
      <c r="F495" s="1869"/>
    </row>
    <row r="496" spans="4:6">
      <c r="D496" s="1866"/>
      <c r="E496" s="1869"/>
      <c r="F496" s="1869"/>
    </row>
    <row r="497" spans="4:6">
      <c r="D497" s="1866"/>
      <c r="E497" s="1869"/>
      <c r="F497" s="1869"/>
    </row>
    <row r="498" spans="4:6">
      <c r="D498" s="1866"/>
      <c r="E498" s="1869"/>
      <c r="F498" s="1869"/>
    </row>
    <row r="499" spans="4:6">
      <c r="D499" s="1866"/>
      <c r="E499" s="1869"/>
      <c r="F499" s="1869"/>
    </row>
    <row r="500" spans="4:6">
      <c r="D500" s="1866"/>
      <c r="E500" s="1869"/>
      <c r="F500" s="1869"/>
    </row>
    <row r="501" spans="4:6">
      <c r="D501" s="1866"/>
      <c r="E501" s="1869"/>
      <c r="F501" s="1869"/>
    </row>
    <row r="502" spans="4:6">
      <c r="D502" s="1866"/>
      <c r="E502" s="1869"/>
      <c r="F502" s="1869"/>
    </row>
    <row r="503" spans="4:6">
      <c r="D503" s="1866"/>
      <c r="E503" s="1869"/>
      <c r="F503" s="1869"/>
    </row>
    <row r="504" spans="4:6">
      <c r="D504" s="1866"/>
      <c r="E504" s="1869"/>
      <c r="F504" s="1869"/>
    </row>
    <row r="505" spans="4:6">
      <c r="D505" s="1866"/>
      <c r="E505" s="1869"/>
      <c r="F505" s="1869"/>
    </row>
    <row r="506" spans="4:6">
      <c r="D506" s="1866"/>
      <c r="E506" s="1869"/>
      <c r="F506" s="1869"/>
    </row>
    <row r="507" spans="4:6">
      <c r="D507" s="1866"/>
      <c r="E507" s="1869"/>
      <c r="F507" s="1869"/>
    </row>
    <row r="508" spans="4:6">
      <c r="D508" s="1866"/>
      <c r="E508" s="1869"/>
      <c r="F508" s="1869"/>
    </row>
    <row r="509" spans="4:6">
      <c r="D509" s="1866"/>
      <c r="E509" s="1869"/>
      <c r="F509" s="1869"/>
    </row>
    <row r="510" spans="4:6">
      <c r="D510" s="1866"/>
      <c r="E510" s="1869"/>
      <c r="F510" s="1869"/>
    </row>
    <row r="511" spans="4:6">
      <c r="D511" s="1866"/>
      <c r="E511" s="1869"/>
      <c r="F511" s="1869"/>
    </row>
    <row r="512" spans="4:6">
      <c r="D512" s="1866"/>
      <c r="E512" s="1869"/>
      <c r="F512" s="1869"/>
    </row>
    <row r="513" spans="4:6">
      <c r="D513" s="1866"/>
      <c r="E513" s="1869"/>
      <c r="F513" s="1869"/>
    </row>
    <row r="514" spans="4:6">
      <c r="D514" s="1866"/>
      <c r="E514" s="1869"/>
      <c r="F514" s="1869"/>
    </row>
    <row r="515" spans="4:6">
      <c r="D515" s="1866"/>
      <c r="E515" s="1869"/>
      <c r="F515" s="1869"/>
    </row>
    <row r="516" spans="4:6">
      <c r="D516" s="1866"/>
      <c r="E516" s="1869"/>
      <c r="F516" s="1869"/>
    </row>
    <row r="517" spans="4:6">
      <c r="D517" s="1866"/>
      <c r="E517" s="1869"/>
      <c r="F517" s="1869"/>
    </row>
    <row r="518" spans="4:6">
      <c r="D518" s="1866"/>
      <c r="E518" s="1869"/>
      <c r="F518" s="1869"/>
    </row>
    <row r="519" spans="4:6">
      <c r="D519" s="1866"/>
      <c r="E519" s="1869"/>
      <c r="F519" s="1869"/>
    </row>
    <row r="520" spans="4:6">
      <c r="D520" s="1866"/>
      <c r="E520" s="1869"/>
      <c r="F520" s="1869"/>
    </row>
    <row r="521" spans="4:6">
      <c r="D521" s="1866"/>
      <c r="E521" s="1869"/>
      <c r="F521" s="1869"/>
    </row>
    <row r="522" spans="4:6">
      <c r="D522" s="1866"/>
      <c r="E522" s="1869"/>
      <c r="F522" s="1869"/>
    </row>
    <row r="523" spans="4:6">
      <c r="D523" s="1866"/>
      <c r="E523" s="1869"/>
      <c r="F523" s="1869"/>
    </row>
    <row r="524" spans="4:6">
      <c r="D524" s="1866"/>
      <c r="E524" s="1869"/>
      <c r="F524" s="1869"/>
    </row>
    <row r="525" spans="4:6">
      <c r="D525" s="1866"/>
      <c r="E525" s="1869"/>
      <c r="F525" s="1869"/>
    </row>
    <row r="526" spans="4:6">
      <c r="D526" s="1866"/>
      <c r="E526" s="1869"/>
      <c r="F526" s="1869"/>
    </row>
    <row r="527" spans="4:6">
      <c r="D527" s="1866"/>
      <c r="E527" s="1869"/>
      <c r="F527" s="1869"/>
    </row>
    <row r="528" spans="4:6">
      <c r="D528" s="1866"/>
      <c r="E528" s="1869"/>
      <c r="F528" s="1869"/>
    </row>
    <row r="529" spans="4:6">
      <c r="D529" s="1866"/>
      <c r="E529" s="1869"/>
      <c r="F529" s="1869"/>
    </row>
    <row r="530" spans="4:6">
      <c r="D530" s="1866"/>
      <c r="E530" s="1869"/>
      <c r="F530" s="1869"/>
    </row>
    <row r="531" spans="4:6">
      <c r="D531" s="1866"/>
      <c r="E531" s="1869"/>
      <c r="F531" s="1869"/>
    </row>
    <row r="532" spans="4:6">
      <c r="D532" s="1866"/>
      <c r="E532" s="1869"/>
      <c r="F532" s="1869"/>
    </row>
    <row r="533" spans="4:6">
      <c r="D533" s="1866"/>
      <c r="E533" s="1869"/>
      <c r="F533" s="1869"/>
    </row>
    <row r="534" spans="4:6">
      <c r="D534" s="1866"/>
      <c r="E534" s="1869"/>
      <c r="F534" s="1869"/>
    </row>
    <row r="535" spans="4:6">
      <c r="D535" s="1866"/>
      <c r="E535" s="1869"/>
      <c r="F535" s="1869"/>
    </row>
    <row r="536" spans="4:6">
      <c r="D536" s="1866"/>
      <c r="E536" s="1869"/>
      <c r="F536" s="1869"/>
    </row>
    <row r="537" spans="4:6">
      <c r="D537" s="1866"/>
      <c r="E537" s="1869"/>
      <c r="F537" s="1869"/>
    </row>
    <row r="538" spans="4:6">
      <c r="D538" s="1866"/>
      <c r="E538" s="1869"/>
      <c r="F538" s="1869"/>
    </row>
    <row r="539" spans="4:6">
      <c r="D539" s="1866"/>
      <c r="E539" s="1869"/>
      <c r="F539" s="1869"/>
    </row>
    <row r="540" spans="4:6">
      <c r="D540" s="1866"/>
      <c r="E540" s="1869"/>
      <c r="F540" s="1869"/>
    </row>
    <row r="541" spans="4:6">
      <c r="D541" s="1866"/>
      <c r="E541" s="1869"/>
      <c r="F541" s="1869"/>
    </row>
    <row r="542" spans="4:6">
      <c r="D542" s="1866"/>
      <c r="E542" s="1869"/>
      <c r="F542" s="1869"/>
    </row>
    <row r="543" spans="4:6">
      <c r="D543" s="1866"/>
      <c r="E543" s="1869"/>
      <c r="F543" s="1869"/>
    </row>
    <row r="544" spans="4:6">
      <c r="D544" s="1866"/>
      <c r="E544" s="1869"/>
      <c r="F544" s="1869"/>
    </row>
    <row r="545" spans="4:6">
      <c r="D545" s="1866"/>
      <c r="E545" s="1869"/>
      <c r="F545" s="1869"/>
    </row>
    <row r="546" spans="4:6">
      <c r="D546" s="1866"/>
      <c r="E546" s="1869"/>
      <c r="F546" s="1869"/>
    </row>
    <row r="547" spans="4:6">
      <c r="D547" s="1866"/>
      <c r="E547" s="1869"/>
      <c r="F547" s="1869"/>
    </row>
    <row r="548" spans="4:6">
      <c r="D548" s="1866"/>
      <c r="E548" s="1869"/>
      <c r="F548" s="1869"/>
    </row>
    <row r="549" spans="4:6">
      <c r="D549" s="1866"/>
      <c r="E549" s="1869"/>
      <c r="F549" s="1869"/>
    </row>
    <row r="550" spans="4:6">
      <c r="D550" s="1866"/>
      <c r="E550" s="1869"/>
      <c r="F550" s="1869"/>
    </row>
    <row r="551" spans="4:6">
      <c r="D551" s="1866"/>
      <c r="E551" s="1869"/>
      <c r="F551" s="1869"/>
    </row>
    <row r="552" spans="4:6">
      <c r="D552" s="1866"/>
      <c r="E552" s="1869"/>
      <c r="F552" s="1869"/>
    </row>
    <row r="553" spans="4:6">
      <c r="D553" s="1866"/>
      <c r="E553" s="1869"/>
      <c r="F553" s="1869"/>
    </row>
    <row r="554" spans="4:6">
      <c r="D554" s="1866"/>
      <c r="E554" s="1869"/>
      <c r="F554" s="1869"/>
    </row>
    <row r="555" spans="4:6">
      <c r="D555" s="1866"/>
      <c r="E555" s="1869"/>
      <c r="F555" s="1869"/>
    </row>
    <row r="556" spans="4:6">
      <c r="D556" s="1866"/>
      <c r="E556" s="1869"/>
      <c r="F556" s="1869"/>
    </row>
    <row r="557" spans="4:6">
      <c r="D557" s="1866"/>
      <c r="E557" s="1869"/>
      <c r="F557" s="1869"/>
    </row>
    <row r="558" spans="4:6">
      <c r="D558" s="1866"/>
      <c r="E558" s="1869"/>
      <c r="F558" s="1869"/>
    </row>
    <row r="559" spans="4:6">
      <c r="D559" s="1866"/>
      <c r="E559" s="1869"/>
      <c r="F559" s="1869"/>
    </row>
    <row r="560" spans="4:6">
      <c r="D560" s="1866"/>
      <c r="E560" s="1869"/>
      <c r="F560" s="1869"/>
    </row>
    <row r="561" spans="4:6">
      <c r="D561" s="1866"/>
      <c r="E561" s="1869"/>
      <c r="F561" s="1869"/>
    </row>
    <row r="562" spans="4:6">
      <c r="D562" s="1866"/>
      <c r="E562" s="1869"/>
      <c r="F562" s="1869"/>
    </row>
    <row r="563" spans="4:6">
      <c r="D563" s="1866"/>
      <c r="E563" s="1869"/>
      <c r="F563" s="1869"/>
    </row>
    <row r="564" spans="4:6">
      <c r="D564" s="1866"/>
      <c r="E564" s="1869"/>
      <c r="F564" s="1869"/>
    </row>
    <row r="565" spans="4:6">
      <c r="D565" s="1866"/>
      <c r="E565" s="1869"/>
      <c r="F565" s="1869"/>
    </row>
    <row r="566" spans="4:6">
      <c r="D566" s="1866"/>
      <c r="E566" s="1869"/>
      <c r="F566" s="1869"/>
    </row>
    <row r="567" spans="4:6">
      <c r="D567" s="1866"/>
      <c r="E567" s="1869"/>
      <c r="F567" s="1869"/>
    </row>
    <row r="568" spans="4:6">
      <c r="D568" s="1866"/>
      <c r="E568" s="1869"/>
      <c r="F568" s="1869"/>
    </row>
    <row r="569" spans="4:6">
      <c r="D569" s="1866"/>
      <c r="E569" s="1869"/>
      <c r="F569" s="1869"/>
    </row>
    <row r="570" spans="4:6">
      <c r="D570" s="1866"/>
      <c r="E570" s="1869"/>
      <c r="F570" s="1869"/>
    </row>
    <row r="571" spans="4:6">
      <c r="D571" s="1866"/>
      <c r="E571" s="1869"/>
      <c r="F571" s="1869"/>
    </row>
    <row r="572" spans="4:6">
      <c r="D572" s="1866"/>
      <c r="E572" s="1869"/>
      <c r="F572" s="1869"/>
    </row>
    <row r="573" spans="4:6">
      <c r="D573" s="1866"/>
      <c r="E573" s="1869"/>
      <c r="F573" s="1869"/>
    </row>
    <row r="574" spans="4:6">
      <c r="D574" s="1866"/>
      <c r="E574" s="1869"/>
      <c r="F574" s="1869"/>
    </row>
    <row r="575" spans="4:6">
      <c r="D575" s="1866"/>
      <c r="E575" s="1869"/>
      <c r="F575" s="1869"/>
    </row>
    <row r="576" spans="4:6">
      <c r="D576" s="1866"/>
      <c r="E576" s="1869"/>
      <c r="F576" s="1869"/>
    </row>
    <row r="577" spans="4:6">
      <c r="D577" s="1866"/>
      <c r="E577" s="1869"/>
      <c r="F577" s="1869"/>
    </row>
    <row r="578" spans="4:6">
      <c r="D578" s="1866"/>
      <c r="E578" s="1869"/>
      <c r="F578" s="1869"/>
    </row>
    <row r="579" spans="4:6">
      <c r="D579" s="1866"/>
      <c r="E579" s="1869"/>
      <c r="F579" s="1869"/>
    </row>
    <row r="580" spans="4:6">
      <c r="D580" s="1866"/>
      <c r="E580" s="1869"/>
      <c r="F580" s="1869"/>
    </row>
    <row r="581" spans="4:6">
      <c r="D581" s="1866"/>
      <c r="E581" s="1869"/>
      <c r="F581" s="1869"/>
    </row>
    <row r="582" spans="4:6">
      <c r="D582" s="1866"/>
      <c r="E582" s="1869"/>
      <c r="F582" s="1869"/>
    </row>
    <row r="583" spans="4:6">
      <c r="D583" s="1866"/>
      <c r="E583" s="1869"/>
      <c r="F583" s="1869"/>
    </row>
    <row r="584" spans="4:6">
      <c r="D584" s="1866"/>
      <c r="E584" s="1869"/>
      <c r="F584" s="1869"/>
    </row>
    <row r="585" spans="4:6">
      <c r="D585" s="1866"/>
      <c r="E585" s="1869"/>
      <c r="F585" s="1869"/>
    </row>
    <row r="586" spans="4:6">
      <c r="D586" s="1866"/>
      <c r="E586" s="1869"/>
      <c r="F586" s="1869"/>
    </row>
    <row r="587" spans="4:6">
      <c r="D587" s="1866"/>
      <c r="E587" s="1869"/>
      <c r="F587" s="1869"/>
    </row>
    <row r="588" spans="4:6">
      <c r="D588" s="1866"/>
      <c r="E588" s="1869"/>
      <c r="F588" s="1869"/>
    </row>
    <row r="589" spans="4:6">
      <c r="D589" s="1866"/>
      <c r="E589" s="1869"/>
      <c r="F589" s="1869"/>
    </row>
    <row r="590" spans="4:6">
      <c r="D590" s="1866"/>
      <c r="E590" s="1869"/>
      <c r="F590" s="1869"/>
    </row>
    <row r="591" spans="4:6">
      <c r="D591" s="1866"/>
      <c r="E591" s="1869"/>
      <c r="F591" s="1869"/>
    </row>
    <row r="592" spans="4:6">
      <c r="D592" s="1866"/>
      <c r="E592" s="1869"/>
      <c r="F592" s="1869"/>
    </row>
    <row r="593" spans="4:6">
      <c r="D593" s="1866"/>
      <c r="E593" s="1869"/>
      <c r="F593" s="1869"/>
    </row>
    <row r="594" spans="4:6">
      <c r="D594" s="1866"/>
      <c r="E594" s="1869"/>
      <c r="F594" s="1869"/>
    </row>
    <row r="595" spans="4:6">
      <c r="D595" s="1866"/>
      <c r="E595" s="1869"/>
      <c r="F595" s="1869"/>
    </row>
    <row r="596" spans="4:6">
      <c r="D596" s="1866"/>
      <c r="E596" s="1869"/>
      <c r="F596" s="1869"/>
    </row>
    <row r="597" spans="4:6">
      <c r="D597" s="1866"/>
      <c r="E597" s="1869"/>
      <c r="F597" s="1869"/>
    </row>
    <row r="598" spans="4:6">
      <c r="D598" s="1866"/>
      <c r="E598" s="1869"/>
      <c r="F598" s="1869"/>
    </row>
    <row r="599" spans="4:6">
      <c r="D599" s="1866"/>
      <c r="E599" s="1869"/>
      <c r="F599" s="1869"/>
    </row>
    <row r="600" spans="4:6">
      <c r="D600" s="1866"/>
      <c r="E600" s="1869"/>
      <c r="F600" s="1869"/>
    </row>
    <row r="601" spans="4:6">
      <c r="D601" s="1866"/>
      <c r="E601" s="1869"/>
      <c r="F601" s="1869"/>
    </row>
    <row r="602" spans="4:6">
      <c r="D602" s="1866"/>
      <c r="E602" s="1869"/>
      <c r="F602" s="1869"/>
    </row>
    <row r="603" spans="4:6">
      <c r="D603" s="1866"/>
      <c r="E603" s="1869"/>
      <c r="F603" s="1869"/>
    </row>
    <row r="604" spans="4:6">
      <c r="D604" s="1866"/>
      <c r="E604" s="1869"/>
      <c r="F604" s="1869"/>
    </row>
    <row r="605" spans="4:6">
      <c r="D605" s="1866"/>
      <c r="E605" s="1869"/>
      <c r="F605" s="1869"/>
    </row>
    <row r="606" spans="4:6">
      <c r="D606" s="1866"/>
      <c r="E606" s="1869"/>
      <c r="F606" s="1869"/>
    </row>
    <row r="607" spans="4:6">
      <c r="D607" s="1866"/>
      <c r="E607" s="1869"/>
      <c r="F607" s="1869"/>
    </row>
    <row r="608" spans="4:6">
      <c r="D608" s="1866"/>
      <c r="E608" s="1869"/>
      <c r="F608" s="1869"/>
    </row>
    <row r="609" spans="4:6">
      <c r="D609" s="1866"/>
      <c r="E609" s="1869"/>
      <c r="F609" s="1869"/>
    </row>
    <row r="610" spans="4:6">
      <c r="D610" s="1866"/>
      <c r="E610" s="1869"/>
      <c r="F610" s="1869"/>
    </row>
    <row r="611" spans="4:6">
      <c r="D611" s="1866"/>
      <c r="E611" s="1869"/>
      <c r="F611" s="1869"/>
    </row>
    <row r="612" spans="4:6">
      <c r="D612" s="1866"/>
      <c r="E612" s="1869"/>
      <c r="F612" s="1869"/>
    </row>
    <row r="613" spans="4:6">
      <c r="D613" s="1866"/>
      <c r="E613" s="1869"/>
      <c r="F613" s="1869"/>
    </row>
    <row r="614" spans="4:6">
      <c r="D614" s="1866"/>
      <c r="E614" s="1869"/>
      <c r="F614" s="1869"/>
    </row>
    <row r="615" spans="4:6">
      <c r="D615" s="1866"/>
      <c r="E615" s="1869"/>
      <c r="F615" s="1869"/>
    </row>
    <row r="616" spans="4:6">
      <c r="D616" s="1866"/>
      <c r="E616" s="1869"/>
      <c r="F616" s="1869"/>
    </row>
    <row r="617" spans="4:6">
      <c r="D617" s="1866"/>
      <c r="E617" s="1869"/>
      <c r="F617" s="1869"/>
    </row>
    <row r="618" spans="4:6">
      <c r="D618" s="1866"/>
      <c r="E618" s="1869"/>
      <c r="F618" s="1869"/>
    </row>
    <row r="619" spans="4:6">
      <c r="D619" s="1866"/>
      <c r="E619" s="1869"/>
      <c r="F619" s="1869"/>
    </row>
    <row r="620" spans="4:6">
      <c r="D620" s="1866"/>
      <c r="E620" s="1869"/>
      <c r="F620" s="1869"/>
    </row>
    <row r="621" spans="4:6">
      <c r="D621" s="1866"/>
      <c r="E621" s="1869"/>
      <c r="F621" s="1869"/>
    </row>
    <row r="622" spans="4:6">
      <c r="D622" s="1866"/>
      <c r="E622" s="1869"/>
      <c r="F622" s="1869"/>
    </row>
    <row r="623" spans="4:6">
      <c r="D623" s="1866"/>
      <c r="E623" s="1869"/>
      <c r="F623" s="1869"/>
    </row>
    <row r="624" spans="4:6">
      <c r="D624" s="1866"/>
      <c r="E624" s="1869"/>
      <c r="F624" s="1869"/>
    </row>
    <row r="625" spans="4:16">
      <c r="D625" s="1866"/>
      <c r="E625" s="1869"/>
      <c r="F625" s="1869"/>
    </row>
    <row r="626" spans="4:16">
      <c r="D626" s="1866"/>
      <c r="E626" s="1869"/>
      <c r="F626" s="1869"/>
    </row>
    <row r="627" spans="4:16">
      <c r="D627" s="1948"/>
      <c r="E627" s="2067"/>
      <c r="F627" s="2067"/>
      <c r="G627" s="1849"/>
      <c r="H627" s="1849"/>
      <c r="I627" s="1849"/>
      <c r="J627" s="1849"/>
      <c r="K627" s="1849"/>
      <c r="L627" s="1849"/>
      <c r="M627" s="1849"/>
      <c r="N627" s="1849"/>
      <c r="O627" s="1849"/>
      <c r="P627" s="1849"/>
    </row>
    <row r="628" spans="4:16" hidden="1" outlineLevel="1">
      <c r="D628" s="1866" t="s">
        <v>1813</v>
      </c>
      <c r="E628" s="1869"/>
      <c r="F628" s="1869" t="s">
        <v>1945</v>
      </c>
    </row>
    <row r="629" spans="4:16" hidden="1" outlineLevel="1">
      <c r="D629" s="1866"/>
      <c r="E629" s="1869"/>
      <c r="F629" s="1869"/>
    </row>
    <row r="630" spans="4:16" hidden="1" outlineLevel="1">
      <c r="D630" s="1866" t="s">
        <v>1813</v>
      </c>
      <c r="E630" s="1869"/>
      <c r="F630" s="1869" t="s">
        <v>1946</v>
      </c>
    </row>
    <row r="631" spans="4:16" hidden="1" outlineLevel="1">
      <c r="D631" s="1866"/>
      <c r="E631" s="1869"/>
      <c r="F631" s="1869"/>
    </row>
    <row r="632" spans="4:16" hidden="1" outlineLevel="1">
      <c r="D632" s="1866" t="s">
        <v>1824</v>
      </c>
      <c r="E632" s="1869"/>
      <c r="F632" s="1869" t="s">
        <v>1947</v>
      </c>
    </row>
    <row r="633" spans="4:16" hidden="1" outlineLevel="1">
      <c r="D633" s="1866"/>
      <c r="E633" s="1869"/>
      <c r="F633" s="1869"/>
    </row>
    <row r="634" spans="4:16" hidden="1" outlineLevel="1">
      <c r="D634" s="1866"/>
      <c r="E634" s="1869"/>
      <c r="F634" s="1869"/>
    </row>
    <row r="635" spans="4:16" hidden="1" outlineLevel="1">
      <c r="D635" s="1948" t="s">
        <v>1948</v>
      </c>
      <c r="E635" s="1869"/>
      <c r="F635" s="1869"/>
    </row>
    <row r="636" spans="4:16" hidden="1" outlineLevel="1">
      <c r="D636" s="1948" t="s">
        <v>1949</v>
      </c>
      <c r="E636" s="1869"/>
      <c r="F636" s="1869"/>
    </row>
    <row r="637" spans="4:16" hidden="1" outlineLevel="1">
      <c r="D637" s="1866" t="s">
        <v>1813</v>
      </c>
      <c r="E637" s="1869"/>
      <c r="F637" s="1869" t="s">
        <v>1950</v>
      </c>
    </row>
    <row r="638" spans="4:16" hidden="1" outlineLevel="1">
      <c r="D638" s="1866"/>
      <c r="E638" s="1869"/>
      <c r="F638" s="1869"/>
    </row>
    <row r="639" spans="4:16" hidden="1" outlineLevel="1">
      <c r="D639" s="1866" t="s">
        <v>1818</v>
      </c>
      <c r="E639" s="1869"/>
      <c r="F639" s="1869" t="s">
        <v>1951</v>
      </c>
    </row>
    <row r="640" spans="4:16" hidden="1" outlineLevel="1">
      <c r="D640" s="1866"/>
      <c r="E640" s="1869"/>
      <c r="F640" s="1869"/>
    </row>
    <row r="641" spans="4:16" hidden="1" outlineLevel="1">
      <c r="D641" s="1866" t="s">
        <v>1824</v>
      </c>
      <c r="E641" s="1869"/>
      <c r="F641" s="1869" t="s">
        <v>1952</v>
      </c>
    </row>
    <row r="642" spans="4:16" hidden="1" outlineLevel="1">
      <c r="D642" s="1866"/>
      <c r="E642" s="1869"/>
      <c r="F642" s="1869"/>
    </row>
    <row r="643" spans="4:16" hidden="1" outlineLevel="2">
      <c r="D643" s="1948" t="s">
        <v>1953</v>
      </c>
      <c r="E643" s="1869"/>
      <c r="F643" s="1869"/>
    </row>
    <row r="644" spans="4:16" hidden="1" outlineLevel="2">
      <c r="D644" s="1866" t="s">
        <v>1813</v>
      </c>
      <c r="E644" s="1869"/>
      <c r="F644" s="1869" t="s">
        <v>1954</v>
      </c>
    </row>
    <row r="645" spans="4:16" hidden="1" outlineLevel="2">
      <c r="D645" s="1866" t="s">
        <v>1818</v>
      </c>
      <c r="E645" s="1869"/>
      <c r="F645" s="1869" t="s">
        <v>1955</v>
      </c>
    </row>
    <row r="646" spans="4:16" hidden="1" outlineLevel="2">
      <c r="D646" s="1866" t="s">
        <v>1824</v>
      </c>
      <c r="E646" s="1869"/>
      <c r="F646" s="1869" t="s">
        <v>1956</v>
      </c>
    </row>
    <row r="647" spans="4:16" hidden="1" outlineLevel="2">
      <c r="D647" s="1866"/>
      <c r="E647" s="1869"/>
      <c r="F647" s="1869"/>
    </row>
    <row r="648" spans="4:16" hidden="1" outlineLevel="2">
      <c r="D648" s="1948" t="s">
        <v>1957</v>
      </c>
      <c r="E648" s="1869"/>
      <c r="F648" s="1869"/>
    </row>
    <row r="649" spans="4:16" hidden="1" outlineLevel="2">
      <c r="D649" s="1866" t="s">
        <v>1813</v>
      </c>
      <c r="E649" s="1869"/>
      <c r="F649" s="1869" t="s">
        <v>1958</v>
      </c>
    </row>
    <row r="650" spans="4:16" hidden="1" outlineLevel="2">
      <c r="D650" s="1866"/>
      <c r="E650" s="1869"/>
      <c r="F650" s="1869"/>
    </row>
    <row r="651" spans="4:16" hidden="1" outlineLevel="2">
      <c r="D651" s="1866" t="s">
        <v>1818</v>
      </c>
      <c r="E651" s="1869"/>
      <c r="F651" s="1869" t="s">
        <v>1959</v>
      </c>
    </row>
    <row r="652" spans="4:16" hidden="1" outlineLevel="2">
      <c r="D652" s="1866"/>
      <c r="E652" s="1869"/>
      <c r="F652" s="1869"/>
    </row>
    <row r="653" spans="4:16" hidden="1" outlineLevel="2">
      <c r="D653" s="1866" t="s">
        <v>1824</v>
      </c>
      <c r="E653" s="1869"/>
      <c r="F653" s="1869" t="s">
        <v>1960</v>
      </c>
    </row>
    <row r="654" spans="4:16" hidden="1" outlineLevel="2">
      <c r="D654" s="1866"/>
      <c r="E654" s="1869"/>
      <c r="F654" s="1869"/>
    </row>
    <row r="655" spans="4:16" hidden="1" outlineLevel="2">
      <c r="D655" s="1948" t="s">
        <v>1961</v>
      </c>
      <c r="E655" s="2067"/>
      <c r="F655" s="2067"/>
      <c r="G655" s="1849"/>
      <c r="H655" s="1849"/>
      <c r="I655" s="1849"/>
      <c r="J655" s="1849"/>
      <c r="K655" s="1849"/>
      <c r="L655" s="1849"/>
      <c r="M655" s="1849"/>
      <c r="N655" s="1849"/>
      <c r="O655" s="1849"/>
      <c r="P655" s="1849"/>
    </row>
    <row r="656" spans="4:16" hidden="1" outlineLevel="2">
      <c r="D656" s="1866" t="s">
        <v>1813</v>
      </c>
      <c r="E656" s="1869"/>
      <c r="F656" s="1869" t="s">
        <v>1962</v>
      </c>
    </row>
    <row r="657" spans="4:6" hidden="1" outlineLevel="2">
      <c r="D657" s="1866" t="s">
        <v>1813</v>
      </c>
      <c r="E657" s="1869"/>
      <c r="F657" s="1869" t="s">
        <v>1946</v>
      </c>
    </row>
    <row r="658" spans="4:6" hidden="1" outlineLevel="2">
      <c r="D658" s="1866" t="s">
        <v>1818</v>
      </c>
      <c r="E658" s="1869"/>
      <c r="F658" s="1869" t="s">
        <v>1963</v>
      </c>
    </row>
    <row r="659" spans="4:6" hidden="1" outlineLevel="2"/>
    <row r="660" spans="4:6" hidden="1" outlineLevel="2"/>
    <row r="661" spans="4:6" hidden="1" outlineLevel="2"/>
    <row r="662" spans="4:6" hidden="1" outlineLevel="2"/>
    <row r="663" spans="4:6" hidden="1" outlineLevel="2"/>
    <row r="664" spans="4:6" ht="21" hidden="1" outlineLevel="2">
      <c r="D664" s="2140" t="s">
        <v>1699</v>
      </c>
      <c r="F664" s="2141" t="s">
        <v>1964</v>
      </c>
    </row>
    <row r="665" spans="4:6" ht="21" hidden="1" outlineLevel="2">
      <c r="D665" s="2142" t="s">
        <v>1965</v>
      </c>
      <c r="F665" s="2143" t="s">
        <v>1966</v>
      </c>
    </row>
    <row r="666" spans="4:6" ht="21" hidden="1" outlineLevel="2">
      <c r="D666" s="2144" t="s">
        <v>1967</v>
      </c>
      <c r="F666" s="2143" t="s">
        <v>1968</v>
      </c>
    </row>
    <row r="667" spans="4:6" ht="21" hidden="1" outlineLevel="2">
      <c r="D667" s="2145" t="s">
        <v>1969</v>
      </c>
      <c r="F667" s="2143" t="s">
        <v>1970</v>
      </c>
    </row>
    <row r="668" spans="4:6" ht="21.6" hidden="1" outlineLevel="2" thickBot="1">
      <c r="D668" s="2146"/>
      <c r="F668" s="2147" t="s">
        <v>1971</v>
      </c>
    </row>
    <row r="669" spans="4:6" ht="14.4" hidden="1" outlineLevel="2">
      <c r="D669" s="2148"/>
      <c r="F669" s="2148"/>
    </row>
    <row r="670" spans="4:6" ht="14.4" hidden="1" outlineLevel="2">
      <c r="D670" s="2149" t="s">
        <v>1972</v>
      </c>
      <c r="F670" s="2150"/>
    </row>
    <row r="671" spans="4:6" hidden="1" outlineLevel="2">
      <c r="D671" s="2151"/>
      <c r="F671" s="2152"/>
    </row>
    <row r="672" spans="4:6" ht="105.6" hidden="1" outlineLevel="2">
      <c r="D672" s="2153" t="s">
        <v>1973</v>
      </c>
      <c r="F672" s="2154"/>
    </row>
    <row r="673" spans="4:6" hidden="1" outlineLevel="2">
      <c r="D673" s="2155"/>
      <c r="F673" s="2156"/>
    </row>
    <row r="674" spans="4:6" hidden="1" outlineLevel="2">
      <c r="D674" s="2151"/>
      <c r="F674" s="2152"/>
    </row>
    <row r="675" spans="4:6" hidden="1" outlineLevel="2">
      <c r="D675" s="2152" t="s">
        <v>1974</v>
      </c>
      <c r="F675" s="2152"/>
    </row>
    <row r="676" spans="4:6" hidden="1" outlineLevel="2">
      <c r="D676" s="2151"/>
      <c r="F676" s="2152"/>
    </row>
    <row r="677" spans="4:6" hidden="1" outlineLevel="2">
      <c r="D677" s="2157" t="s">
        <v>1975</v>
      </c>
      <c r="F677" s="2158" t="s">
        <v>1976</v>
      </c>
    </row>
    <row r="678" spans="4:6" hidden="1" outlineLevel="2">
      <c r="D678" s="2157"/>
      <c r="F678" s="2152"/>
    </row>
    <row r="679" spans="4:6" hidden="1" outlineLevel="2">
      <c r="D679" s="2151"/>
      <c r="F679" s="2152"/>
    </row>
    <row r="680" spans="4:6" ht="26.4" hidden="1" outlineLevel="2">
      <c r="D680" s="2157" t="s">
        <v>1977</v>
      </c>
      <c r="F680" s="2158" t="s">
        <v>1976</v>
      </c>
    </row>
    <row r="681" spans="4:6" hidden="1" outlineLevel="2">
      <c r="D681" s="2157"/>
      <c r="F681" s="2152"/>
    </row>
    <row r="682" spans="4:6" hidden="1" outlineLevel="2">
      <c r="D682" s="2151"/>
      <c r="F682" s="2152"/>
    </row>
    <row r="683" spans="4:6" hidden="1" outlineLevel="2">
      <c r="D683" s="2159" t="s">
        <v>1978</v>
      </c>
      <c r="F683" s="2158" t="s">
        <v>1976</v>
      </c>
    </row>
    <row r="684" spans="4:6" ht="21" hidden="1" outlineLevel="2">
      <c r="D684" s="2151"/>
      <c r="F684" s="2160"/>
    </row>
    <row r="685" spans="4:6" ht="21" hidden="1" outlineLevel="2">
      <c r="D685" s="2140" t="s">
        <v>552</v>
      </c>
      <c r="F685" s="2141" t="s">
        <v>1979</v>
      </c>
    </row>
    <row r="686" spans="4:6" hidden="1" outlineLevel="2">
      <c r="D686" s="2142" t="s">
        <v>1980</v>
      </c>
      <c r="F686" s="2152"/>
    </row>
    <row r="687" spans="4:6" ht="21" hidden="1" outlineLevel="2">
      <c r="D687" s="2161" t="s">
        <v>123</v>
      </c>
      <c r="F687" s="2143" t="s">
        <v>1981</v>
      </c>
    </row>
    <row r="688" spans="4:6" ht="21" hidden="1" outlineLevel="2">
      <c r="D688" s="2142" t="s">
        <v>325</v>
      </c>
      <c r="F688" s="2143" t="s">
        <v>1982</v>
      </c>
    </row>
    <row r="689" spans="4:6" ht="21" hidden="1" outlineLevel="2">
      <c r="D689" s="2142" t="s">
        <v>1983</v>
      </c>
      <c r="F689" s="2143" t="s">
        <v>1984</v>
      </c>
    </row>
    <row r="690" spans="4:6" ht="21" hidden="1" outlineLevel="2">
      <c r="D690" s="2161" t="s">
        <v>1985</v>
      </c>
      <c r="F690" s="2143" t="s">
        <v>1986</v>
      </c>
    </row>
    <row r="691" spans="4:6" ht="14.4" hidden="1" outlineLevel="2">
      <c r="D691" s="2144" t="s">
        <v>1987</v>
      </c>
      <c r="F691" s="2152"/>
    </row>
    <row r="692" spans="4:6" ht="13.8" hidden="1" outlineLevel="2" thickBot="1">
      <c r="D692" s="2162" t="s">
        <v>1969</v>
      </c>
      <c r="F692" s="2163"/>
    </row>
    <row r="693" spans="4:6" hidden="1" outlineLevel="2">
      <c r="D693" s="2164"/>
      <c r="F693" s="2152"/>
    </row>
    <row r="694" spans="4:6" ht="14.4" hidden="1" outlineLevel="2">
      <c r="D694" s="2149" t="s">
        <v>1896</v>
      </c>
      <c r="F694" s="2150"/>
    </row>
    <row r="695" spans="4:6" hidden="1" outlineLevel="2">
      <c r="D695" s="2151"/>
      <c r="F695" s="2152"/>
    </row>
    <row r="696" spans="4:6" ht="92.4" hidden="1" outlineLevel="2">
      <c r="D696" s="2153" t="s">
        <v>1988</v>
      </c>
      <c r="F696" s="2154"/>
    </row>
    <row r="697" spans="4:6" hidden="1" outlineLevel="2">
      <c r="D697" s="2155"/>
      <c r="F697" s="2156"/>
    </row>
    <row r="698" spans="4:6" hidden="1" outlineLevel="2">
      <c r="D698" s="2151"/>
      <c r="F698" s="2152"/>
    </row>
    <row r="699" spans="4:6" hidden="1" outlineLevel="2">
      <c r="D699" s="2165" t="s">
        <v>1989</v>
      </c>
      <c r="F699" s="2165"/>
    </row>
    <row r="700" spans="4:6" hidden="1" outlineLevel="2">
      <c r="D700" s="2165"/>
      <c r="F700" s="2165"/>
    </row>
    <row r="701" spans="4:6" ht="14.4" hidden="1" outlineLevel="2">
      <c r="D701" s="2166" t="s">
        <v>1990</v>
      </c>
      <c r="F701" s="2158" t="s">
        <v>1976</v>
      </c>
    </row>
    <row r="702" spans="4:6" ht="14.4" hidden="1" outlineLevel="2">
      <c r="D702" s="2166"/>
      <c r="F702" s="2152"/>
    </row>
    <row r="703" spans="4:6" ht="14.4" hidden="1" outlineLevel="2">
      <c r="D703" s="2167"/>
      <c r="F703" s="2168"/>
    </row>
    <row r="704" spans="4:6" ht="14.4" hidden="1" outlineLevel="2">
      <c r="D704" s="2166" t="s">
        <v>1991</v>
      </c>
      <c r="F704" s="2158" t="s">
        <v>1976</v>
      </c>
    </row>
    <row r="705" spans="4:6" ht="14.4" hidden="1" outlineLevel="2">
      <c r="D705" s="2166"/>
      <c r="F705" s="2152"/>
    </row>
    <row r="706" spans="4:6" ht="14.4" hidden="1" outlineLevel="2">
      <c r="D706" s="2167"/>
      <c r="F706" s="2168"/>
    </row>
    <row r="707" spans="4:6" ht="14.4" hidden="1" outlineLevel="2">
      <c r="D707" s="2166" t="s">
        <v>1992</v>
      </c>
      <c r="F707" s="2158" t="s">
        <v>1976</v>
      </c>
    </row>
    <row r="708" spans="4:6" ht="14.4" hidden="1" outlineLevel="2">
      <c r="D708" s="2166"/>
      <c r="F708" s="2152"/>
    </row>
    <row r="709" spans="4:6" ht="14.4" hidden="1" outlineLevel="2">
      <c r="D709" s="2169"/>
      <c r="F709" s="2170"/>
    </row>
    <row r="710" spans="4:6" ht="21" hidden="1" outlineLevel="2">
      <c r="D710" s="2140" t="s">
        <v>1993</v>
      </c>
      <c r="F710" s="2141" t="s">
        <v>1994</v>
      </c>
    </row>
    <row r="711" spans="4:6" hidden="1" outlineLevel="2">
      <c r="D711" s="2142" t="s">
        <v>1995</v>
      </c>
      <c r="F711" s="2152"/>
    </row>
    <row r="712" spans="4:6" ht="21" hidden="1" outlineLevel="2">
      <c r="D712" s="2144" t="s">
        <v>1996</v>
      </c>
      <c r="F712" s="2143" t="s">
        <v>1997</v>
      </c>
    </row>
    <row r="713" spans="4:6" ht="14.4" hidden="1" outlineLevel="2">
      <c r="D713" s="2144" t="s">
        <v>1998</v>
      </c>
      <c r="F713" s="2152"/>
    </row>
    <row r="714" spans="4:6" ht="21" hidden="1" outlineLevel="2">
      <c r="D714" s="2144" t="s">
        <v>1999</v>
      </c>
      <c r="F714" s="2143" t="s">
        <v>2000</v>
      </c>
    </row>
    <row r="715" spans="4:6" hidden="1" outlineLevel="2">
      <c r="D715" s="2171"/>
      <c r="F715" s="2152"/>
    </row>
    <row r="716" spans="4:6" hidden="1" outlineLevel="2">
      <c r="D716" s="2171"/>
      <c r="F716" s="2152"/>
    </row>
    <row r="717" spans="4:6" ht="21" hidden="1" outlineLevel="2">
      <c r="D717" s="2171"/>
      <c r="F717" s="2143" t="s">
        <v>2001</v>
      </c>
    </row>
    <row r="718" spans="4:6" ht="13.8" hidden="1" outlineLevel="2" thickBot="1">
      <c r="D718" s="2146"/>
      <c r="F718" s="2163"/>
    </row>
    <row r="719" spans="4:6" hidden="1" outlineLevel="2">
      <c r="D719" s="2164"/>
      <c r="F719" s="2152"/>
    </row>
    <row r="720" spans="4:6" ht="14.4" hidden="1" outlineLevel="2">
      <c r="D720" s="2149" t="s">
        <v>2002</v>
      </c>
      <c r="F720" s="2150"/>
    </row>
    <row r="721" spans="4:6" hidden="1" outlineLevel="2">
      <c r="D721" s="2151"/>
      <c r="F721" s="2152"/>
    </row>
    <row r="722" spans="4:6" ht="145.19999999999999" hidden="1" outlineLevel="2">
      <c r="D722" s="2153" t="s">
        <v>2003</v>
      </c>
      <c r="F722" s="2154"/>
    </row>
    <row r="723" spans="4:6" hidden="1" outlineLevel="2">
      <c r="D723" s="2155"/>
      <c r="F723" s="2156"/>
    </row>
    <row r="724" spans="4:6" hidden="1" outlineLevel="2">
      <c r="D724" s="2151"/>
      <c r="F724" s="2152"/>
    </row>
    <row r="725" spans="4:6" ht="14.4" hidden="1" outlineLevel="2">
      <c r="D725" s="2165" t="s">
        <v>2004</v>
      </c>
      <c r="F725" s="2170"/>
    </row>
    <row r="726" spans="4:6" hidden="1" outlineLevel="2">
      <c r="D726" s="2165"/>
      <c r="F726" s="2165"/>
    </row>
    <row r="727" spans="4:6" ht="92.4" hidden="1" outlineLevel="2">
      <c r="D727" s="2172" t="s">
        <v>2005</v>
      </c>
      <c r="F727" s="2172"/>
    </row>
    <row r="728" spans="4:6" hidden="1" outlineLevel="2">
      <c r="D728" s="2172"/>
      <c r="F728" s="2172"/>
    </row>
    <row r="729" spans="4:6" hidden="1" outlineLevel="2">
      <c r="D729" s="2165"/>
      <c r="F729" s="2165"/>
    </row>
    <row r="730" spans="4:6" ht="21" hidden="1" outlineLevel="2">
      <c r="D730" s="2173" t="s">
        <v>2006</v>
      </c>
      <c r="F730" s="2141" t="s">
        <v>2007</v>
      </c>
    </row>
    <row r="731" spans="4:6" ht="14.4" hidden="1" outlineLevel="2">
      <c r="D731" s="2144" t="s">
        <v>2008</v>
      </c>
      <c r="F731" s="2152"/>
    </row>
    <row r="732" spans="4:6" ht="21" hidden="1" outlineLevel="2">
      <c r="D732" s="2174"/>
      <c r="F732" s="2143" t="s">
        <v>2009</v>
      </c>
    </row>
    <row r="733" spans="4:6" hidden="1" outlineLevel="2">
      <c r="D733" s="2174"/>
      <c r="F733" s="2152"/>
    </row>
    <row r="734" spans="4:6" ht="21" hidden="1" outlineLevel="2">
      <c r="D734" s="2171"/>
      <c r="F734" s="2143" t="s">
        <v>2010</v>
      </c>
    </row>
    <row r="735" spans="4:6" ht="13.8" hidden="1" outlineLevel="1" thickBot="1">
      <c r="D735" s="2146"/>
      <c r="F735" s="2163"/>
    </row>
    <row r="736" spans="4:6" ht="18" hidden="1" outlineLevel="1">
      <c r="D736" s="2175" t="s">
        <v>1948</v>
      </c>
      <c r="F736" s="2176"/>
    </row>
    <row r="737" spans="4:6" ht="14.4" hidden="1" outlineLevel="1">
      <c r="D737" s="2177" t="s">
        <v>1949</v>
      </c>
      <c r="F737" s="2178"/>
    </row>
    <row r="738" spans="4:6" ht="14.4" hidden="1" outlineLevel="1">
      <c r="D738" s="2169"/>
      <c r="F738" s="2170"/>
    </row>
    <row r="739" spans="4:6" ht="118.8" hidden="1" outlineLevel="1">
      <c r="D739" s="2153" t="s">
        <v>2011</v>
      </c>
      <c r="F739" s="2154"/>
    </row>
    <row r="740" spans="4:6" hidden="1" outlineLevel="1">
      <c r="D740" s="2155"/>
      <c r="F740" s="2156"/>
    </row>
    <row r="741" spans="4:6" ht="14.4" hidden="1" outlineLevel="1">
      <c r="D741" s="2169"/>
      <c r="F741" s="2170"/>
    </row>
    <row r="742" spans="4:6" ht="14.4" hidden="1" outlineLevel="1">
      <c r="D742" s="2165" t="s">
        <v>2012</v>
      </c>
      <c r="F742" s="2168"/>
    </row>
    <row r="743" spans="4:6" ht="14.4" hidden="1" outlineLevel="1">
      <c r="D743" s="2167"/>
      <c r="F743" s="2168"/>
    </row>
    <row r="744" spans="4:6" ht="14.4" hidden="1" outlineLevel="1">
      <c r="D744" s="2166" t="s">
        <v>2013</v>
      </c>
      <c r="F744" s="2158" t="s">
        <v>1976</v>
      </c>
    </row>
    <row r="745" spans="4:6" ht="14.4" hidden="1" outlineLevel="1">
      <c r="D745" s="2166"/>
      <c r="F745" s="2152"/>
    </row>
    <row r="746" spans="4:6" ht="14.4" hidden="1" outlineLevel="1">
      <c r="D746" s="2167"/>
      <c r="F746" s="2168"/>
    </row>
    <row r="747" spans="4:6" ht="14.4" hidden="1" outlineLevel="1">
      <c r="D747" s="2166" t="s">
        <v>2014</v>
      </c>
      <c r="F747" s="2158" t="s">
        <v>1976</v>
      </c>
    </row>
    <row r="748" spans="4:6" ht="14.4" hidden="1" outlineLevel="1">
      <c r="D748" s="2166"/>
      <c r="F748" s="2152"/>
    </row>
    <row r="749" spans="4:6" ht="14.4" hidden="1" outlineLevel="1">
      <c r="D749" s="2167"/>
      <c r="F749" s="2168"/>
    </row>
    <row r="750" spans="4:6" ht="14.4" hidden="1" outlineLevel="1">
      <c r="D750" s="2166" t="s">
        <v>2015</v>
      </c>
      <c r="F750" s="2158" t="s">
        <v>1976</v>
      </c>
    </row>
    <row r="751" spans="4:6" ht="14.4" hidden="1" outlineLevel="1">
      <c r="D751" s="2166"/>
      <c r="F751" s="2152"/>
    </row>
    <row r="752" spans="4:6" ht="21" hidden="1" outlineLevel="1">
      <c r="D752" s="2166"/>
      <c r="F752" s="2160"/>
    </row>
    <row r="753" spans="4:6" ht="14.4" hidden="1" outlineLevel="1">
      <c r="D753" s="2166" t="s">
        <v>2016</v>
      </c>
      <c r="F753" s="2179" t="s">
        <v>1976</v>
      </c>
    </row>
    <row r="754" spans="4:6" ht="21" hidden="1" outlineLevel="1">
      <c r="D754" s="2166"/>
      <c r="F754" s="2160"/>
    </row>
    <row r="755" spans="4:6" ht="14.4" hidden="1" outlineLevel="1">
      <c r="D755" s="2167"/>
      <c r="F755" s="2168"/>
    </row>
    <row r="756" spans="4:6" ht="21" hidden="1" outlineLevel="1">
      <c r="D756" s="2140" t="s">
        <v>2017</v>
      </c>
      <c r="F756" s="2141" t="s">
        <v>2018</v>
      </c>
    </row>
    <row r="757" spans="4:6" hidden="1" outlineLevel="1">
      <c r="D757" s="2142" t="s">
        <v>2019</v>
      </c>
      <c r="F757" s="2152"/>
    </row>
    <row r="758" spans="4:6" ht="21" hidden="1" outlineLevel="1">
      <c r="D758" s="2161" t="s">
        <v>2020</v>
      </c>
      <c r="F758" s="2143" t="s">
        <v>2021</v>
      </c>
    </row>
    <row r="759" spans="4:6" ht="14.4" hidden="1" outlineLevel="1">
      <c r="D759" s="2180" t="s">
        <v>2022</v>
      </c>
      <c r="F759" s="2152"/>
    </row>
    <row r="760" spans="4:6" ht="21" hidden="1" outlineLevel="1">
      <c r="D760" s="2144" t="s">
        <v>2023</v>
      </c>
      <c r="F760" s="2143" t="s">
        <v>2024</v>
      </c>
    </row>
    <row r="761" spans="4:6" ht="14.4" hidden="1" outlineLevel="1">
      <c r="D761" s="2144" t="s">
        <v>2025</v>
      </c>
      <c r="F761" s="2152"/>
    </row>
    <row r="762" spans="4:6" ht="14.4" hidden="1" outlineLevel="1">
      <c r="D762" s="2161" t="s">
        <v>2026</v>
      </c>
      <c r="F762" s="2152"/>
    </row>
    <row r="763" spans="4:6" ht="14.4" hidden="1" outlineLevel="1">
      <c r="D763" s="2161" t="s">
        <v>2027</v>
      </c>
      <c r="F763" s="2152"/>
    </row>
    <row r="764" spans="4:6" ht="15" hidden="1" outlineLevel="1" thickBot="1">
      <c r="D764" s="2181" t="s">
        <v>2028</v>
      </c>
      <c r="F764" s="2163"/>
    </row>
    <row r="765" spans="4:6" hidden="1" outlineLevel="1">
      <c r="D765" s="2164"/>
      <c r="F765" s="2182"/>
    </row>
    <row r="766" spans="4:6" ht="14.4" hidden="1" outlineLevel="1">
      <c r="D766" s="2177" t="s">
        <v>1953</v>
      </c>
      <c r="F766" s="2178"/>
    </row>
    <row r="767" spans="4:6" ht="14.4" hidden="1" outlineLevel="1">
      <c r="D767" s="2167"/>
      <c r="F767" s="2168"/>
    </row>
    <row r="768" spans="4:6" ht="264" hidden="1" outlineLevel="1">
      <c r="D768" s="2153" t="s">
        <v>2029</v>
      </c>
      <c r="F768" s="2154"/>
    </row>
    <row r="769" spans="4:6" hidden="1" outlineLevel="1">
      <c r="D769" s="2183"/>
      <c r="F769" s="2184"/>
    </row>
    <row r="770" spans="4:6" hidden="1" outlineLevel="1">
      <c r="D770" s="2183"/>
      <c r="F770" s="2184"/>
    </row>
    <row r="771" spans="4:6" hidden="1" outlineLevel="1">
      <c r="D771" s="2155"/>
      <c r="F771" s="2156"/>
    </row>
    <row r="772" spans="4:6" ht="14.4" hidden="1" outlineLevel="1">
      <c r="D772" s="2169"/>
      <c r="F772" s="2170"/>
    </row>
    <row r="773" spans="4:6" ht="14.4" hidden="1" outlineLevel="1">
      <c r="D773" s="2152" t="s">
        <v>2030</v>
      </c>
      <c r="F773" s="2168"/>
    </row>
    <row r="774" spans="4:6" ht="14.4" hidden="1" outlineLevel="1">
      <c r="D774" s="2169"/>
      <c r="F774" s="2170"/>
    </row>
    <row r="775" spans="4:6" ht="14.4" hidden="1" outlineLevel="1">
      <c r="D775" s="2185" t="s">
        <v>2031</v>
      </c>
      <c r="F775" s="2158" t="s">
        <v>1976</v>
      </c>
    </row>
    <row r="776" spans="4:6" ht="14.4" hidden="1" outlineLevel="1">
      <c r="D776" s="2185"/>
      <c r="F776" s="2152"/>
    </row>
    <row r="777" spans="4:6" ht="14.4" hidden="1" outlineLevel="1">
      <c r="D777" s="2167"/>
      <c r="F777" s="2168"/>
    </row>
    <row r="778" spans="4:6" ht="14.4" hidden="1" outlineLevel="1">
      <c r="D778" s="2152" t="s">
        <v>2032</v>
      </c>
      <c r="F778" s="2168"/>
    </row>
    <row r="779" spans="4:6" ht="14.4" hidden="1" outlineLevel="1">
      <c r="D779" s="2169"/>
      <c r="F779" s="2170"/>
    </row>
    <row r="780" spans="4:6" ht="21" hidden="1" outlineLevel="1">
      <c r="D780" s="2140" t="s">
        <v>1704</v>
      </c>
      <c r="F780" s="2141" t="s">
        <v>2033</v>
      </c>
    </row>
    <row r="781" spans="4:6" ht="21" hidden="1" outlineLevel="1">
      <c r="D781" s="2142" t="s">
        <v>1728</v>
      </c>
      <c r="F781" s="2143" t="s">
        <v>2034</v>
      </c>
    </row>
    <row r="782" spans="4:6" ht="21.6" hidden="1" outlineLevel="1" thickBot="1">
      <c r="D782" s="2181" t="s">
        <v>2035</v>
      </c>
      <c r="F782" s="2147" t="s">
        <v>2036</v>
      </c>
    </row>
    <row r="783" spans="4:6" hidden="1" outlineLevel="1">
      <c r="D783" s="2164"/>
      <c r="F783" s="2182"/>
    </row>
    <row r="784" spans="4:6" ht="14.4" hidden="1" outlineLevel="1">
      <c r="D784" s="2177" t="s">
        <v>1957</v>
      </c>
      <c r="F784" s="2178"/>
    </row>
    <row r="785" spans="4:6" ht="14.4" hidden="1" outlineLevel="1">
      <c r="D785" s="2167"/>
      <c r="F785" s="2168"/>
    </row>
    <row r="786" spans="4:6" ht="105.6" hidden="1" outlineLevel="1">
      <c r="D786" s="2153" t="s">
        <v>2037</v>
      </c>
      <c r="F786" s="2154"/>
    </row>
    <row r="787" spans="4:6" hidden="1" outlineLevel="1">
      <c r="D787" s="2155"/>
      <c r="F787" s="2156"/>
    </row>
    <row r="788" spans="4:6" hidden="1" outlineLevel="1">
      <c r="D788" s="2151"/>
      <c r="F788" s="2152"/>
    </row>
    <row r="789" spans="4:6" ht="14.4" hidden="1" outlineLevel="1">
      <c r="D789" s="2152" t="s">
        <v>2030</v>
      </c>
      <c r="F789" s="2170"/>
    </row>
    <row r="790" spans="4:6" hidden="1" outlineLevel="1">
      <c r="D790" s="2165"/>
      <c r="F790" s="2165"/>
    </row>
    <row r="791" spans="4:6" hidden="1" outlineLevel="1">
      <c r="D791" s="2186" t="s">
        <v>2038</v>
      </c>
      <c r="F791" s="2179" t="s">
        <v>1976</v>
      </c>
    </row>
    <row r="792" spans="4:6" hidden="1" outlineLevel="1">
      <c r="D792" s="2165"/>
      <c r="F792" s="2152"/>
    </row>
    <row r="793" spans="4:6" hidden="1" outlineLevel="1">
      <c r="D793" s="2186" t="s">
        <v>2039</v>
      </c>
      <c r="F793" s="2179" t="s">
        <v>1976</v>
      </c>
    </row>
    <row r="794" spans="4:6" hidden="1" outlineLevel="1">
      <c r="D794" s="2165"/>
      <c r="F794" s="2152"/>
    </row>
    <row r="795" spans="4:6" hidden="1" outlineLevel="1">
      <c r="D795" s="2187" t="s">
        <v>2040</v>
      </c>
      <c r="F795" s="2158" t="s">
        <v>1976</v>
      </c>
    </row>
    <row r="796" spans="4:6" hidden="1" outlineLevel="1">
      <c r="D796" s="2165"/>
      <c r="F796" s="2152"/>
    </row>
    <row r="797" spans="4:6" hidden="1" outlineLevel="1">
      <c r="D797" s="2188" t="s">
        <v>2041</v>
      </c>
      <c r="F797" s="2158" t="s">
        <v>1976</v>
      </c>
    </row>
    <row r="798" spans="4:6" hidden="1" outlineLevel="1">
      <c r="D798" s="2188"/>
      <c r="F798" s="2152"/>
    </row>
    <row r="799" spans="4:6" hidden="1" outlineLevel="1">
      <c r="D799" s="2165"/>
      <c r="F799" s="2165"/>
    </row>
    <row r="800" spans="4:6" ht="21" hidden="1" outlineLevel="1">
      <c r="D800" s="2140" t="s">
        <v>2042</v>
      </c>
      <c r="F800" s="2141" t="s">
        <v>2043</v>
      </c>
    </row>
    <row r="801" spans="4:6" hidden="1" outlineLevel="1">
      <c r="D801" s="2142" t="s">
        <v>2044</v>
      </c>
      <c r="F801" s="2152"/>
    </row>
    <row r="802" spans="4:6" ht="21" hidden="1" outlineLevel="1">
      <c r="D802" s="2142" t="s">
        <v>2045</v>
      </c>
      <c r="F802" s="2143" t="s">
        <v>2046</v>
      </c>
    </row>
    <row r="803" spans="4:6" ht="14.4" hidden="1" outlineLevel="1">
      <c r="D803" s="2144" t="s">
        <v>2047</v>
      </c>
      <c r="F803" s="2152"/>
    </row>
    <row r="804" spans="4:6" ht="21" hidden="1" outlineLevel="1">
      <c r="D804" s="2144" t="s">
        <v>2048</v>
      </c>
      <c r="F804" s="2143" t="s">
        <v>2049</v>
      </c>
    </row>
    <row r="805" spans="4:6" ht="14.4" hidden="1" outlineLevel="1">
      <c r="D805" s="2144" t="s">
        <v>2050</v>
      </c>
      <c r="F805" s="2152"/>
    </row>
    <row r="806" spans="4:6" ht="14.4" hidden="1" outlineLevel="1">
      <c r="D806" s="2144" t="s">
        <v>2051</v>
      </c>
      <c r="F806" s="2152"/>
    </row>
    <row r="807" spans="4:6" ht="13.8" hidden="1" outlineLevel="1" thickBot="1">
      <c r="D807" s="2146"/>
      <c r="F807" s="2163"/>
    </row>
    <row r="808" spans="4:6" hidden="1" outlineLevel="1">
      <c r="D808" s="2189"/>
      <c r="F808" s="2152"/>
    </row>
    <row r="809" spans="4:6" ht="14.4" hidden="1" outlineLevel="1">
      <c r="D809" s="2177" t="s">
        <v>1961</v>
      </c>
      <c r="F809" s="2178"/>
    </row>
    <row r="810" spans="4:6" ht="14.4" hidden="1" outlineLevel="1">
      <c r="D810" s="2167"/>
      <c r="F810" s="2168"/>
    </row>
    <row r="811" spans="4:6" ht="303.60000000000002" hidden="1" outlineLevel="1">
      <c r="D811" s="2153" t="s">
        <v>2052</v>
      </c>
      <c r="F811" s="2154"/>
    </row>
    <row r="812" spans="4:6" hidden="1" outlineLevel="1">
      <c r="D812" s="2183"/>
      <c r="F812" s="2184"/>
    </row>
    <row r="813" spans="4:6" hidden="1" outlineLevel="1">
      <c r="D813" s="2183"/>
      <c r="F813" s="2184"/>
    </row>
    <row r="814" spans="4:6" hidden="1" outlineLevel="1">
      <c r="D814" s="2155"/>
      <c r="F814" s="2156"/>
    </row>
    <row r="815" spans="4:6" hidden="1" outlineLevel="1">
      <c r="D815" s="2151"/>
      <c r="F815" s="2152"/>
    </row>
    <row r="816" spans="4:6" ht="14.4" hidden="1" outlineLevel="1">
      <c r="D816" s="2152" t="s">
        <v>2053</v>
      </c>
      <c r="F816" s="2168"/>
    </row>
    <row r="817" spans="4:6" ht="14.4" hidden="1" outlineLevel="1">
      <c r="D817" s="2152"/>
      <c r="F817" s="2168"/>
    </row>
    <row r="818" spans="4:6" hidden="1" outlineLevel="1">
      <c r="D818" s="2188" t="s">
        <v>2054</v>
      </c>
      <c r="F818" s="2179" t="s">
        <v>1976</v>
      </c>
    </row>
    <row r="819" spans="4:6" ht="14.4" hidden="1" outlineLevel="1">
      <c r="D819" s="2188"/>
      <c r="F819" s="2168"/>
    </row>
    <row r="820" spans="4:6" hidden="1" outlineLevel="1">
      <c r="D820" s="2165"/>
      <c r="F820" s="2165"/>
    </row>
    <row r="821" spans="4:6" ht="21" hidden="1" outlineLevel="1">
      <c r="D821" s="2173" t="s">
        <v>2006</v>
      </c>
      <c r="F821" s="2141" t="s">
        <v>2055</v>
      </c>
    </row>
    <row r="822" spans="4:6" ht="21" hidden="1" outlineLevel="1">
      <c r="D822" s="2142" t="s">
        <v>2056</v>
      </c>
      <c r="F822" s="2143" t="s">
        <v>2057</v>
      </c>
    </row>
    <row r="823" spans="4:6" ht="21" hidden="1" outlineLevel="1">
      <c r="D823" s="2142" t="s">
        <v>1638</v>
      </c>
      <c r="F823" s="2190" t="s">
        <v>2058</v>
      </c>
    </row>
    <row r="824" spans="4:6" hidden="1" outlineLevel="1">
      <c r="D824" s="2142" t="s">
        <v>1629</v>
      </c>
    </row>
    <row r="825" spans="4:6" ht="14.4" hidden="1" outlineLevel="1">
      <c r="D825" s="2161" t="s">
        <v>123</v>
      </c>
    </row>
    <row r="826" spans="4:6" hidden="1" outlineLevel="1">
      <c r="D826" s="2142" t="s">
        <v>1859</v>
      </c>
    </row>
    <row r="827" spans="4:6" hidden="1" outlineLevel="1">
      <c r="D827" s="2142" t="s">
        <v>2059</v>
      </c>
    </row>
    <row r="828" spans="4:6" ht="14.4" hidden="1" outlineLevel="1">
      <c r="D828" s="2161" t="s">
        <v>123</v>
      </c>
    </row>
    <row r="829" spans="4:6" ht="15" hidden="1" outlineLevel="1" thickBot="1">
      <c r="D829" s="2181" t="s">
        <v>2060</v>
      </c>
    </row>
    <row r="830" spans="4:6" collapsed="1"/>
  </sheetData>
  <sheetProtection algorithmName="SHA-512" hashValue="wLVavUKwZmaOr0INzWLulUJxy7lY2R5LNu7Hzd/8RINI1Fi6OzIOrPUhQEBv5Mr8qPYdHmQPQu/Gt98sqpBcJA==" saltValue="LvgdBcOdXLeoNvP1IB0N2A==" spinCount="100000" sheet="1" objects="1" scenarios="1"/>
  <mergeCells count="55">
    <mergeCell ref="E72:N72"/>
    <mergeCell ref="D2:F2"/>
    <mergeCell ref="E8:G8"/>
    <mergeCell ref="E10:G10"/>
    <mergeCell ref="E11:G11"/>
    <mergeCell ref="E12:G12"/>
    <mergeCell ref="E13:G13"/>
    <mergeCell ref="E14:G14"/>
    <mergeCell ref="E33:N33"/>
    <mergeCell ref="E46:N46"/>
    <mergeCell ref="E47:N47"/>
    <mergeCell ref="E59:N59"/>
    <mergeCell ref="E185:J185"/>
    <mergeCell ref="E109:N109"/>
    <mergeCell ref="E110:N110"/>
    <mergeCell ref="E111:N111"/>
    <mergeCell ref="E130:N130"/>
    <mergeCell ref="E135:N135"/>
    <mergeCell ref="E150:N150"/>
    <mergeCell ref="E161:N161"/>
    <mergeCell ref="E182:J182"/>
    <mergeCell ref="K182:N182"/>
    <mergeCell ref="E183:J183"/>
    <mergeCell ref="K183:N183"/>
    <mergeCell ref="D239:N239"/>
    <mergeCell ref="E186:J186"/>
    <mergeCell ref="E187:J187"/>
    <mergeCell ref="E188:F188"/>
    <mergeCell ref="G188:J188"/>
    <mergeCell ref="D200:N200"/>
    <mergeCell ref="D201:N201"/>
    <mergeCell ref="D214:N214"/>
    <mergeCell ref="D215:N215"/>
    <mergeCell ref="D229:N229"/>
    <mergeCell ref="D230:N230"/>
    <mergeCell ref="D238:N238"/>
    <mergeCell ref="D292:N292"/>
    <mergeCell ref="D245:N245"/>
    <mergeCell ref="D246:N246"/>
    <mergeCell ref="D253:N253"/>
    <mergeCell ref="D254:N254"/>
    <mergeCell ref="D261:N261"/>
    <mergeCell ref="D262:N262"/>
    <mergeCell ref="D269:N269"/>
    <mergeCell ref="D270:N270"/>
    <mergeCell ref="E276:N276"/>
    <mergeCell ref="D277:N277"/>
    <mergeCell ref="D278:N278"/>
    <mergeCell ref="D339:N339"/>
    <mergeCell ref="D293:N293"/>
    <mergeCell ref="D307:N307"/>
    <mergeCell ref="D308:N308"/>
    <mergeCell ref="D317:N317"/>
    <mergeCell ref="D318:N318"/>
    <mergeCell ref="D338:N338"/>
  </mergeCells>
  <conditionalFormatting sqref="AC30:AO32 AC50:AO71 AC74:AO165 AC167:AO342">
    <cfRule type="cellIs" dxfId="550" priority="547" stopIfTrue="1" operator="equal">
      <formula>0</formula>
    </cfRule>
  </conditionalFormatting>
  <conditionalFormatting sqref="E349">
    <cfRule type="expression" dxfId="549" priority="545">
      <formula>0.9&lt;E348&lt;0.99</formula>
    </cfRule>
    <cfRule type="expression" dxfId="548" priority="546">
      <formula>E348&gt;=1.1</formula>
    </cfRule>
  </conditionalFormatting>
  <conditionalFormatting sqref="F349">
    <cfRule type="expression" dxfId="547" priority="543">
      <formula>0.9&lt;F348&lt;0.99</formula>
    </cfRule>
    <cfRule type="expression" dxfId="546" priority="544">
      <formula>F348&gt;=1.1</formula>
    </cfRule>
  </conditionalFormatting>
  <conditionalFormatting sqref="G349">
    <cfRule type="expression" dxfId="545" priority="541">
      <formula>0.9&lt;G348&lt;0.99</formula>
    </cfRule>
    <cfRule type="expression" dxfId="544" priority="542">
      <formula>G348&gt;=1.1</formula>
    </cfRule>
  </conditionalFormatting>
  <conditionalFormatting sqref="H349">
    <cfRule type="expression" dxfId="543" priority="539">
      <formula>0.9&lt;H348&lt;0.99</formula>
    </cfRule>
    <cfRule type="expression" dxfId="542" priority="540">
      <formula>H348&gt;=1.1</formula>
    </cfRule>
  </conditionalFormatting>
  <conditionalFormatting sqref="I349">
    <cfRule type="expression" dxfId="541" priority="537">
      <formula>0.9&lt;I348&lt;0.99</formula>
    </cfRule>
    <cfRule type="expression" dxfId="540" priority="538">
      <formula>I348&gt;=1.1</formula>
    </cfRule>
  </conditionalFormatting>
  <conditionalFormatting sqref="J349">
    <cfRule type="expression" dxfId="539" priority="535">
      <formula>0.9&lt;J348&lt;0.99</formula>
    </cfRule>
    <cfRule type="expression" dxfId="538" priority="536">
      <formula>J348&gt;=1.1</formula>
    </cfRule>
  </conditionalFormatting>
  <conditionalFormatting sqref="F710">
    <cfRule type="containsText" dxfId="537" priority="534" operator="containsText" text="X">
      <formula>NOT(ISERROR(SEARCH("X",F710)))</formula>
    </cfRule>
  </conditionalFormatting>
  <conditionalFormatting sqref="F717 F668">
    <cfRule type="containsText" dxfId="536" priority="532" operator="containsText" text="X">
      <formula>NOT(ISERROR(SEARCH("X",F668)))</formula>
    </cfRule>
  </conditionalFormatting>
  <conditionalFormatting sqref="F730">
    <cfRule type="containsText" dxfId="535" priority="531" operator="containsText" text="X">
      <formula>NOT(ISERROR(SEARCH("X",F730)))</formula>
    </cfRule>
  </conditionalFormatting>
  <conditionalFormatting sqref="F734">
    <cfRule type="containsText" dxfId="534" priority="530" operator="containsText" text="X">
      <formula>NOT(ISERROR(SEARCH("X",F734)))</formula>
    </cfRule>
  </conditionalFormatting>
  <conditionalFormatting sqref="F664">
    <cfRule type="containsText" dxfId="533" priority="529" operator="containsText" text="X">
      <formula>NOT(ISERROR(SEARCH("X",F664)))</formula>
    </cfRule>
  </conditionalFormatting>
  <conditionalFormatting sqref="F665">
    <cfRule type="containsText" dxfId="532" priority="526" operator="containsText" text="X">
      <formula>NOT(ISERROR(SEARCH("X",F665)))</formula>
    </cfRule>
  </conditionalFormatting>
  <conditionalFormatting sqref="F685">
    <cfRule type="containsText" dxfId="531" priority="525" operator="containsText" text="X">
      <formula>NOT(ISERROR(SEARCH("X",F685)))</formula>
    </cfRule>
  </conditionalFormatting>
  <conditionalFormatting sqref="F687">
    <cfRule type="containsText" dxfId="530" priority="524" operator="containsText" text="X">
      <formula>NOT(ISERROR(SEARCH("X",F687)))</formula>
    </cfRule>
  </conditionalFormatting>
  <conditionalFormatting sqref="F690">
    <cfRule type="containsText" dxfId="529" priority="521" operator="containsText" text="X">
      <formula>NOT(ISERROR(SEARCH("X",F690)))</formula>
    </cfRule>
  </conditionalFormatting>
  <conditionalFormatting sqref="F756">
    <cfRule type="containsText" dxfId="528" priority="520" operator="containsText" text="X">
      <formula>NOT(ISERROR(SEARCH("X",F756)))</formula>
    </cfRule>
  </conditionalFormatting>
  <conditionalFormatting sqref="F780">
    <cfRule type="containsText" dxfId="527" priority="519" operator="containsText" text="X">
      <formula>NOT(ISERROR(SEARCH("X",F780)))</formula>
    </cfRule>
  </conditionalFormatting>
  <conditionalFormatting sqref="F782">
    <cfRule type="containsText" dxfId="526" priority="518" operator="containsText" text="X">
      <formula>NOT(ISERROR(SEARCH("X",F782)))</formula>
    </cfRule>
  </conditionalFormatting>
  <conditionalFormatting sqref="F804">
    <cfRule type="containsText" dxfId="525" priority="516" operator="containsText" text="X">
      <formula>NOT(ISERROR(SEARCH("X",F804)))</formula>
    </cfRule>
  </conditionalFormatting>
  <conditionalFormatting sqref="F800">
    <cfRule type="containsText" dxfId="524" priority="515" operator="containsText" text="X">
      <formula>NOT(ISERROR(SEARCH("X",F800)))</formula>
    </cfRule>
  </conditionalFormatting>
  <conditionalFormatting sqref="F822">
    <cfRule type="containsText" dxfId="523" priority="513" operator="containsText" text="X">
      <formula>NOT(ISERROR(SEARCH("X",F822)))</formula>
    </cfRule>
  </conditionalFormatting>
  <conditionalFormatting sqref="F732">
    <cfRule type="containsText" dxfId="522" priority="511" operator="containsText" text="X">
      <formula>NOT(ISERROR(SEARCH("X",F732)))</formula>
    </cfRule>
  </conditionalFormatting>
  <conditionalFormatting sqref="F821">
    <cfRule type="containsText" dxfId="521" priority="510" operator="containsText" text="X">
      <formula>NOT(ISERROR(SEARCH("X",F821)))</formula>
    </cfRule>
  </conditionalFormatting>
  <conditionalFormatting sqref="F760">
    <cfRule type="containsText" dxfId="520" priority="508" operator="containsText" text="X">
      <formula>NOT(ISERROR(SEARCH("X",F760)))</formula>
    </cfRule>
  </conditionalFormatting>
  <conditionalFormatting sqref="C24 H24 C25:G25 E24:F24 E341:J342 F300:N301 E271:I271">
    <cfRule type="cellIs" dxfId="519" priority="507" operator="equal">
      <formula>"MS"</formula>
    </cfRule>
  </conditionalFormatting>
  <conditionalFormatting sqref="C24 H24 C25:G25 E24:F24 E341:J342 F300:N301 E271:I271">
    <cfRule type="cellIs" dxfId="518" priority="506" operator="equal">
      <formula>"DNMS"</formula>
    </cfRule>
  </conditionalFormatting>
  <conditionalFormatting sqref="C24 H24 C25:G25 E24:F24 E341:J342 F300:N301 E271:I271">
    <cfRule type="cellIs" dxfId="517" priority="505" operator="equal">
      <formula>"FFBS"</formula>
    </cfRule>
  </conditionalFormatting>
  <conditionalFormatting sqref="E316:J316">
    <cfRule type="cellIs" dxfId="516" priority="504" operator="equal">
      <formula>"MS"</formula>
    </cfRule>
  </conditionalFormatting>
  <conditionalFormatting sqref="E316:J316">
    <cfRule type="cellIs" dxfId="515" priority="503" operator="equal">
      <formula>"DNMS"</formula>
    </cfRule>
  </conditionalFormatting>
  <conditionalFormatting sqref="E316:J316">
    <cfRule type="cellIs" dxfId="514" priority="502" operator="equal">
      <formula>"FFBS"</formula>
    </cfRule>
  </conditionalFormatting>
  <conditionalFormatting sqref="E337:G337">
    <cfRule type="cellIs" dxfId="513" priority="501" operator="equal">
      <formula>"MS&gt;=1.1"</formula>
    </cfRule>
  </conditionalFormatting>
  <conditionalFormatting sqref="E337:G337">
    <cfRule type="cellIs" dxfId="512" priority="500" operator="equal">
      <formula>"DNMS&lt;1.1"</formula>
    </cfRule>
  </conditionalFormatting>
  <conditionalFormatting sqref="E337:G337">
    <cfRule type="cellIs" dxfId="511" priority="499" operator="equal">
      <formula>"FFBS"</formula>
    </cfRule>
  </conditionalFormatting>
  <conditionalFormatting sqref="F306:J306">
    <cfRule type="cellIs" dxfId="510" priority="498" operator="equal">
      <formula>"MS&lt;90%"</formula>
    </cfRule>
  </conditionalFormatting>
  <conditionalFormatting sqref="F306:J306">
    <cfRule type="cellIs" dxfId="509" priority="497" operator="equal">
      <formula>"DNMS"</formula>
    </cfRule>
  </conditionalFormatting>
  <conditionalFormatting sqref="F306:J306">
    <cfRule type="cellIs" dxfId="508" priority="496" operator="equal">
      <formula>"FFBS&gt;1"</formula>
    </cfRule>
  </conditionalFormatting>
  <conditionalFormatting sqref="E290:I290">
    <cfRule type="cellIs" dxfId="507" priority="495" operator="equal">
      <formula>"MS"</formula>
    </cfRule>
  </conditionalFormatting>
  <conditionalFormatting sqref="E290:I290">
    <cfRule type="cellIs" dxfId="506" priority="494" operator="equal">
      <formula>"DNMS"</formula>
    </cfRule>
  </conditionalFormatting>
  <conditionalFormatting sqref="E290:I290">
    <cfRule type="cellIs" dxfId="505" priority="493" operator="equal">
      <formula>"FFBS"</formula>
    </cfRule>
  </conditionalFormatting>
  <conditionalFormatting sqref="E274:F274">
    <cfRule type="cellIs" dxfId="504" priority="491" operator="equal">
      <formula>"No"</formula>
    </cfRule>
    <cfRule type="cellIs" dxfId="503" priority="492" operator="equal">
      <formula>"Yes"</formula>
    </cfRule>
  </conditionalFormatting>
  <conditionalFormatting sqref="E423:J423">
    <cfRule type="cellIs" dxfId="502" priority="490" operator="equal">
      <formula>"MS"</formula>
    </cfRule>
  </conditionalFormatting>
  <conditionalFormatting sqref="E423:J423">
    <cfRule type="cellIs" dxfId="501" priority="489" operator="equal">
      <formula>"DNMS"</formula>
    </cfRule>
  </conditionalFormatting>
  <conditionalFormatting sqref="E423:J423">
    <cfRule type="cellIs" dxfId="500" priority="488" operator="equal">
      <formula>"FFBS"</formula>
    </cfRule>
  </conditionalFormatting>
  <conditionalFormatting sqref="E244">
    <cfRule type="cellIs" dxfId="499" priority="487" operator="equal">
      <formula>"MS"</formula>
    </cfRule>
  </conditionalFormatting>
  <conditionalFormatting sqref="E244">
    <cfRule type="cellIs" dxfId="498" priority="486" operator="equal">
      <formula>"DNMS"</formula>
    </cfRule>
  </conditionalFormatting>
  <conditionalFormatting sqref="E244">
    <cfRule type="cellIs" dxfId="497" priority="485" operator="equal">
      <formula>"FFBS"</formula>
    </cfRule>
  </conditionalFormatting>
  <conditionalFormatting sqref="F244:J244 O244">
    <cfRule type="cellIs" dxfId="496" priority="484" operator="equal">
      <formula>"MS"</formula>
    </cfRule>
  </conditionalFormatting>
  <conditionalFormatting sqref="F244:J244 O244">
    <cfRule type="cellIs" dxfId="495" priority="483" operator="equal">
      <formula>"DNMS"</formula>
    </cfRule>
  </conditionalFormatting>
  <conditionalFormatting sqref="F244:J244 O244">
    <cfRule type="cellIs" dxfId="494" priority="482" operator="equal">
      <formula>"FFBS"</formula>
    </cfRule>
  </conditionalFormatting>
  <conditionalFormatting sqref="P358:P362 P376:P379">
    <cfRule type="expression" dxfId="493" priority="548" stopIfTrue="1">
      <formula>MOD(ROW(),2)=0</formula>
    </cfRule>
  </conditionalFormatting>
  <conditionalFormatting sqref="P350:P354 E358:I362 E376:I376 E379:J379 E378:I378 E377:J377">
    <cfRule type="expression" dxfId="492" priority="549" stopIfTrue="1">
      <formula>MOD(ROW(),2)=0</formula>
    </cfRule>
  </conditionalFormatting>
  <conditionalFormatting sqref="E358:I362 E376:I376 E379:J379 E378:I378 E377:J377">
    <cfRule type="expression" dxfId="491" priority="550" stopIfTrue="1">
      <formula>MOD(COLUMN(),2)=0</formula>
    </cfRule>
  </conditionalFormatting>
  <conditionalFormatting sqref="E231">
    <cfRule type="cellIs" dxfId="490" priority="481" operator="equal">
      <formula>"MS"</formula>
    </cfRule>
  </conditionalFormatting>
  <conditionalFormatting sqref="E231">
    <cfRule type="cellIs" dxfId="489" priority="480" operator="equal">
      <formula>"DNMS"</formula>
    </cfRule>
  </conditionalFormatting>
  <conditionalFormatting sqref="E231">
    <cfRule type="cellIs" dxfId="488" priority="479" operator="equal">
      <formula>"FFBS"</formula>
    </cfRule>
  </conditionalFormatting>
  <conditionalFormatting sqref="F231:I231">
    <cfRule type="cellIs" dxfId="487" priority="478" operator="equal">
      <formula>"MS"</formula>
    </cfRule>
  </conditionalFormatting>
  <conditionalFormatting sqref="F231:I231">
    <cfRule type="cellIs" dxfId="486" priority="477" operator="equal">
      <formula>"DNMS"</formula>
    </cfRule>
  </conditionalFormatting>
  <conditionalFormatting sqref="F231:I231">
    <cfRule type="cellIs" dxfId="485" priority="476" operator="equal">
      <formula>"FFBS"</formula>
    </cfRule>
  </conditionalFormatting>
  <conditionalFormatting sqref="E355">
    <cfRule type="cellIs" dxfId="484" priority="475" operator="equal">
      <formula>"MS"</formula>
    </cfRule>
  </conditionalFormatting>
  <conditionalFormatting sqref="E355">
    <cfRule type="cellIs" dxfId="483" priority="474" operator="equal">
      <formula>"DNMS"</formula>
    </cfRule>
  </conditionalFormatting>
  <conditionalFormatting sqref="E355">
    <cfRule type="cellIs" dxfId="482" priority="473" operator="equal">
      <formula>"FFBS"</formula>
    </cfRule>
  </conditionalFormatting>
  <conditionalFormatting sqref="E355:K355">
    <cfRule type="cellIs" dxfId="481" priority="472" operator="equal">
      <formula>"MS"</formula>
    </cfRule>
  </conditionalFormatting>
  <conditionalFormatting sqref="E355:K355">
    <cfRule type="cellIs" dxfId="480" priority="471" operator="equal">
      <formula>"DNMS"</formula>
    </cfRule>
  </conditionalFormatting>
  <conditionalFormatting sqref="E355:K355">
    <cfRule type="cellIs" dxfId="479" priority="470" operator="equal">
      <formula>"FFBS"</formula>
    </cfRule>
  </conditionalFormatting>
  <conditionalFormatting sqref="E199 E202">
    <cfRule type="cellIs" dxfId="478" priority="469" operator="equal">
      <formula>"MS"</formula>
    </cfRule>
  </conditionalFormatting>
  <conditionalFormatting sqref="E199 E202">
    <cfRule type="cellIs" dxfId="477" priority="468" operator="equal">
      <formula>"DNMS"</formula>
    </cfRule>
  </conditionalFormatting>
  <conditionalFormatting sqref="E199 E202">
    <cfRule type="cellIs" dxfId="476" priority="467" operator="equal">
      <formula>"FFBS"</formula>
    </cfRule>
  </conditionalFormatting>
  <conditionalFormatting sqref="F202:I202 E199:J199">
    <cfRule type="cellIs" dxfId="475" priority="466" operator="equal">
      <formula>"MS"</formula>
    </cfRule>
  </conditionalFormatting>
  <conditionalFormatting sqref="F202:I202 E199:J199">
    <cfRule type="cellIs" dxfId="474" priority="465" operator="equal">
      <formula>"DNMS"</formula>
    </cfRule>
  </conditionalFormatting>
  <conditionalFormatting sqref="F202:I202 E199:J199">
    <cfRule type="cellIs" dxfId="473" priority="464" operator="equal">
      <formula>"FFBS"</formula>
    </cfRule>
  </conditionalFormatting>
  <conditionalFormatting sqref="E275:F275">
    <cfRule type="cellIs" dxfId="472" priority="462" operator="equal">
      <formula>"No"</formula>
    </cfRule>
    <cfRule type="cellIs" dxfId="471" priority="463" operator="equal">
      <formula>"Yes"</formula>
    </cfRule>
  </conditionalFormatting>
  <conditionalFormatting sqref="E247">
    <cfRule type="cellIs" dxfId="470" priority="461" operator="equal">
      <formula>"MS"</formula>
    </cfRule>
  </conditionalFormatting>
  <conditionalFormatting sqref="E247">
    <cfRule type="cellIs" dxfId="469" priority="460" operator="equal">
      <formula>"DNMS"</formula>
    </cfRule>
  </conditionalFormatting>
  <conditionalFormatting sqref="E247">
    <cfRule type="cellIs" dxfId="468" priority="459" operator="equal">
      <formula>"FFBS"</formula>
    </cfRule>
  </conditionalFormatting>
  <conditionalFormatting sqref="F247:I247">
    <cfRule type="cellIs" dxfId="467" priority="458" operator="equal">
      <formula>"MS"</formula>
    </cfRule>
  </conditionalFormatting>
  <conditionalFormatting sqref="F247:I247">
    <cfRule type="cellIs" dxfId="466" priority="457" operator="equal">
      <formula>"DNMS"</formula>
    </cfRule>
  </conditionalFormatting>
  <conditionalFormatting sqref="F247:I247">
    <cfRule type="cellIs" dxfId="465" priority="456" operator="equal">
      <formula>"FFBS"</formula>
    </cfRule>
  </conditionalFormatting>
  <conditionalFormatting sqref="E279">
    <cfRule type="cellIs" dxfId="464" priority="455" operator="equal">
      <formula>"MS"</formula>
    </cfRule>
  </conditionalFormatting>
  <conditionalFormatting sqref="E279">
    <cfRule type="cellIs" dxfId="463" priority="454" operator="equal">
      <formula>"DNMS"</formula>
    </cfRule>
  </conditionalFormatting>
  <conditionalFormatting sqref="E279">
    <cfRule type="cellIs" dxfId="462" priority="453" operator="equal">
      <formula>"FFBS"</formula>
    </cfRule>
  </conditionalFormatting>
  <conditionalFormatting sqref="F279:I279">
    <cfRule type="cellIs" dxfId="461" priority="452" operator="equal">
      <formula>"MS"</formula>
    </cfRule>
  </conditionalFormatting>
  <conditionalFormatting sqref="F279:I279">
    <cfRule type="cellIs" dxfId="460" priority="451" operator="equal">
      <formula>"DNMS"</formula>
    </cfRule>
  </conditionalFormatting>
  <conditionalFormatting sqref="F279:I279">
    <cfRule type="cellIs" dxfId="459" priority="450" operator="equal">
      <formula>"FFBS"</formula>
    </cfRule>
  </conditionalFormatting>
  <conditionalFormatting sqref="E294">
    <cfRule type="cellIs" dxfId="458" priority="449" operator="equal">
      <formula>"MS"</formula>
    </cfRule>
  </conditionalFormatting>
  <conditionalFormatting sqref="E294">
    <cfRule type="cellIs" dxfId="457" priority="448" operator="equal">
      <formula>"DNMS"</formula>
    </cfRule>
  </conditionalFormatting>
  <conditionalFormatting sqref="E294">
    <cfRule type="cellIs" dxfId="456" priority="447" operator="equal">
      <formula>"FFBS"</formula>
    </cfRule>
  </conditionalFormatting>
  <conditionalFormatting sqref="F294:I294">
    <cfRule type="cellIs" dxfId="455" priority="446" operator="equal">
      <formula>"MS"</formula>
    </cfRule>
  </conditionalFormatting>
  <conditionalFormatting sqref="F294:I294">
    <cfRule type="cellIs" dxfId="454" priority="445" operator="equal">
      <formula>"DNMS"</formula>
    </cfRule>
  </conditionalFormatting>
  <conditionalFormatting sqref="F294:I294">
    <cfRule type="cellIs" dxfId="453" priority="444" operator="equal">
      <formula>"FFBS"</formula>
    </cfRule>
  </conditionalFormatting>
  <conditionalFormatting sqref="E309">
    <cfRule type="cellIs" dxfId="452" priority="443" operator="equal">
      <formula>"MS"</formula>
    </cfRule>
  </conditionalFormatting>
  <conditionalFormatting sqref="E309">
    <cfRule type="cellIs" dxfId="451" priority="442" operator="equal">
      <formula>"DNMS"</formula>
    </cfRule>
  </conditionalFormatting>
  <conditionalFormatting sqref="E309">
    <cfRule type="cellIs" dxfId="450" priority="441" operator="equal">
      <formula>"FFBS"</formula>
    </cfRule>
  </conditionalFormatting>
  <conditionalFormatting sqref="F309:I309">
    <cfRule type="cellIs" dxfId="449" priority="440" operator="equal">
      <formula>"MS"</formula>
    </cfRule>
  </conditionalFormatting>
  <conditionalFormatting sqref="F309:I309">
    <cfRule type="cellIs" dxfId="448" priority="439" operator="equal">
      <formula>"DNMS"</formula>
    </cfRule>
  </conditionalFormatting>
  <conditionalFormatting sqref="F309:I309">
    <cfRule type="cellIs" dxfId="447" priority="438" operator="equal">
      <formula>"FFBS"</formula>
    </cfRule>
  </conditionalFormatting>
  <conditionalFormatting sqref="E319">
    <cfRule type="cellIs" dxfId="446" priority="437" operator="equal">
      <formula>"MS"</formula>
    </cfRule>
  </conditionalFormatting>
  <conditionalFormatting sqref="E319">
    <cfRule type="cellIs" dxfId="445" priority="436" operator="equal">
      <formula>"DNMS"</formula>
    </cfRule>
  </conditionalFormatting>
  <conditionalFormatting sqref="E319">
    <cfRule type="cellIs" dxfId="444" priority="435" operator="equal">
      <formula>"FFBS"</formula>
    </cfRule>
  </conditionalFormatting>
  <conditionalFormatting sqref="F319:I319">
    <cfRule type="cellIs" dxfId="443" priority="434" operator="equal">
      <formula>"MS"</formula>
    </cfRule>
  </conditionalFormatting>
  <conditionalFormatting sqref="F319:I319">
    <cfRule type="cellIs" dxfId="442" priority="433" operator="equal">
      <formula>"DNMS"</formula>
    </cfRule>
  </conditionalFormatting>
  <conditionalFormatting sqref="F319:I319">
    <cfRule type="cellIs" dxfId="441" priority="432" operator="equal">
      <formula>"FFBS"</formula>
    </cfRule>
  </conditionalFormatting>
  <conditionalFormatting sqref="E340">
    <cfRule type="cellIs" dxfId="440" priority="431" operator="equal">
      <formula>"MS"</formula>
    </cfRule>
  </conditionalFormatting>
  <conditionalFormatting sqref="E340">
    <cfRule type="cellIs" dxfId="439" priority="430" operator="equal">
      <formula>"DNMS"</formula>
    </cfRule>
  </conditionalFormatting>
  <conditionalFormatting sqref="E340">
    <cfRule type="cellIs" dxfId="438" priority="429" operator="equal">
      <formula>"FFBS"</formula>
    </cfRule>
  </conditionalFormatting>
  <conditionalFormatting sqref="F340:I340">
    <cfRule type="cellIs" dxfId="437" priority="428" operator="equal">
      <formula>"MS"</formula>
    </cfRule>
  </conditionalFormatting>
  <conditionalFormatting sqref="F340:I340">
    <cfRule type="cellIs" dxfId="436" priority="427" operator="equal">
      <formula>"DNMS"</formula>
    </cfRule>
  </conditionalFormatting>
  <conditionalFormatting sqref="F340:I340">
    <cfRule type="cellIs" dxfId="435" priority="426" operator="equal">
      <formula>"FFBS"</formula>
    </cfRule>
  </conditionalFormatting>
  <conditionalFormatting sqref="F216:I216">
    <cfRule type="cellIs" dxfId="434" priority="420" operator="equal">
      <formula>"FFBS"</formula>
    </cfRule>
  </conditionalFormatting>
  <conditionalFormatting sqref="F216:I216">
    <cfRule type="cellIs" dxfId="433" priority="422" operator="equal">
      <formula>"MS"</formula>
    </cfRule>
  </conditionalFormatting>
  <conditionalFormatting sqref="F216:I216">
    <cfRule type="cellIs" dxfId="432" priority="421" operator="equal">
      <formula>"DNMS"</formula>
    </cfRule>
  </conditionalFormatting>
  <conditionalFormatting sqref="E216">
    <cfRule type="cellIs" dxfId="431" priority="423" operator="equal">
      <formula>"FFBS"</formula>
    </cfRule>
  </conditionalFormatting>
  <conditionalFormatting sqref="E216">
    <cfRule type="cellIs" dxfId="430" priority="425" operator="equal">
      <formula>"MS"</formula>
    </cfRule>
  </conditionalFormatting>
  <conditionalFormatting sqref="E216">
    <cfRule type="cellIs" dxfId="429" priority="424" operator="equal">
      <formula>"DNMS"</formula>
    </cfRule>
  </conditionalFormatting>
  <conditionalFormatting sqref="P380">
    <cfRule type="expression" dxfId="428" priority="419" stopIfTrue="1">
      <formula>MOD(ROW(),2)=0</formula>
    </cfRule>
  </conditionalFormatting>
  <conditionalFormatting sqref="E380:H380">
    <cfRule type="expression" dxfId="427" priority="417" stopIfTrue="1">
      <formula>MOD(ROW(),2)=0</formula>
    </cfRule>
  </conditionalFormatting>
  <conditionalFormatting sqref="E380:H380">
    <cfRule type="expression" dxfId="426" priority="418" stopIfTrue="1">
      <formula>MOD(COLUMN(),2)=0</formula>
    </cfRule>
  </conditionalFormatting>
  <conditionalFormatting sqref="J376">
    <cfRule type="expression" dxfId="425" priority="415" stopIfTrue="1">
      <formula>MOD(ROW(),2)=0</formula>
    </cfRule>
  </conditionalFormatting>
  <conditionalFormatting sqref="J376">
    <cfRule type="expression" dxfId="424" priority="416" stopIfTrue="1">
      <formula>MOD(COLUMN(),2)=0</formula>
    </cfRule>
  </conditionalFormatting>
  <conditionalFormatting sqref="J378">
    <cfRule type="expression" dxfId="423" priority="413" stopIfTrue="1">
      <formula>MOD(ROW(),2)=0</formula>
    </cfRule>
  </conditionalFormatting>
  <conditionalFormatting sqref="J378">
    <cfRule type="expression" dxfId="422" priority="414" stopIfTrue="1">
      <formula>MOD(COLUMN(),2)=0</formula>
    </cfRule>
  </conditionalFormatting>
  <conditionalFormatting sqref="E433:J433">
    <cfRule type="cellIs" dxfId="421" priority="412" operator="equal">
      <formula>"MS"</formula>
    </cfRule>
  </conditionalFormatting>
  <conditionalFormatting sqref="E433:J433">
    <cfRule type="cellIs" dxfId="420" priority="411" operator="equal">
      <formula>"DNMS"</formula>
    </cfRule>
  </conditionalFormatting>
  <conditionalFormatting sqref="E433:J433">
    <cfRule type="cellIs" dxfId="419" priority="410" operator="equal">
      <formula>"FFBS"</formula>
    </cfRule>
  </conditionalFormatting>
  <conditionalFormatting sqref="E431:J432">
    <cfRule type="cellIs" dxfId="418" priority="551" stopIfTrue="1" operator="equal">
      <formula>0</formula>
    </cfRule>
  </conditionalFormatting>
  <conditionalFormatting sqref="E227:J227">
    <cfRule type="cellIs" dxfId="417" priority="408" operator="equal">
      <formula>"Neg"</formula>
    </cfRule>
    <cfRule type="cellIs" dxfId="416" priority="409" operator="equal">
      <formula>"Pos Chg"</formula>
    </cfRule>
  </conditionalFormatting>
  <conditionalFormatting sqref="E212:J212">
    <cfRule type="cellIs" dxfId="415" priority="406" operator="equal">
      <formula>"Neg"</formula>
    </cfRule>
    <cfRule type="cellIs" dxfId="414" priority="407" operator="equal">
      <formula>"Pos Chg"</formula>
    </cfRule>
  </conditionalFormatting>
  <conditionalFormatting sqref="J290">
    <cfRule type="cellIs" dxfId="413" priority="405" operator="equal">
      <formula>"MS"</formula>
    </cfRule>
  </conditionalFormatting>
  <conditionalFormatting sqref="J290">
    <cfRule type="cellIs" dxfId="412" priority="404" operator="equal">
      <formula>"DNMS"</formula>
    </cfRule>
  </conditionalFormatting>
  <conditionalFormatting sqref="J290">
    <cfRule type="cellIs" dxfId="411" priority="403" operator="equal">
      <formula>"FFBS"</formula>
    </cfRule>
  </conditionalFormatting>
  <conditionalFormatting sqref="K6">
    <cfRule type="cellIs" dxfId="410" priority="400" operator="equal">
      <formula>"Projected"</formula>
    </cfRule>
    <cfRule type="cellIs" dxfId="409" priority="401" operator="equal">
      <formula>"Budget"</formula>
    </cfRule>
    <cfRule type="cellIs" dxfId="408" priority="402" operator="equal">
      <formula>"Actual"</formula>
    </cfRule>
  </conditionalFormatting>
  <conditionalFormatting sqref="K244">
    <cfRule type="cellIs" dxfId="407" priority="399" operator="equal">
      <formula>"MS"</formula>
    </cfRule>
  </conditionalFormatting>
  <conditionalFormatting sqref="K244">
    <cfRule type="cellIs" dxfId="406" priority="398" operator="equal">
      <formula>"DNMS"</formula>
    </cfRule>
  </conditionalFormatting>
  <conditionalFormatting sqref="K244">
    <cfRule type="cellIs" dxfId="405" priority="397" operator="equal">
      <formula>"FFBS"</formula>
    </cfRule>
  </conditionalFormatting>
  <conditionalFormatting sqref="K274">
    <cfRule type="cellIs" dxfId="404" priority="395" operator="equal">
      <formula>"No"</formula>
    </cfRule>
    <cfRule type="cellIs" dxfId="403" priority="396" operator="equal">
      <formula>"Yes"</formula>
    </cfRule>
  </conditionalFormatting>
  <conditionalFormatting sqref="K275">
    <cfRule type="cellIs" dxfId="402" priority="393" operator="equal">
      <formula>"No"</formula>
    </cfRule>
    <cfRule type="cellIs" dxfId="401" priority="394" operator="equal">
      <formula>"Yes"</formula>
    </cfRule>
  </conditionalFormatting>
  <conditionalFormatting sqref="L274">
    <cfRule type="cellIs" dxfId="400" priority="391" operator="equal">
      <formula>"No"</formula>
    </cfRule>
    <cfRule type="cellIs" dxfId="399" priority="392" operator="equal">
      <formula>"Yes"</formula>
    </cfRule>
  </conditionalFormatting>
  <conditionalFormatting sqref="L275">
    <cfRule type="cellIs" dxfId="398" priority="389" operator="equal">
      <formula>"No"</formula>
    </cfRule>
    <cfRule type="cellIs" dxfId="397" priority="390" operator="equal">
      <formula>"Yes"</formula>
    </cfRule>
  </conditionalFormatting>
  <conditionalFormatting sqref="M274">
    <cfRule type="cellIs" dxfId="396" priority="387" operator="equal">
      <formula>"No"</formula>
    </cfRule>
    <cfRule type="cellIs" dxfId="395" priority="388" operator="equal">
      <formula>"Yes"</formula>
    </cfRule>
  </conditionalFormatting>
  <conditionalFormatting sqref="M275">
    <cfRule type="cellIs" dxfId="394" priority="385" operator="equal">
      <formula>"No"</formula>
    </cfRule>
    <cfRule type="cellIs" dxfId="393" priority="386" operator="equal">
      <formula>"Yes"</formula>
    </cfRule>
  </conditionalFormatting>
  <conditionalFormatting sqref="N274">
    <cfRule type="cellIs" dxfId="392" priority="383" operator="equal">
      <formula>"No"</formula>
    </cfRule>
    <cfRule type="cellIs" dxfId="391" priority="384" operator="equal">
      <formula>"Yes"</formula>
    </cfRule>
  </conditionalFormatting>
  <conditionalFormatting sqref="N275">
    <cfRule type="cellIs" dxfId="390" priority="381" operator="equal">
      <formula>"No"</formula>
    </cfRule>
    <cfRule type="cellIs" dxfId="389" priority="382" operator="equal">
      <formula>"Yes"</formula>
    </cfRule>
  </conditionalFormatting>
  <conditionalFormatting sqref="L290">
    <cfRule type="cellIs" dxfId="388" priority="380" operator="equal">
      <formula>"MS"</formula>
    </cfRule>
  </conditionalFormatting>
  <conditionalFormatting sqref="L290">
    <cfRule type="cellIs" dxfId="387" priority="379" operator="equal">
      <formula>"DNMS"</formula>
    </cfRule>
  </conditionalFormatting>
  <conditionalFormatting sqref="L290">
    <cfRule type="cellIs" dxfId="386" priority="378" operator="equal">
      <formula>"FFBS"</formula>
    </cfRule>
  </conditionalFormatting>
  <conditionalFormatting sqref="M290">
    <cfRule type="cellIs" dxfId="385" priority="377" operator="equal">
      <formula>"MS"</formula>
    </cfRule>
  </conditionalFormatting>
  <conditionalFormatting sqref="M290">
    <cfRule type="cellIs" dxfId="384" priority="376" operator="equal">
      <formula>"DNMS"</formula>
    </cfRule>
  </conditionalFormatting>
  <conditionalFormatting sqref="M290">
    <cfRule type="cellIs" dxfId="383" priority="375" operator="equal">
      <formula>"FFBS"</formula>
    </cfRule>
  </conditionalFormatting>
  <conditionalFormatting sqref="N290">
    <cfRule type="cellIs" dxfId="382" priority="374" operator="equal">
      <formula>"MS"</formula>
    </cfRule>
  </conditionalFormatting>
  <conditionalFormatting sqref="N290">
    <cfRule type="cellIs" dxfId="381" priority="373" operator="equal">
      <formula>"DNMS"</formula>
    </cfRule>
  </conditionalFormatting>
  <conditionalFormatting sqref="N290">
    <cfRule type="cellIs" dxfId="380" priority="372" operator="equal">
      <formula>"FFBS"</formula>
    </cfRule>
  </conditionalFormatting>
  <conditionalFormatting sqref="L306">
    <cfRule type="cellIs" dxfId="379" priority="371" operator="equal">
      <formula>"MS"</formula>
    </cfRule>
  </conditionalFormatting>
  <conditionalFormatting sqref="L306">
    <cfRule type="cellIs" dxfId="378" priority="370" operator="equal">
      <formula>"DNMS"</formula>
    </cfRule>
  </conditionalFormatting>
  <conditionalFormatting sqref="L306">
    <cfRule type="cellIs" dxfId="377" priority="369" operator="equal">
      <formula>"FFBS"</formula>
    </cfRule>
  </conditionalFormatting>
  <conditionalFormatting sqref="M306">
    <cfRule type="cellIs" dxfId="376" priority="368" operator="equal">
      <formula>"MS"</formula>
    </cfRule>
  </conditionalFormatting>
  <conditionalFormatting sqref="M306">
    <cfRule type="cellIs" dxfId="375" priority="367" operator="equal">
      <formula>"DNMS"</formula>
    </cfRule>
  </conditionalFormatting>
  <conditionalFormatting sqref="M306">
    <cfRule type="cellIs" dxfId="374" priority="366" operator="equal">
      <formula>"FFBS"</formula>
    </cfRule>
  </conditionalFormatting>
  <conditionalFormatting sqref="N306">
    <cfRule type="cellIs" dxfId="373" priority="365" operator="equal">
      <formula>"MS"</formula>
    </cfRule>
  </conditionalFormatting>
  <conditionalFormatting sqref="N306">
    <cfRule type="cellIs" dxfId="372" priority="364" operator="equal">
      <formula>"DNMS"</formula>
    </cfRule>
  </conditionalFormatting>
  <conditionalFormatting sqref="N306">
    <cfRule type="cellIs" dxfId="371" priority="363" operator="equal">
      <formula>"FFBS"</formula>
    </cfRule>
  </conditionalFormatting>
  <conditionalFormatting sqref="L337">
    <cfRule type="cellIs" dxfId="370" priority="362" operator="equal">
      <formula>"MS&gt;=1.1"</formula>
    </cfRule>
  </conditionalFormatting>
  <conditionalFormatting sqref="L337">
    <cfRule type="cellIs" dxfId="369" priority="361" operator="equal">
      <formula>"DNMS&lt;1.1"</formula>
    </cfRule>
  </conditionalFormatting>
  <conditionalFormatting sqref="L337">
    <cfRule type="cellIs" dxfId="368" priority="360" operator="equal">
      <formula>"FFBS"</formula>
    </cfRule>
  </conditionalFormatting>
  <conditionalFormatting sqref="M337">
    <cfRule type="cellIs" dxfId="367" priority="359" operator="equal">
      <formula>"MS&gt;=1.1"</formula>
    </cfRule>
  </conditionalFormatting>
  <conditionalFormatting sqref="M337">
    <cfRule type="cellIs" dxfId="366" priority="358" operator="equal">
      <formula>"DNMS&lt;1.1"</formula>
    </cfRule>
  </conditionalFormatting>
  <conditionalFormatting sqref="M337">
    <cfRule type="cellIs" dxfId="365" priority="357" operator="equal">
      <formula>"FFBS"</formula>
    </cfRule>
  </conditionalFormatting>
  <conditionalFormatting sqref="N337">
    <cfRule type="cellIs" dxfId="364" priority="356" operator="equal">
      <formula>"MS&gt;=1.1"</formula>
    </cfRule>
  </conditionalFormatting>
  <conditionalFormatting sqref="N337">
    <cfRule type="cellIs" dxfId="363" priority="355" operator="equal">
      <formula>"DNMS&lt;1.1"</formula>
    </cfRule>
  </conditionalFormatting>
  <conditionalFormatting sqref="N337">
    <cfRule type="cellIs" dxfId="362" priority="354" operator="equal">
      <formula>"FFBS"</formula>
    </cfRule>
  </conditionalFormatting>
  <conditionalFormatting sqref="K349">
    <cfRule type="expression" dxfId="361" priority="349">
      <formula>0.9&lt;K348&lt;0.99</formula>
    </cfRule>
    <cfRule type="expression" dxfId="360" priority="350">
      <formula>K348&gt;=1.1</formula>
    </cfRule>
  </conditionalFormatting>
  <conditionalFormatting sqref="K341:K342">
    <cfRule type="cellIs" dxfId="359" priority="348" operator="equal">
      <formula>"MS"</formula>
    </cfRule>
  </conditionalFormatting>
  <conditionalFormatting sqref="K341:K342">
    <cfRule type="cellIs" dxfId="358" priority="347" operator="equal">
      <formula>"DNMS"</formula>
    </cfRule>
  </conditionalFormatting>
  <conditionalFormatting sqref="K341:K342">
    <cfRule type="cellIs" dxfId="357" priority="346" operator="equal">
      <formula>"FFBS"</formula>
    </cfRule>
  </conditionalFormatting>
  <conditionalFormatting sqref="K423">
    <cfRule type="cellIs" dxfId="356" priority="345" operator="equal">
      <formula>"MS"</formula>
    </cfRule>
  </conditionalFormatting>
  <conditionalFormatting sqref="K423">
    <cfRule type="cellIs" dxfId="355" priority="344" operator="equal">
      <formula>"DNMS"</formula>
    </cfRule>
  </conditionalFormatting>
  <conditionalFormatting sqref="K423">
    <cfRule type="cellIs" dxfId="354" priority="343" operator="equal">
      <formula>"FFBS"</formula>
    </cfRule>
  </conditionalFormatting>
  <conditionalFormatting sqref="K377 K379">
    <cfRule type="expression" dxfId="353" priority="351" stopIfTrue="1">
      <formula>MOD(ROW(),2)=0</formula>
    </cfRule>
  </conditionalFormatting>
  <conditionalFormatting sqref="K377 K379">
    <cfRule type="expression" dxfId="352" priority="352" stopIfTrue="1">
      <formula>MOD(COLUMN(),2)=0</formula>
    </cfRule>
  </conditionalFormatting>
  <conditionalFormatting sqref="K355">
    <cfRule type="cellIs" dxfId="351" priority="342" operator="equal">
      <formula>"MS"</formula>
    </cfRule>
  </conditionalFormatting>
  <conditionalFormatting sqref="K355">
    <cfRule type="cellIs" dxfId="350" priority="341" operator="equal">
      <formula>"DNMS"</formula>
    </cfRule>
  </conditionalFormatting>
  <conditionalFormatting sqref="K355">
    <cfRule type="cellIs" dxfId="349" priority="340" operator="equal">
      <formula>"FFBS"</formula>
    </cfRule>
  </conditionalFormatting>
  <conditionalFormatting sqref="K381">
    <cfRule type="cellIs" dxfId="348" priority="339" operator="equal">
      <formula>"MS"</formula>
    </cfRule>
  </conditionalFormatting>
  <conditionalFormatting sqref="K381">
    <cfRule type="cellIs" dxfId="347" priority="338" operator="equal">
      <formula>"DNMS"</formula>
    </cfRule>
  </conditionalFormatting>
  <conditionalFormatting sqref="K381">
    <cfRule type="cellIs" dxfId="346" priority="337" operator="equal">
      <formula>"FFBS"</formula>
    </cfRule>
  </conditionalFormatting>
  <conditionalFormatting sqref="K376">
    <cfRule type="expression" dxfId="345" priority="335" stopIfTrue="1">
      <formula>MOD(ROW(),2)=0</formula>
    </cfRule>
  </conditionalFormatting>
  <conditionalFormatting sqref="K376">
    <cfRule type="expression" dxfId="344" priority="336" stopIfTrue="1">
      <formula>MOD(COLUMN(),2)=0</formula>
    </cfRule>
  </conditionalFormatting>
  <conditionalFormatting sqref="K378">
    <cfRule type="expression" dxfId="343" priority="333" stopIfTrue="1">
      <formula>MOD(ROW(),2)=0</formula>
    </cfRule>
  </conditionalFormatting>
  <conditionalFormatting sqref="K378">
    <cfRule type="expression" dxfId="342" priority="334" stopIfTrue="1">
      <formula>MOD(COLUMN(),2)=0</formula>
    </cfRule>
  </conditionalFormatting>
  <conditionalFormatting sqref="K433">
    <cfRule type="cellIs" dxfId="341" priority="332" operator="equal">
      <formula>"MS"</formula>
    </cfRule>
  </conditionalFormatting>
  <conditionalFormatting sqref="K433">
    <cfRule type="cellIs" dxfId="340" priority="331" operator="equal">
      <formula>"DNMS"</formula>
    </cfRule>
  </conditionalFormatting>
  <conditionalFormatting sqref="K433">
    <cfRule type="cellIs" dxfId="339" priority="330" operator="equal">
      <formula>"FFBS"</formula>
    </cfRule>
  </conditionalFormatting>
  <conditionalFormatting sqref="K431:K432">
    <cfRule type="cellIs" dxfId="338" priority="353" stopIfTrue="1" operator="equal">
      <formula>0</formula>
    </cfRule>
  </conditionalFormatting>
  <conditionalFormatting sqref="L349">
    <cfRule type="expression" dxfId="337" priority="325">
      <formula>0.9&lt;L348&lt;0.99</formula>
    </cfRule>
    <cfRule type="expression" dxfId="336" priority="326">
      <formula>L348&gt;=1.1</formula>
    </cfRule>
  </conditionalFormatting>
  <conditionalFormatting sqref="L341:L342">
    <cfRule type="cellIs" dxfId="335" priority="324" operator="equal">
      <formula>"MS"</formula>
    </cfRule>
  </conditionalFormatting>
  <conditionalFormatting sqref="L341:L342">
    <cfRule type="cellIs" dxfId="334" priority="323" operator="equal">
      <formula>"DNMS"</formula>
    </cfRule>
  </conditionalFormatting>
  <conditionalFormatting sqref="L341:L342">
    <cfRule type="cellIs" dxfId="333" priority="322" operator="equal">
      <formula>"FFBS"</formula>
    </cfRule>
  </conditionalFormatting>
  <conditionalFormatting sqref="L423">
    <cfRule type="cellIs" dxfId="332" priority="321" operator="equal">
      <formula>"MS"</formula>
    </cfRule>
  </conditionalFormatting>
  <conditionalFormatting sqref="L423">
    <cfRule type="cellIs" dxfId="331" priority="320" operator="equal">
      <formula>"DNMS"</formula>
    </cfRule>
  </conditionalFormatting>
  <conditionalFormatting sqref="L423">
    <cfRule type="cellIs" dxfId="330" priority="319" operator="equal">
      <formula>"FFBS"</formula>
    </cfRule>
  </conditionalFormatting>
  <conditionalFormatting sqref="L377 L358:L362 L379">
    <cfRule type="expression" dxfId="329" priority="327" stopIfTrue="1">
      <formula>MOD(ROW(),2)=0</formula>
    </cfRule>
  </conditionalFormatting>
  <conditionalFormatting sqref="L377 L358:L362 L379">
    <cfRule type="expression" dxfId="328" priority="328" stopIfTrue="1">
      <formula>MOD(COLUMN(),2)=0</formula>
    </cfRule>
  </conditionalFormatting>
  <conditionalFormatting sqref="L355">
    <cfRule type="cellIs" dxfId="327" priority="318" operator="equal">
      <formula>"MS"</formula>
    </cfRule>
  </conditionalFormatting>
  <conditionalFormatting sqref="L355">
    <cfRule type="cellIs" dxfId="326" priority="317" operator="equal">
      <formula>"DNMS"</formula>
    </cfRule>
  </conditionalFormatting>
  <conditionalFormatting sqref="L355">
    <cfRule type="cellIs" dxfId="325" priority="316" operator="equal">
      <formula>"FFBS"</formula>
    </cfRule>
  </conditionalFormatting>
  <conditionalFormatting sqref="L363">
    <cfRule type="cellIs" dxfId="324" priority="315" operator="equal">
      <formula>"MS"</formula>
    </cfRule>
  </conditionalFormatting>
  <conditionalFormatting sqref="L363">
    <cfRule type="cellIs" dxfId="323" priority="314" operator="equal">
      <formula>"DNMS"</formula>
    </cfRule>
  </conditionalFormatting>
  <conditionalFormatting sqref="L363">
    <cfRule type="cellIs" dxfId="322" priority="313" operator="equal">
      <formula>"FFBS"</formula>
    </cfRule>
  </conditionalFormatting>
  <conditionalFormatting sqref="L381">
    <cfRule type="cellIs" dxfId="321" priority="312" operator="equal">
      <formula>"MS"</formula>
    </cfRule>
  </conditionalFormatting>
  <conditionalFormatting sqref="L381">
    <cfRule type="cellIs" dxfId="320" priority="311" operator="equal">
      <formula>"DNMS"</formula>
    </cfRule>
  </conditionalFormatting>
  <conditionalFormatting sqref="L381">
    <cfRule type="cellIs" dxfId="319" priority="310" operator="equal">
      <formula>"FFBS"</formula>
    </cfRule>
  </conditionalFormatting>
  <conditionalFormatting sqref="L376">
    <cfRule type="expression" dxfId="318" priority="308" stopIfTrue="1">
      <formula>MOD(ROW(),2)=0</formula>
    </cfRule>
  </conditionalFormatting>
  <conditionalFormatting sqref="L376">
    <cfRule type="expression" dxfId="317" priority="309" stopIfTrue="1">
      <formula>MOD(COLUMN(),2)=0</formula>
    </cfRule>
  </conditionalFormatting>
  <conditionalFormatting sqref="L378">
    <cfRule type="expression" dxfId="316" priority="306" stopIfTrue="1">
      <formula>MOD(ROW(),2)=0</formula>
    </cfRule>
  </conditionalFormatting>
  <conditionalFormatting sqref="L378">
    <cfRule type="expression" dxfId="315" priority="307" stopIfTrue="1">
      <formula>MOD(COLUMN(),2)=0</formula>
    </cfRule>
  </conditionalFormatting>
  <conditionalFormatting sqref="L433">
    <cfRule type="cellIs" dxfId="314" priority="305" operator="equal">
      <formula>"MS"</formula>
    </cfRule>
  </conditionalFormatting>
  <conditionalFormatting sqref="L433">
    <cfRule type="cellIs" dxfId="313" priority="304" operator="equal">
      <formula>"DNMS"</formula>
    </cfRule>
  </conditionalFormatting>
  <conditionalFormatting sqref="L433">
    <cfRule type="cellIs" dxfId="312" priority="303" operator="equal">
      <formula>"FFBS"</formula>
    </cfRule>
  </conditionalFormatting>
  <conditionalFormatting sqref="L431:L432">
    <cfRule type="cellIs" dxfId="311" priority="329" stopIfTrue="1" operator="equal">
      <formula>0</formula>
    </cfRule>
  </conditionalFormatting>
  <conditionalFormatting sqref="M349">
    <cfRule type="expression" dxfId="310" priority="298">
      <formula>0.9&lt;M348&lt;0.99</formula>
    </cfRule>
    <cfRule type="expression" dxfId="309" priority="299">
      <formula>M348&gt;=1.1</formula>
    </cfRule>
  </conditionalFormatting>
  <conditionalFormatting sqref="M341:M342">
    <cfRule type="cellIs" dxfId="308" priority="297" operator="equal">
      <formula>"MS"</formula>
    </cfRule>
  </conditionalFormatting>
  <conditionalFormatting sqref="M341:M342">
    <cfRule type="cellIs" dxfId="307" priority="296" operator="equal">
      <formula>"DNMS"</formula>
    </cfRule>
  </conditionalFormatting>
  <conditionalFormatting sqref="M341:M342">
    <cfRule type="cellIs" dxfId="306" priority="295" operator="equal">
      <formula>"FFBS"</formula>
    </cfRule>
  </conditionalFormatting>
  <conditionalFormatting sqref="M423">
    <cfRule type="cellIs" dxfId="305" priority="294" operator="equal">
      <formula>"MS"</formula>
    </cfRule>
  </conditionalFormatting>
  <conditionalFormatting sqref="M423">
    <cfRule type="cellIs" dxfId="304" priority="293" operator="equal">
      <formula>"DNMS"</formula>
    </cfRule>
  </conditionalFormatting>
  <conditionalFormatting sqref="M423">
    <cfRule type="cellIs" dxfId="303" priority="292" operator="equal">
      <formula>"FFBS"</formula>
    </cfRule>
  </conditionalFormatting>
  <conditionalFormatting sqref="M377 M358:M362 M379">
    <cfRule type="expression" dxfId="302" priority="300" stopIfTrue="1">
      <formula>MOD(ROW(),2)=0</formula>
    </cfRule>
  </conditionalFormatting>
  <conditionalFormatting sqref="M377 M358:M362 M379">
    <cfRule type="expression" dxfId="301" priority="301" stopIfTrue="1">
      <formula>MOD(COLUMN(),2)=0</formula>
    </cfRule>
  </conditionalFormatting>
  <conditionalFormatting sqref="M355">
    <cfRule type="cellIs" dxfId="300" priority="291" operator="equal">
      <formula>"MS"</formula>
    </cfRule>
  </conditionalFormatting>
  <conditionalFormatting sqref="M355">
    <cfRule type="cellIs" dxfId="299" priority="290" operator="equal">
      <formula>"DNMS"</formula>
    </cfRule>
  </conditionalFormatting>
  <conditionalFormatting sqref="M355">
    <cfRule type="cellIs" dxfId="298" priority="289" operator="equal">
      <formula>"FFBS"</formula>
    </cfRule>
  </conditionalFormatting>
  <conditionalFormatting sqref="M363">
    <cfRule type="cellIs" dxfId="297" priority="288" operator="equal">
      <formula>"MS"</formula>
    </cfRule>
  </conditionalFormatting>
  <conditionalFormatting sqref="M363">
    <cfRule type="cellIs" dxfId="296" priority="287" operator="equal">
      <formula>"DNMS"</formula>
    </cfRule>
  </conditionalFormatting>
  <conditionalFormatting sqref="M363">
    <cfRule type="cellIs" dxfId="295" priority="286" operator="equal">
      <formula>"FFBS"</formula>
    </cfRule>
  </conditionalFormatting>
  <conditionalFormatting sqref="M381">
    <cfRule type="cellIs" dxfId="294" priority="285" operator="equal">
      <formula>"MS"</formula>
    </cfRule>
  </conditionalFormatting>
  <conditionalFormatting sqref="M381">
    <cfRule type="cellIs" dxfId="293" priority="284" operator="equal">
      <formula>"DNMS"</formula>
    </cfRule>
  </conditionalFormatting>
  <conditionalFormatting sqref="M381">
    <cfRule type="cellIs" dxfId="292" priority="283" operator="equal">
      <formula>"FFBS"</formula>
    </cfRule>
  </conditionalFormatting>
  <conditionalFormatting sqref="M376">
    <cfRule type="expression" dxfId="291" priority="281" stopIfTrue="1">
      <formula>MOD(ROW(),2)=0</formula>
    </cfRule>
  </conditionalFormatting>
  <conditionalFormatting sqref="M376">
    <cfRule type="expression" dxfId="290" priority="282" stopIfTrue="1">
      <formula>MOD(COLUMN(),2)=0</formula>
    </cfRule>
  </conditionalFormatting>
  <conditionalFormatting sqref="M378">
    <cfRule type="expression" dxfId="289" priority="279" stopIfTrue="1">
      <formula>MOD(ROW(),2)=0</formula>
    </cfRule>
  </conditionalFormatting>
  <conditionalFormatting sqref="M378">
    <cfRule type="expression" dxfId="288" priority="280" stopIfTrue="1">
      <formula>MOD(COLUMN(),2)=0</formula>
    </cfRule>
  </conditionalFormatting>
  <conditionalFormatting sqref="M433">
    <cfRule type="cellIs" dxfId="287" priority="278" operator="equal">
      <formula>"MS"</formula>
    </cfRule>
  </conditionalFormatting>
  <conditionalFormatting sqref="M433">
    <cfRule type="cellIs" dxfId="286" priority="277" operator="equal">
      <formula>"DNMS"</formula>
    </cfRule>
  </conditionalFormatting>
  <conditionalFormatting sqref="M433">
    <cfRule type="cellIs" dxfId="285" priority="276" operator="equal">
      <formula>"FFBS"</formula>
    </cfRule>
  </conditionalFormatting>
  <conditionalFormatting sqref="M431:M432">
    <cfRule type="cellIs" dxfId="284" priority="302" stopIfTrue="1" operator="equal">
      <formula>0</formula>
    </cfRule>
  </conditionalFormatting>
  <conditionalFormatting sqref="N349">
    <cfRule type="expression" dxfId="283" priority="271">
      <formula>0.9&lt;N348&lt;0.99</formula>
    </cfRule>
    <cfRule type="expression" dxfId="282" priority="272">
      <formula>N348&gt;=1.1</formula>
    </cfRule>
  </conditionalFormatting>
  <conditionalFormatting sqref="N341:N342">
    <cfRule type="cellIs" dxfId="281" priority="270" operator="equal">
      <formula>"MS"</formula>
    </cfRule>
  </conditionalFormatting>
  <conditionalFormatting sqref="N341:N342">
    <cfRule type="cellIs" dxfId="280" priority="269" operator="equal">
      <formula>"DNMS"</formula>
    </cfRule>
  </conditionalFormatting>
  <conditionalFormatting sqref="N341:N342">
    <cfRule type="cellIs" dxfId="279" priority="268" operator="equal">
      <formula>"FFBS"</formula>
    </cfRule>
  </conditionalFormatting>
  <conditionalFormatting sqref="N423">
    <cfRule type="cellIs" dxfId="278" priority="267" operator="equal">
      <formula>"MS"</formula>
    </cfRule>
  </conditionalFormatting>
  <conditionalFormatting sqref="N423">
    <cfRule type="cellIs" dxfId="277" priority="266" operator="equal">
      <formula>"DNMS"</formula>
    </cfRule>
  </conditionalFormatting>
  <conditionalFormatting sqref="N423">
    <cfRule type="cellIs" dxfId="276" priority="265" operator="equal">
      <formula>"FFBS"</formula>
    </cfRule>
  </conditionalFormatting>
  <conditionalFormatting sqref="N377 N358:N362 N379">
    <cfRule type="expression" dxfId="275" priority="273" stopIfTrue="1">
      <formula>MOD(ROW(),2)=0</formula>
    </cfRule>
  </conditionalFormatting>
  <conditionalFormatting sqref="N377 N358:N362 N379">
    <cfRule type="expression" dxfId="274" priority="274" stopIfTrue="1">
      <formula>MOD(COLUMN(),2)=0</formula>
    </cfRule>
  </conditionalFormatting>
  <conditionalFormatting sqref="N355">
    <cfRule type="cellIs" dxfId="273" priority="264" operator="equal">
      <formula>"MS"</formula>
    </cfRule>
  </conditionalFormatting>
  <conditionalFormatting sqref="N355">
    <cfRule type="cellIs" dxfId="272" priority="263" operator="equal">
      <formula>"DNMS"</formula>
    </cfRule>
  </conditionalFormatting>
  <conditionalFormatting sqref="N355">
    <cfRule type="cellIs" dxfId="271" priority="262" operator="equal">
      <formula>"FFBS"</formula>
    </cfRule>
  </conditionalFormatting>
  <conditionalFormatting sqref="N363">
    <cfRule type="cellIs" dxfId="270" priority="261" operator="equal">
      <formula>"MS"</formula>
    </cfRule>
  </conditionalFormatting>
  <conditionalFormatting sqref="N363">
    <cfRule type="cellIs" dxfId="269" priority="260" operator="equal">
      <formula>"DNMS"</formula>
    </cfRule>
  </conditionalFormatting>
  <conditionalFormatting sqref="N363">
    <cfRule type="cellIs" dxfId="268" priority="259" operator="equal">
      <formula>"FFBS"</formula>
    </cfRule>
  </conditionalFormatting>
  <conditionalFormatting sqref="N381">
    <cfRule type="cellIs" dxfId="267" priority="258" operator="equal">
      <formula>"MS"</formula>
    </cfRule>
  </conditionalFormatting>
  <conditionalFormatting sqref="N381">
    <cfRule type="cellIs" dxfId="266" priority="257" operator="equal">
      <formula>"DNMS"</formula>
    </cfRule>
  </conditionalFormatting>
  <conditionalFormatting sqref="N381">
    <cfRule type="cellIs" dxfId="265" priority="256" operator="equal">
      <formula>"FFBS"</formula>
    </cfRule>
  </conditionalFormatting>
  <conditionalFormatting sqref="N376">
    <cfRule type="expression" dxfId="264" priority="254" stopIfTrue="1">
      <formula>MOD(ROW(),2)=0</formula>
    </cfRule>
  </conditionalFormatting>
  <conditionalFormatting sqref="N376">
    <cfRule type="expression" dxfId="263" priority="255" stopIfTrue="1">
      <formula>MOD(COLUMN(),2)=0</formula>
    </cfRule>
  </conditionalFormatting>
  <conditionalFormatting sqref="N378">
    <cfRule type="expression" dxfId="262" priority="252" stopIfTrue="1">
      <formula>MOD(ROW(),2)=0</formula>
    </cfRule>
  </conditionalFormatting>
  <conditionalFormatting sqref="N378">
    <cfRule type="expression" dxfId="261" priority="253" stopIfTrue="1">
      <formula>MOD(COLUMN(),2)=0</formula>
    </cfRule>
  </conditionalFormatting>
  <conditionalFormatting sqref="N433">
    <cfRule type="cellIs" dxfId="260" priority="251" operator="equal">
      <formula>"MS"</formula>
    </cfRule>
  </conditionalFormatting>
  <conditionalFormatting sqref="N433">
    <cfRule type="cellIs" dxfId="259" priority="250" operator="equal">
      <formula>"DNMS"</formula>
    </cfRule>
  </conditionalFormatting>
  <conditionalFormatting sqref="N433">
    <cfRule type="cellIs" dxfId="258" priority="249" operator="equal">
      <formula>"FFBS"</formula>
    </cfRule>
  </conditionalFormatting>
  <conditionalFormatting sqref="N431:N432">
    <cfRule type="cellIs" dxfId="257" priority="275" stopIfTrue="1" operator="equal">
      <formula>0</formula>
    </cfRule>
  </conditionalFormatting>
  <conditionalFormatting sqref="E315:J315">
    <cfRule type="cellIs" dxfId="256" priority="247" operator="equal">
      <formula>"Neg Chg"</formula>
    </cfRule>
    <cfRule type="cellIs" dxfId="255" priority="248" operator="equal">
      <formula>"Pos Chg"</formula>
    </cfRule>
  </conditionalFormatting>
  <conditionalFormatting sqref="E300:N301">
    <cfRule type="cellIs" dxfId="254" priority="246" operator="equal">
      <formula>"MS&lt;90%"</formula>
    </cfRule>
  </conditionalFormatting>
  <conditionalFormatting sqref="E300:N301">
    <cfRule type="cellIs" dxfId="253" priority="245" operator="equal">
      <formula>"DNMS&gt;=90%, &lt;=100%"</formula>
    </cfRule>
  </conditionalFormatting>
  <conditionalFormatting sqref="E300:N301">
    <cfRule type="cellIs" dxfId="252" priority="244" operator="equal">
      <formula>"FFBS&gt;100%"</formula>
    </cfRule>
  </conditionalFormatting>
  <conditionalFormatting sqref="E306:J306">
    <cfRule type="cellIs" dxfId="251" priority="241" operator="equal">
      <formula>"FFBS&gt;100%"</formula>
    </cfRule>
  </conditionalFormatting>
  <conditionalFormatting sqref="E306:J306">
    <cfRule type="cellIs" dxfId="250" priority="243" operator="equal">
      <formula>"MS&lt;90%"</formula>
    </cfRule>
  </conditionalFormatting>
  <conditionalFormatting sqref="E306:J306">
    <cfRule type="cellIs" dxfId="249" priority="242" operator="equal">
      <formula>"DNMS&gt;=90%, &lt;=100%"</formula>
    </cfRule>
  </conditionalFormatting>
  <conditionalFormatting sqref="J199">
    <cfRule type="cellIs" dxfId="248" priority="240" operator="equal">
      <formula>"MS"</formula>
    </cfRule>
  </conditionalFormatting>
  <conditionalFormatting sqref="J199">
    <cfRule type="cellIs" dxfId="247" priority="239" operator="equal">
      <formula>"DNMS"</formula>
    </cfRule>
  </conditionalFormatting>
  <conditionalFormatting sqref="J199">
    <cfRule type="cellIs" dxfId="246" priority="238" operator="equal">
      <formula>"FFBS"</formula>
    </cfRule>
  </conditionalFormatting>
  <conditionalFormatting sqref="K363">
    <cfRule type="cellIs" dxfId="245" priority="237" operator="equal">
      <formula>"MS"</formula>
    </cfRule>
  </conditionalFormatting>
  <conditionalFormatting sqref="K363">
    <cfRule type="cellIs" dxfId="244" priority="236" operator="equal">
      <formula>"DNMS"</formula>
    </cfRule>
  </conditionalFormatting>
  <conditionalFormatting sqref="K363">
    <cfRule type="cellIs" dxfId="243" priority="235" operator="equal">
      <formula>"FFBS"</formula>
    </cfRule>
  </conditionalFormatting>
  <conditionalFormatting sqref="J358:K362">
    <cfRule type="expression" dxfId="242" priority="233" stopIfTrue="1">
      <formula>MOD(ROW(),2)=0</formula>
    </cfRule>
  </conditionalFormatting>
  <conditionalFormatting sqref="J358:K362">
    <cfRule type="expression" dxfId="241" priority="234" stopIfTrue="1">
      <formula>MOD(COLUMN(),2)=0</formula>
    </cfRule>
  </conditionalFormatting>
  <conditionalFormatting sqref="F198">
    <cfRule type="cellIs" dxfId="240" priority="231" operator="equal">
      <formula>"Neg"</formula>
    </cfRule>
    <cfRule type="cellIs" dxfId="239" priority="232" operator="equal">
      <formula>"Pos Chg"</formula>
    </cfRule>
  </conditionalFormatting>
  <conditionalFormatting sqref="G198:J198">
    <cfRule type="cellIs" dxfId="238" priority="229" operator="equal">
      <formula>"Neg"</formula>
    </cfRule>
    <cfRule type="cellIs" dxfId="237" priority="230" operator="equal">
      <formula>"Pos Chg"</formula>
    </cfRule>
  </conditionalFormatting>
  <conditionalFormatting sqref="F424:K424 F426:K426 K425">
    <cfRule type="cellIs" dxfId="236" priority="228" operator="equal">
      <formula>"MS"</formula>
    </cfRule>
  </conditionalFormatting>
  <conditionalFormatting sqref="F424:K424 F426:K426 K425">
    <cfRule type="cellIs" dxfId="235" priority="227" operator="equal">
      <formula>"DNMS"</formula>
    </cfRule>
  </conditionalFormatting>
  <conditionalFormatting sqref="F424:K424 F426:K426 K425">
    <cfRule type="cellIs" dxfId="234" priority="226" operator="equal">
      <formula>"FFBS"</formula>
    </cfRule>
  </conditionalFormatting>
  <conditionalFormatting sqref="I422:J422">
    <cfRule type="cellIs" dxfId="233" priority="225" operator="equal">
      <formula>"MS"</formula>
    </cfRule>
  </conditionalFormatting>
  <conditionalFormatting sqref="I422:J422">
    <cfRule type="cellIs" dxfId="232" priority="224" operator="equal">
      <formula>"DNMS"</formula>
    </cfRule>
  </conditionalFormatting>
  <conditionalFormatting sqref="I422:J422">
    <cfRule type="cellIs" dxfId="231" priority="223" operator="equal">
      <formula>"FFBS"</formula>
    </cfRule>
  </conditionalFormatting>
  <conditionalFormatting sqref="K306">
    <cfRule type="cellIs" dxfId="230" priority="222" operator="equal">
      <formula>"MS&lt;90%"</formula>
    </cfRule>
  </conditionalFormatting>
  <conditionalFormatting sqref="K306">
    <cfRule type="cellIs" dxfId="229" priority="221" operator="equal">
      <formula>"DNMS"</formula>
    </cfRule>
  </conditionalFormatting>
  <conditionalFormatting sqref="K306">
    <cfRule type="cellIs" dxfId="228" priority="220" operator="equal">
      <formula>"FFBS&gt;1"</formula>
    </cfRule>
  </conditionalFormatting>
  <conditionalFormatting sqref="K306">
    <cfRule type="cellIs" dxfId="227" priority="217" operator="equal">
      <formula>"FFBS&gt;100%"</formula>
    </cfRule>
  </conditionalFormatting>
  <conditionalFormatting sqref="K306">
    <cfRule type="cellIs" dxfId="226" priority="219" operator="equal">
      <formula>"MS&lt;90%"</formula>
    </cfRule>
  </conditionalFormatting>
  <conditionalFormatting sqref="K306">
    <cfRule type="cellIs" dxfId="225" priority="218" operator="equal">
      <formula>"DNMS&gt;=90%, &lt;=100%"</formula>
    </cfRule>
  </conditionalFormatting>
  <conditionalFormatting sqref="L6:N6">
    <cfRule type="cellIs" dxfId="224" priority="214" operator="equal">
      <formula>"Projected"</formula>
    </cfRule>
    <cfRule type="cellIs" dxfId="223" priority="215" operator="equal">
      <formula>"Budget"</formula>
    </cfRule>
    <cfRule type="cellIs" dxfId="222" priority="216" operator="equal">
      <formula>"Actual"</formula>
    </cfRule>
  </conditionalFormatting>
  <conditionalFormatting sqref="L244:N244">
    <cfRule type="cellIs" dxfId="221" priority="213" operator="equal">
      <formula>"MS"</formula>
    </cfRule>
  </conditionalFormatting>
  <conditionalFormatting sqref="L244:N244">
    <cfRule type="cellIs" dxfId="220" priority="212" operator="equal">
      <formula>"DNMS"</formula>
    </cfRule>
  </conditionalFormatting>
  <conditionalFormatting sqref="L244:N244">
    <cfRule type="cellIs" dxfId="219" priority="211" operator="equal">
      <formula>"FFBS"</formula>
    </cfRule>
  </conditionalFormatting>
  <conditionalFormatting sqref="H422">
    <cfRule type="cellIs" dxfId="218" priority="210" operator="equal">
      <formula>"MS"</formula>
    </cfRule>
  </conditionalFormatting>
  <conditionalFormatting sqref="H422">
    <cfRule type="cellIs" dxfId="217" priority="209" operator="equal">
      <formula>"DNMS"</formula>
    </cfRule>
  </conditionalFormatting>
  <conditionalFormatting sqref="H422">
    <cfRule type="cellIs" dxfId="216" priority="208" operator="equal">
      <formula>"FFBS"</formula>
    </cfRule>
  </conditionalFormatting>
  <conditionalFormatting sqref="G422">
    <cfRule type="cellIs" dxfId="215" priority="207" operator="equal">
      <formula>"MS"</formula>
    </cfRule>
  </conditionalFormatting>
  <conditionalFormatting sqref="G422">
    <cfRule type="cellIs" dxfId="214" priority="206" operator="equal">
      <formula>"DNMS"</formula>
    </cfRule>
  </conditionalFormatting>
  <conditionalFormatting sqref="G422">
    <cfRule type="cellIs" dxfId="213" priority="205" operator="equal">
      <formula>"FFBS"</formula>
    </cfRule>
  </conditionalFormatting>
  <conditionalFormatting sqref="F422">
    <cfRule type="cellIs" dxfId="212" priority="204" operator="equal">
      <formula>"MS"</formula>
    </cfRule>
  </conditionalFormatting>
  <conditionalFormatting sqref="F422">
    <cfRule type="cellIs" dxfId="211" priority="203" operator="equal">
      <formula>"DNMS"</formula>
    </cfRule>
  </conditionalFormatting>
  <conditionalFormatting sqref="F422">
    <cfRule type="cellIs" dxfId="210" priority="202" operator="equal">
      <formula>"FFBS"</formula>
    </cfRule>
  </conditionalFormatting>
  <conditionalFormatting sqref="E422">
    <cfRule type="cellIs" dxfId="209" priority="201" operator="equal">
      <formula>"MS"</formula>
    </cfRule>
  </conditionalFormatting>
  <conditionalFormatting sqref="E422">
    <cfRule type="cellIs" dxfId="208" priority="200" operator="equal">
      <formula>"DNMS"</formula>
    </cfRule>
  </conditionalFormatting>
  <conditionalFormatting sqref="E422">
    <cfRule type="cellIs" dxfId="207" priority="199" operator="equal">
      <formula>"FFBS"</formula>
    </cfRule>
  </conditionalFormatting>
  <conditionalFormatting sqref="K422:N422">
    <cfRule type="cellIs" dxfId="206" priority="198" operator="equal">
      <formula>"MS"</formula>
    </cfRule>
  </conditionalFormatting>
  <conditionalFormatting sqref="K422:N422">
    <cfRule type="cellIs" dxfId="205" priority="197" operator="equal">
      <formula>"DNMS"</formula>
    </cfRule>
  </conditionalFormatting>
  <conditionalFormatting sqref="K422:N422">
    <cfRule type="cellIs" dxfId="204" priority="196" operator="equal">
      <formula>"FFBS"</formula>
    </cfRule>
  </conditionalFormatting>
  <conditionalFormatting sqref="L424:N426">
    <cfRule type="cellIs" dxfId="203" priority="195" operator="equal">
      <formula>"MS"</formula>
    </cfRule>
  </conditionalFormatting>
  <conditionalFormatting sqref="L424:N426">
    <cfRule type="cellIs" dxfId="202" priority="194" operator="equal">
      <formula>"DNMS"</formula>
    </cfRule>
  </conditionalFormatting>
  <conditionalFormatting sqref="L424:N426">
    <cfRule type="cellIs" dxfId="201" priority="193" operator="equal">
      <formula>"FFBS"</formula>
    </cfRule>
  </conditionalFormatting>
  <conditionalFormatting sqref="K290">
    <cfRule type="cellIs" dxfId="200" priority="192" operator="equal">
      <formula>"MS"</formula>
    </cfRule>
  </conditionalFormatting>
  <conditionalFormatting sqref="K290">
    <cfRule type="cellIs" dxfId="199" priority="191" operator="equal">
      <formula>"DNMS"</formula>
    </cfRule>
  </conditionalFormatting>
  <conditionalFormatting sqref="K290">
    <cfRule type="cellIs" dxfId="198" priority="190" operator="equal">
      <formula>"FFBS"</formula>
    </cfRule>
  </conditionalFormatting>
  <conditionalFormatting sqref="G274">
    <cfRule type="cellIs" dxfId="197" priority="188" operator="equal">
      <formula>"No"</formula>
    </cfRule>
    <cfRule type="cellIs" dxfId="196" priority="189" operator="equal">
      <formula>"Yes"</formula>
    </cfRule>
  </conditionalFormatting>
  <conditionalFormatting sqref="G275">
    <cfRule type="cellIs" dxfId="195" priority="186" operator="equal">
      <formula>"No"</formula>
    </cfRule>
    <cfRule type="cellIs" dxfId="194" priority="187" operator="equal">
      <formula>"Yes"</formula>
    </cfRule>
  </conditionalFormatting>
  <conditionalFormatting sqref="G337">
    <cfRule type="cellIs" dxfId="193" priority="185" operator="equal">
      <formula>"NA"</formula>
    </cfRule>
  </conditionalFormatting>
  <conditionalFormatting sqref="E337">
    <cfRule type="cellIs" dxfId="192" priority="184" operator="equal">
      <formula>"NA"</formula>
    </cfRule>
  </conditionalFormatting>
  <conditionalFormatting sqref="F337">
    <cfRule type="cellIs" dxfId="191" priority="183" operator="equal">
      <formula>"NA"</formula>
    </cfRule>
  </conditionalFormatting>
  <conditionalFormatting sqref="H337:K337">
    <cfRule type="cellIs" dxfId="190" priority="182" operator="equal">
      <formula>"MS&gt;=1.1"</formula>
    </cfRule>
  </conditionalFormatting>
  <conditionalFormatting sqref="H337:K337">
    <cfRule type="cellIs" dxfId="189" priority="181" operator="equal">
      <formula>"DNMS&lt;1.1"</formula>
    </cfRule>
  </conditionalFormatting>
  <conditionalFormatting sqref="H337:K337">
    <cfRule type="cellIs" dxfId="188" priority="180" operator="equal">
      <formula>"FFBS"</formula>
    </cfRule>
  </conditionalFormatting>
  <conditionalFormatting sqref="H337:K337">
    <cfRule type="cellIs" dxfId="187" priority="179" operator="equal">
      <formula>"NA"</formula>
    </cfRule>
  </conditionalFormatting>
  <conditionalFormatting sqref="H274">
    <cfRule type="cellIs" dxfId="186" priority="177" operator="equal">
      <formula>"No"</formula>
    </cfRule>
    <cfRule type="cellIs" dxfId="185" priority="178" operator="equal">
      <formula>"Yes"</formula>
    </cfRule>
  </conditionalFormatting>
  <conditionalFormatting sqref="H275">
    <cfRule type="cellIs" dxfId="184" priority="175" operator="equal">
      <formula>"No"</formula>
    </cfRule>
    <cfRule type="cellIs" dxfId="183" priority="176" operator="equal">
      <formula>"Yes"</formula>
    </cfRule>
  </conditionalFormatting>
  <conditionalFormatting sqref="I274">
    <cfRule type="cellIs" dxfId="182" priority="173" operator="equal">
      <formula>"No"</formula>
    </cfRule>
    <cfRule type="cellIs" dxfId="181" priority="174" operator="equal">
      <formula>"Yes"</formula>
    </cfRule>
  </conditionalFormatting>
  <conditionalFormatting sqref="I275">
    <cfRule type="cellIs" dxfId="180" priority="171" operator="equal">
      <formula>"No"</formula>
    </cfRule>
    <cfRule type="cellIs" dxfId="179" priority="172" operator="equal">
      <formula>"Yes"</formula>
    </cfRule>
  </conditionalFormatting>
  <conditionalFormatting sqref="J274">
    <cfRule type="cellIs" dxfId="178" priority="169" operator="equal">
      <formula>"No"</formula>
    </cfRule>
    <cfRule type="cellIs" dxfId="177" priority="170" operator="equal">
      <formula>"Yes"</formula>
    </cfRule>
  </conditionalFormatting>
  <conditionalFormatting sqref="J275">
    <cfRule type="cellIs" dxfId="176" priority="167" operator="equal">
      <formula>"No"</formula>
    </cfRule>
    <cfRule type="cellIs" dxfId="175" priority="168" operator="equal">
      <formula>"Yes"</formula>
    </cfRule>
  </conditionalFormatting>
  <conditionalFormatting sqref="E316">
    <cfRule type="cellIs" dxfId="174" priority="166" operator="equal">
      <formula>0</formula>
    </cfRule>
  </conditionalFormatting>
  <conditionalFormatting sqref="F316:J316">
    <cfRule type="cellIs" dxfId="173" priority="165" operator="equal">
      <formula>0</formula>
    </cfRule>
  </conditionalFormatting>
  <conditionalFormatting sqref="E381">
    <cfRule type="cellIs" dxfId="172" priority="161" operator="equal">
      <formula>"n/a"</formula>
    </cfRule>
    <cfRule type="cellIs" dxfId="171" priority="164" operator="equal">
      <formula>"MS"</formula>
    </cfRule>
  </conditionalFormatting>
  <conditionalFormatting sqref="E381">
    <cfRule type="cellIs" dxfId="170" priority="163" operator="equal">
      <formula>"DNMS"</formula>
    </cfRule>
  </conditionalFormatting>
  <conditionalFormatting sqref="E381">
    <cfRule type="cellIs" dxfId="169" priority="162" operator="equal">
      <formula>"FFBS"</formula>
    </cfRule>
  </conditionalFormatting>
  <conditionalFormatting sqref="F381:J381">
    <cfRule type="cellIs" dxfId="168" priority="157" operator="equal">
      <formula>"n/a"</formula>
    </cfRule>
    <cfRule type="cellIs" dxfId="167" priority="160" operator="equal">
      <formula>"MS"</formula>
    </cfRule>
  </conditionalFormatting>
  <conditionalFormatting sqref="F381:J381">
    <cfRule type="cellIs" dxfId="166" priority="159" operator="equal">
      <formula>"DNMS"</formula>
    </cfRule>
  </conditionalFormatting>
  <conditionalFormatting sqref="F381:J381">
    <cfRule type="cellIs" dxfId="165" priority="158" operator="equal">
      <formula>"FFBS"</formula>
    </cfRule>
  </conditionalFormatting>
  <conditionalFormatting sqref="E228">
    <cfRule type="cellIs" dxfId="164" priority="153" operator="equal">
      <formula>"n/a"</formula>
    </cfRule>
    <cfRule type="cellIs" dxfId="163" priority="156" operator="equal">
      <formula>"MS"</formula>
    </cfRule>
  </conditionalFormatting>
  <conditionalFormatting sqref="E228">
    <cfRule type="cellIs" dxfId="162" priority="155" operator="equal">
      <formula>"DNMS"</formula>
    </cfRule>
  </conditionalFormatting>
  <conditionalFormatting sqref="E228">
    <cfRule type="cellIs" dxfId="161" priority="154" operator="equal">
      <formula>"FFBS"</formula>
    </cfRule>
  </conditionalFormatting>
  <conditionalFormatting sqref="F228:J228">
    <cfRule type="cellIs" dxfId="160" priority="149" operator="equal">
      <formula>"n/a"</formula>
    </cfRule>
    <cfRule type="cellIs" dxfId="159" priority="152" operator="equal">
      <formula>"MS"</formula>
    </cfRule>
  </conditionalFormatting>
  <conditionalFormatting sqref="F228:J228">
    <cfRule type="cellIs" dxfId="158" priority="151" operator="equal">
      <formula>"DNMS"</formula>
    </cfRule>
  </conditionalFormatting>
  <conditionalFormatting sqref="F228:J228">
    <cfRule type="cellIs" dxfId="157" priority="150" operator="equal">
      <formula>"FFBS"</formula>
    </cfRule>
  </conditionalFormatting>
  <conditionalFormatting sqref="E237">
    <cfRule type="cellIs" dxfId="156" priority="148" operator="equal">
      <formula>"MS"</formula>
    </cfRule>
  </conditionalFormatting>
  <conditionalFormatting sqref="E237">
    <cfRule type="cellIs" dxfId="155" priority="147" operator="equal">
      <formula>"DNMS"</formula>
    </cfRule>
  </conditionalFormatting>
  <conditionalFormatting sqref="E237">
    <cfRule type="cellIs" dxfId="154" priority="146" operator="equal">
      <formula>"FFBS"</formula>
    </cfRule>
  </conditionalFormatting>
  <conditionalFormatting sqref="F237:J237">
    <cfRule type="cellIs" dxfId="153" priority="145" operator="equal">
      <formula>"MS"</formula>
    </cfRule>
  </conditionalFormatting>
  <conditionalFormatting sqref="F237:J237">
    <cfRule type="cellIs" dxfId="152" priority="144" operator="equal">
      <formula>"DNMS"</formula>
    </cfRule>
  </conditionalFormatting>
  <conditionalFormatting sqref="F237:J237">
    <cfRule type="cellIs" dxfId="151" priority="143" operator="equal">
      <formula>"FFBS"</formula>
    </cfRule>
  </conditionalFormatting>
  <conditionalFormatting sqref="E255 E263">
    <cfRule type="cellIs" dxfId="150" priority="142" operator="equal">
      <formula>"MS"</formula>
    </cfRule>
  </conditionalFormatting>
  <conditionalFormatting sqref="E255 E263">
    <cfRule type="cellIs" dxfId="149" priority="141" operator="equal">
      <formula>"DNMS"</formula>
    </cfRule>
  </conditionalFormatting>
  <conditionalFormatting sqref="E255 E263">
    <cfRule type="cellIs" dxfId="148" priority="140" operator="equal">
      <formula>"FFBS"</formula>
    </cfRule>
  </conditionalFormatting>
  <conditionalFormatting sqref="F255:I255 F263:I263">
    <cfRule type="cellIs" dxfId="147" priority="139" operator="equal">
      <formula>"MS"</formula>
    </cfRule>
  </conditionalFormatting>
  <conditionalFormatting sqref="F255:I255 F263:I263">
    <cfRule type="cellIs" dxfId="146" priority="138" operator="equal">
      <formula>"DNMS"</formula>
    </cfRule>
  </conditionalFormatting>
  <conditionalFormatting sqref="F255:I255 F263:I263">
    <cfRule type="cellIs" dxfId="145" priority="137" operator="equal">
      <formula>"FFBS"</formula>
    </cfRule>
  </conditionalFormatting>
  <conditionalFormatting sqref="K237">
    <cfRule type="cellIs" dxfId="144" priority="136" operator="equal">
      <formula>"MS"</formula>
    </cfRule>
  </conditionalFormatting>
  <conditionalFormatting sqref="K237">
    <cfRule type="cellIs" dxfId="143" priority="135" operator="equal">
      <formula>"DNMS"</formula>
    </cfRule>
  </conditionalFormatting>
  <conditionalFormatting sqref="K237">
    <cfRule type="cellIs" dxfId="142" priority="134" operator="equal">
      <formula>"FFBS"</formula>
    </cfRule>
  </conditionalFormatting>
  <conditionalFormatting sqref="L237:N237">
    <cfRule type="cellIs" dxfId="141" priority="133" operator="equal">
      <formula>"MS"</formula>
    </cfRule>
  </conditionalFormatting>
  <conditionalFormatting sqref="L237:N237">
    <cfRule type="cellIs" dxfId="140" priority="132" operator="equal">
      <formula>"DNMS"</formula>
    </cfRule>
  </conditionalFormatting>
  <conditionalFormatting sqref="L237:N237">
    <cfRule type="cellIs" dxfId="139" priority="131" operator="equal">
      <formula>"FFBS"</formula>
    </cfRule>
  </conditionalFormatting>
  <conditionalFormatting sqref="E425">
    <cfRule type="cellIs" dxfId="138" priority="130" operator="equal">
      <formula>"MS"</formula>
    </cfRule>
  </conditionalFormatting>
  <conditionalFormatting sqref="E425">
    <cfRule type="cellIs" dxfId="137" priority="129" operator="equal">
      <formula>"DNMS"</formula>
    </cfRule>
  </conditionalFormatting>
  <conditionalFormatting sqref="E425">
    <cfRule type="cellIs" dxfId="136" priority="128" operator="equal">
      <formula>"FFBS"</formula>
    </cfRule>
  </conditionalFormatting>
  <conditionalFormatting sqref="D363">
    <cfRule type="cellIs" dxfId="135" priority="126" operator="equal">
      <formula>"DNMS"</formula>
    </cfRule>
  </conditionalFormatting>
  <conditionalFormatting sqref="D363">
    <cfRule type="cellIs" dxfId="134" priority="125" operator="equal">
      <formula>"FFBS"</formula>
    </cfRule>
  </conditionalFormatting>
  <conditionalFormatting sqref="D363">
    <cfRule type="cellIs" dxfId="133" priority="124" operator="equal">
      <formula>"n/a"</formula>
    </cfRule>
    <cfRule type="cellIs" dxfId="132" priority="127" operator="equal">
      <formula>"MS"</formula>
    </cfRule>
  </conditionalFormatting>
  <conditionalFormatting sqref="E363">
    <cfRule type="cellIs" dxfId="131" priority="120" operator="equal">
      <formula>"n/a"</formula>
    </cfRule>
    <cfRule type="cellIs" dxfId="130" priority="123" operator="equal">
      <formula>"MS"</formula>
    </cfRule>
  </conditionalFormatting>
  <conditionalFormatting sqref="E363">
    <cfRule type="cellIs" dxfId="129" priority="122" operator="equal">
      <formula>"DNMS"</formula>
    </cfRule>
  </conditionalFormatting>
  <conditionalFormatting sqref="E363">
    <cfRule type="cellIs" dxfId="128" priority="121" operator="equal">
      <formula>"FFBS"</formula>
    </cfRule>
  </conditionalFormatting>
  <conditionalFormatting sqref="F363:J363">
    <cfRule type="cellIs" dxfId="127" priority="116" operator="equal">
      <formula>"n/a"</formula>
    </cfRule>
    <cfRule type="cellIs" dxfId="126" priority="119" operator="equal">
      <formula>"MS"</formula>
    </cfRule>
  </conditionalFormatting>
  <conditionalFormatting sqref="F363:J363">
    <cfRule type="cellIs" dxfId="125" priority="118" operator="equal">
      <formula>"DNMS"</formula>
    </cfRule>
  </conditionalFormatting>
  <conditionalFormatting sqref="F363:J363">
    <cfRule type="cellIs" dxfId="124" priority="117" operator="equal">
      <formula>"FFBS"</formula>
    </cfRule>
  </conditionalFormatting>
  <conditionalFormatting sqref="E213">
    <cfRule type="cellIs" dxfId="123" priority="112" operator="equal">
      <formula>"n/a"</formula>
    </cfRule>
    <cfRule type="cellIs" dxfId="122" priority="115" operator="equal">
      <formula>"MS"</formula>
    </cfRule>
  </conditionalFormatting>
  <conditionalFormatting sqref="E213">
    <cfRule type="cellIs" dxfId="121" priority="114" operator="equal">
      <formula>"DNMS"</formula>
    </cfRule>
  </conditionalFormatting>
  <conditionalFormatting sqref="E213">
    <cfRule type="cellIs" dxfId="120" priority="113" operator="equal">
      <formula>"FFBS"</formula>
    </cfRule>
  </conditionalFormatting>
  <conditionalFormatting sqref="F213:G213">
    <cfRule type="cellIs" dxfId="119" priority="108" operator="equal">
      <formula>"n/a"</formula>
    </cfRule>
    <cfRule type="cellIs" dxfId="118" priority="111" operator="equal">
      <formula>"MS"</formula>
    </cfRule>
  </conditionalFormatting>
  <conditionalFormatting sqref="F213:G213">
    <cfRule type="cellIs" dxfId="117" priority="110" operator="equal">
      <formula>"DNMS"</formula>
    </cfRule>
  </conditionalFormatting>
  <conditionalFormatting sqref="F213:G213">
    <cfRule type="cellIs" dxfId="116" priority="109" operator="equal">
      <formula>"FFBS"</formula>
    </cfRule>
  </conditionalFormatting>
  <conditionalFormatting sqref="H213:J213">
    <cfRule type="cellIs" dxfId="115" priority="104" operator="equal">
      <formula>"n/a"</formula>
    </cfRule>
    <cfRule type="cellIs" dxfId="114" priority="107" operator="equal">
      <formula>"MS"</formula>
    </cfRule>
  </conditionalFormatting>
  <conditionalFormatting sqref="H213:J213">
    <cfRule type="cellIs" dxfId="113" priority="106" operator="equal">
      <formula>"DNMS"</formula>
    </cfRule>
  </conditionalFormatting>
  <conditionalFormatting sqref="H213:J213">
    <cfRule type="cellIs" dxfId="112" priority="105" operator="equal">
      <formula>"FFBS"</formula>
    </cfRule>
  </conditionalFormatting>
  <conditionalFormatting sqref="F425:J425">
    <cfRule type="cellIs" dxfId="111" priority="103" operator="equal">
      <formula>"MS"</formula>
    </cfRule>
  </conditionalFormatting>
  <conditionalFormatting sqref="F425:J425">
    <cfRule type="cellIs" dxfId="110" priority="102" operator="equal">
      <formula>"DNMS"</formula>
    </cfRule>
  </conditionalFormatting>
  <conditionalFormatting sqref="F425:J425">
    <cfRule type="cellIs" dxfId="109" priority="101" operator="equal">
      <formula>"FFBS"</formula>
    </cfRule>
  </conditionalFormatting>
  <conditionalFormatting sqref="AC33:AO44">
    <cfRule type="cellIs" dxfId="108" priority="100" stopIfTrue="1" operator="equal">
      <formula>0</formula>
    </cfRule>
  </conditionalFormatting>
  <conditionalFormatting sqref="AC45:AO45 AC48:AO48">
    <cfRule type="cellIs" dxfId="107" priority="99" stopIfTrue="1" operator="equal">
      <formula>0</formula>
    </cfRule>
  </conditionalFormatting>
  <conditionalFormatting sqref="AC49:AO49">
    <cfRule type="cellIs" dxfId="106" priority="98" stopIfTrue="1" operator="equal">
      <formula>0</formula>
    </cfRule>
  </conditionalFormatting>
  <conditionalFormatting sqref="AC8:AO19">
    <cfRule type="cellIs" dxfId="105" priority="96" stopIfTrue="1" operator="equal">
      <formula>0</formula>
    </cfRule>
  </conditionalFormatting>
  <conditionalFormatting sqref="AC20:AO29">
    <cfRule type="cellIs" dxfId="104" priority="97" stopIfTrue="1" operator="equal">
      <formula>0</formula>
    </cfRule>
  </conditionalFormatting>
  <conditionalFormatting sqref="S6">
    <cfRule type="cellIs" dxfId="103" priority="93" operator="equal">
      <formula>"Projected"</formula>
    </cfRule>
    <cfRule type="cellIs" dxfId="102" priority="94" operator="equal">
      <formula>"Budget"</formula>
    </cfRule>
    <cfRule type="cellIs" dxfId="101" priority="95" operator="equal">
      <formula>"Actual"</formula>
    </cfRule>
  </conditionalFormatting>
  <conditionalFormatting sqref="T6">
    <cfRule type="cellIs" dxfId="100" priority="90" operator="equal">
      <formula>"Projected"</formula>
    </cfRule>
    <cfRule type="cellIs" dxfId="99" priority="91" operator="equal">
      <formula>"Budget"</formula>
    </cfRule>
    <cfRule type="cellIs" dxfId="98" priority="92" operator="equal">
      <formula>"Actual"</formula>
    </cfRule>
  </conditionalFormatting>
  <conditionalFormatting sqref="X6">
    <cfRule type="cellIs" dxfId="97" priority="87" operator="equal">
      <formula>"Projected"</formula>
    </cfRule>
    <cfRule type="cellIs" dxfId="96" priority="88" operator="equal">
      <formula>"Budget"</formula>
    </cfRule>
    <cfRule type="cellIs" dxfId="95" priority="89" operator="equal">
      <formula>"Actual"</formula>
    </cfRule>
  </conditionalFormatting>
  <conditionalFormatting sqref="U6:W6">
    <cfRule type="cellIs" dxfId="94" priority="84" operator="equal">
      <formula>"Projected"</formula>
    </cfRule>
    <cfRule type="cellIs" dxfId="93" priority="85" operator="equal">
      <formula>"Budget"</formula>
    </cfRule>
    <cfRule type="cellIs" dxfId="92" priority="86" operator="equal">
      <formula>"Actual"</formula>
    </cfRule>
  </conditionalFormatting>
  <conditionalFormatting sqref="J6">
    <cfRule type="cellIs" dxfId="91" priority="81" operator="equal">
      <formula>"Projected"</formula>
    </cfRule>
    <cfRule type="cellIs" dxfId="90" priority="82" operator="equal">
      <formula>"Budget"</formula>
    </cfRule>
    <cfRule type="cellIs" dxfId="89" priority="83" operator="equal">
      <formula>"Actual"</formula>
    </cfRule>
  </conditionalFormatting>
  <conditionalFormatting sqref="I6">
    <cfRule type="cellIs" dxfId="88" priority="78" operator="equal">
      <formula>"Projected"</formula>
    </cfRule>
    <cfRule type="cellIs" dxfId="87" priority="79" operator="equal">
      <formula>"Budget"</formula>
    </cfRule>
    <cfRule type="cellIs" dxfId="86" priority="80" operator="equal">
      <formula>"Actual"</formula>
    </cfRule>
  </conditionalFormatting>
  <conditionalFormatting sqref="K199">
    <cfRule type="cellIs" dxfId="85" priority="77" operator="equal">
      <formula>"MS"</formula>
    </cfRule>
  </conditionalFormatting>
  <conditionalFormatting sqref="K199">
    <cfRule type="cellIs" dxfId="84" priority="76" operator="equal">
      <formula>"DNMS"</formula>
    </cfRule>
  </conditionalFormatting>
  <conditionalFormatting sqref="K199">
    <cfRule type="cellIs" dxfId="83" priority="75" operator="equal">
      <formula>"FFBS"</formula>
    </cfRule>
  </conditionalFormatting>
  <conditionalFormatting sqref="K199">
    <cfRule type="cellIs" dxfId="82" priority="74" operator="equal">
      <formula>"MS"</formula>
    </cfRule>
  </conditionalFormatting>
  <conditionalFormatting sqref="K199">
    <cfRule type="cellIs" dxfId="81" priority="73" operator="equal">
      <formula>"DNMS"</formula>
    </cfRule>
  </conditionalFormatting>
  <conditionalFormatting sqref="K199">
    <cfRule type="cellIs" dxfId="80" priority="72" operator="equal">
      <formula>"FFBS"</formula>
    </cfRule>
  </conditionalFormatting>
  <conditionalFormatting sqref="K198">
    <cfRule type="cellIs" dxfId="79" priority="70" operator="equal">
      <formula>"Neg"</formula>
    </cfRule>
    <cfRule type="cellIs" dxfId="78" priority="71" operator="equal">
      <formula>"Pos Chg"</formula>
    </cfRule>
  </conditionalFormatting>
  <conditionalFormatting sqref="L199">
    <cfRule type="cellIs" dxfId="77" priority="69" operator="equal">
      <formula>"MS"</formula>
    </cfRule>
  </conditionalFormatting>
  <conditionalFormatting sqref="L199">
    <cfRule type="cellIs" dxfId="76" priority="68" operator="equal">
      <formula>"DNMS"</formula>
    </cfRule>
  </conditionalFormatting>
  <conditionalFormatting sqref="L199">
    <cfRule type="cellIs" dxfId="75" priority="67" operator="equal">
      <formula>"FFBS"</formula>
    </cfRule>
  </conditionalFormatting>
  <conditionalFormatting sqref="L199">
    <cfRule type="cellIs" dxfId="74" priority="66" operator="equal">
      <formula>"MS"</formula>
    </cfRule>
  </conditionalFormatting>
  <conditionalFormatting sqref="L199">
    <cfRule type="cellIs" dxfId="73" priority="65" operator="equal">
      <formula>"DNMS"</formula>
    </cfRule>
  </conditionalFormatting>
  <conditionalFormatting sqref="L199">
    <cfRule type="cellIs" dxfId="72" priority="64" operator="equal">
      <formula>"FFBS"</formula>
    </cfRule>
  </conditionalFormatting>
  <conditionalFormatting sqref="L198">
    <cfRule type="cellIs" dxfId="71" priority="62" operator="equal">
      <formula>"Neg"</formula>
    </cfRule>
    <cfRule type="cellIs" dxfId="70" priority="63" operator="equal">
      <formula>"Pos Chg"</formula>
    </cfRule>
  </conditionalFormatting>
  <conditionalFormatting sqref="M199">
    <cfRule type="cellIs" dxfId="69" priority="61" operator="equal">
      <formula>"MS"</formula>
    </cfRule>
  </conditionalFormatting>
  <conditionalFormatting sqref="M199">
    <cfRule type="cellIs" dxfId="68" priority="60" operator="equal">
      <formula>"DNMS"</formula>
    </cfRule>
  </conditionalFormatting>
  <conditionalFormatting sqref="M199">
    <cfRule type="cellIs" dxfId="67" priority="59" operator="equal">
      <formula>"FFBS"</formula>
    </cfRule>
  </conditionalFormatting>
  <conditionalFormatting sqref="M199">
    <cfRule type="cellIs" dxfId="66" priority="58" operator="equal">
      <formula>"MS"</formula>
    </cfRule>
  </conditionalFormatting>
  <conditionalFormatting sqref="M199">
    <cfRule type="cellIs" dxfId="65" priority="57" operator="equal">
      <formula>"DNMS"</formula>
    </cfRule>
  </conditionalFormatting>
  <conditionalFormatting sqref="M199">
    <cfRule type="cellIs" dxfId="64" priority="56" operator="equal">
      <formula>"FFBS"</formula>
    </cfRule>
  </conditionalFormatting>
  <conditionalFormatting sqref="M198">
    <cfRule type="cellIs" dxfId="63" priority="54" operator="equal">
      <formula>"Neg"</formula>
    </cfRule>
    <cfRule type="cellIs" dxfId="62" priority="55" operator="equal">
      <formula>"Pos Chg"</formula>
    </cfRule>
  </conditionalFormatting>
  <conditionalFormatting sqref="N199">
    <cfRule type="cellIs" dxfId="61" priority="53" operator="equal">
      <formula>"MS"</formula>
    </cfRule>
  </conditionalFormatting>
  <conditionalFormatting sqref="N199">
    <cfRule type="cellIs" dxfId="60" priority="52" operator="equal">
      <formula>"DNMS"</formula>
    </cfRule>
  </conditionalFormatting>
  <conditionalFormatting sqref="N199">
    <cfRule type="cellIs" dxfId="59" priority="51" operator="equal">
      <formula>"FFBS"</formula>
    </cfRule>
  </conditionalFormatting>
  <conditionalFormatting sqref="N199">
    <cfRule type="cellIs" dxfId="58" priority="50" operator="equal">
      <formula>"MS"</formula>
    </cfRule>
  </conditionalFormatting>
  <conditionalFormatting sqref="N199">
    <cfRule type="cellIs" dxfId="57" priority="49" operator="equal">
      <formula>"DNMS"</formula>
    </cfRule>
  </conditionalFormatting>
  <conditionalFormatting sqref="N199">
    <cfRule type="cellIs" dxfId="56" priority="48" operator="equal">
      <formula>"FFBS"</formula>
    </cfRule>
  </conditionalFormatting>
  <conditionalFormatting sqref="N198">
    <cfRule type="cellIs" dxfId="55" priority="46" operator="equal">
      <formula>"Neg"</formula>
    </cfRule>
    <cfRule type="cellIs" dxfId="54" priority="47" operator="equal">
      <formula>"Pos Chg"</formula>
    </cfRule>
  </conditionalFormatting>
  <conditionalFormatting sqref="K212:N212">
    <cfRule type="cellIs" dxfId="53" priority="44" operator="equal">
      <formula>"Neg"</formula>
    </cfRule>
    <cfRule type="cellIs" dxfId="52" priority="45" operator="equal">
      <formula>"Pos Chg"</formula>
    </cfRule>
  </conditionalFormatting>
  <conditionalFormatting sqref="K213:N213">
    <cfRule type="cellIs" dxfId="51" priority="40" operator="equal">
      <formula>"n/a"</formula>
    </cfRule>
    <cfRule type="cellIs" dxfId="50" priority="43" operator="equal">
      <formula>"MS"</formula>
    </cfRule>
  </conditionalFormatting>
  <conditionalFormatting sqref="K213:N213">
    <cfRule type="cellIs" dxfId="49" priority="42" operator="equal">
      <formula>"DNMS"</formula>
    </cfRule>
  </conditionalFormatting>
  <conditionalFormatting sqref="K213:N213">
    <cfRule type="cellIs" dxfId="48" priority="41" operator="equal">
      <formula>"FFBS"</formula>
    </cfRule>
  </conditionalFormatting>
  <conditionalFormatting sqref="K227:N227">
    <cfRule type="cellIs" dxfId="47" priority="38" operator="equal">
      <formula>"Neg"</formula>
    </cfRule>
    <cfRule type="cellIs" dxfId="46" priority="39" operator="equal">
      <formula>"Pos Chg"</formula>
    </cfRule>
  </conditionalFormatting>
  <conditionalFormatting sqref="K228:N228">
    <cfRule type="cellIs" dxfId="45" priority="34" operator="equal">
      <formula>"n/a"</formula>
    </cfRule>
    <cfRule type="cellIs" dxfId="44" priority="37" operator="equal">
      <formula>"MS"</formula>
    </cfRule>
  </conditionalFormatting>
  <conditionalFormatting sqref="K228:N228">
    <cfRule type="cellIs" dxfId="43" priority="36" operator="equal">
      <formula>"DNMS"</formula>
    </cfRule>
  </conditionalFormatting>
  <conditionalFormatting sqref="K228:N228">
    <cfRule type="cellIs" dxfId="42" priority="35" operator="equal">
      <formula>"FFBS"</formula>
    </cfRule>
  </conditionalFormatting>
  <conditionalFormatting sqref="K316:N316">
    <cfRule type="cellIs" dxfId="41" priority="33" operator="equal">
      <formula>"MS"</formula>
    </cfRule>
  </conditionalFormatting>
  <conditionalFormatting sqref="K316:N316">
    <cfRule type="cellIs" dxfId="40" priority="32" operator="equal">
      <formula>"DNMS"</formula>
    </cfRule>
  </conditionalFormatting>
  <conditionalFormatting sqref="K316:N316">
    <cfRule type="cellIs" dxfId="39" priority="31" operator="equal">
      <formula>"FFBS"</formula>
    </cfRule>
  </conditionalFormatting>
  <conditionalFormatting sqref="K315:N315">
    <cfRule type="cellIs" dxfId="38" priority="29" operator="equal">
      <formula>"Neg Chg"</formula>
    </cfRule>
    <cfRule type="cellIs" dxfId="37" priority="30" operator="equal">
      <formula>"Pos Chg"</formula>
    </cfRule>
  </conditionalFormatting>
  <conditionalFormatting sqref="K316:N316">
    <cfRule type="cellIs" dxfId="36" priority="28" operator="equal">
      <formula>0</formula>
    </cfRule>
  </conditionalFormatting>
  <conditionalFormatting sqref="I380:N380">
    <cfRule type="expression" dxfId="35" priority="26" stopIfTrue="1">
      <formula>MOD(ROW(),2)=0</formula>
    </cfRule>
  </conditionalFormatting>
  <conditionalFormatting sqref="I380:N380">
    <cfRule type="expression" dxfId="34" priority="27" stopIfTrue="1">
      <formula>MOD(COLUMN(),2)=0</formula>
    </cfRule>
  </conditionalFormatting>
  <conditionalFormatting sqref="E252:N252">
    <cfRule type="cellIs" dxfId="33" priority="25" operator="equal">
      <formula>"MS"</formula>
    </cfRule>
  </conditionalFormatting>
  <conditionalFormatting sqref="E252:N252">
    <cfRule type="cellIs" dxfId="32" priority="24" operator="equal">
      <formula>"DNMS"</formula>
    </cfRule>
  </conditionalFormatting>
  <conditionalFormatting sqref="E252:N252">
    <cfRule type="cellIs" dxfId="31" priority="23" operator="equal">
      <formula>"FFBS"</formula>
    </cfRule>
  </conditionalFormatting>
  <conditionalFormatting sqref="E260:N260">
    <cfRule type="cellIs" dxfId="30" priority="22" operator="equal">
      <formula>"MS"</formula>
    </cfRule>
  </conditionalFormatting>
  <conditionalFormatting sqref="E260:N260">
    <cfRule type="cellIs" dxfId="29" priority="21" operator="equal">
      <formula>"DNMS"</formula>
    </cfRule>
  </conditionalFormatting>
  <conditionalFormatting sqref="E260:N260">
    <cfRule type="cellIs" dxfId="28" priority="20" operator="equal">
      <formula>"FFBS"</formula>
    </cfRule>
  </conditionalFormatting>
  <conditionalFormatting sqref="E268:N268">
    <cfRule type="cellIs" dxfId="27" priority="19" operator="equal">
      <formula>"MS"</formula>
    </cfRule>
  </conditionalFormatting>
  <conditionalFormatting sqref="E268:N268">
    <cfRule type="cellIs" dxfId="26" priority="18" operator="equal">
      <formula>"DNMS"</formula>
    </cfRule>
  </conditionalFormatting>
  <conditionalFormatting sqref="E268:N268">
    <cfRule type="cellIs" dxfId="25" priority="17" operator="equal">
      <formula>"FFBS"</formula>
    </cfRule>
  </conditionalFormatting>
  <conditionalFormatting sqref="H6">
    <cfRule type="cellIs" dxfId="24" priority="14" operator="equal">
      <formula>"Projected"</formula>
    </cfRule>
    <cfRule type="cellIs" dxfId="23" priority="15" operator="equal">
      <formula>"Budget"</formula>
    </cfRule>
    <cfRule type="cellIs" dxfId="22" priority="16" operator="equal">
      <formula>"Actual"</formula>
    </cfRule>
  </conditionalFormatting>
  <conditionalFormatting sqref="G6">
    <cfRule type="cellIs" dxfId="21" priority="11" operator="equal">
      <formula>"Projected"</formula>
    </cfRule>
    <cfRule type="cellIs" dxfId="20" priority="12" operator="equal">
      <formula>"Budget"</formula>
    </cfRule>
    <cfRule type="cellIs" dxfId="19" priority="13" operator="equal">
      <formula>"Actual"</formula>
    </cfRule>
  </conditionalFormatting>
  <conditionalFormatting sqref="F6">
    <cfRule type="cellIs" dxfId="18" priority="8" operator="equal">
      <formula>"Projected"</formula>
    </cfRule>
    <cfRule type="cellIs" dxfId="17" priority="9" operator="equal">
      <formula>"Budget"</formula>
    </cfRule>
    <cfRule type="cellIs" dxfId="16" priority="10" operator="equal">
      <formula>"Actual"</formula>
    </cfRule>
  </conditionalFormatting>
  <conditionalFormatting sqref="E6">
    <cfRule type="cellIs" dxfId="15" priority="5" operator="equal">
      <formula>"Projected"</formula>
    </cfRule>
    <cfRule type="cellIs" dxfId="14" priority="6" operator="equal">
      <formula>"Budget"</formula>
    </cfRule>
    <cfRule type="cellIs" dxfId="13" priority="7" operator="equal">
      <formula>"Actual"</formula>
    </cfRule>
  </conditionalFormatting>
  <conditionalFormatting sqref="AC46:AO46">
    <cfRule type="cellIs" dxfId="12" priority="4" stopIfTrue="1" operator="equal">
      <formula>0</formula>
    </cfRule>
  </conditionalFormatting>
  <conditionalFormatting sqref="AC47:AO47">
    <cfRule type="cellIs" dxfId="11" priority="3" stopIfTrue="1" operator="equal">
      <formula>0</formula>
    </cfRule>
  </conditionalFormatting>
  <conditionalFormatting sqref="AC72:AO73">
    <cfRule type="cellIs" dxfId="10" priority="2" stopIfTrue="1" operator="equal">
      <formula>0</formula>
    </cfRule>
  </conditionalFormatting>
  <conditionalFormatting sqref="AC166:AO166">
    <cfRule type="cellIs" dxfId="9" priority="1" stopIfTrue="1" operator="equal">
      <formula>0</formula>
    </cfRule>
  </conditionalFormatting>
  <dataValidations count="4">
    <dataValidation type="list" showInputMessage="1" showErrorMessage="1" sqref="E101:N101" xr:uid="{3A19CDE7-DA74-4A91-92D9-E19705DE4CE3}">
      <formula1>"Unqualified, Qualified,  Adverse, Disclaimer"</formula1>
    </dataValidation>
    <dataValidation type="list" allowBlank="1" showInputMessage="1" showErrorMessage="1" sqref="E8:G8" xr:uid="{802C516D-D47D-4148-A8A4-26F258B47629}">
      <formula1>School_List</formula1>
    </dataValidation>
    <dataValidation type="list" showInputMessage="1" showErrorMessage="1" sqref="E274:O275 E99:N100 E102:N106" xr:uid="{610EEA9F-9E57-4DAB-A829-903FEABF1502}">
      <formula1>"Yes,No,n/a"</formula1>
    </dataValidation>
    <dataValidation type="list" showInputMessage="1" showErrorMessage="1" sqref="E153:N153" xr:uid="{4E308CAD-CA94-4C0F-8D9D-2306C94A2EFB}">
      <formula1>"Yes,No"</formula1>
    </dataValidation>
  </dataValidations>
  <pageMargins left="0.35" right="0.25" top="0.32" bottom="0.5" header="0.32" footer="0.3"/>
  <pageSetup scale="78" fitToHeight="4" orientation="portrait" cellComments="asDisplayed" r:id="rId1"/>
  <headerFooter alignWithMargins="0">
    <oddFooter>&amp;L&amp;7&amp;D  at &amp;T Mike 702.486.8879&amp;C&amp;7Page &amp;P of &amp;N&amp;R&amp;7&amp;F  &amp;A</oddFooter>
  </headerFooter>
  <rowBreaks count="3" manualBreakCount="3">
    <brk id="92" max="14" man="1"/>
    <brk id="163" max="14" man="1"/>
    <brk id="271" max="14"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33" operator="containsText" id="{F5411755-F3DF-479A-A446-33C045103D7F}">
            <xm:f>NOT(ISERROR(SEARCH("X",F712)))</xm:f>
            <xm:f>"X"</xm:f>
            <x14:dxf>
              <font>
                <color rgb="FF9C6500"/>
              </font>
              <fill>
                <patternFill>
                  <bgColor rgb="FFFFEB9C"/>
                </patternFill>
              </fill>
            </x14:dxf>
          </x14:cfRule>
          <xm:sqref>F712 F714</xm:sqref>
        </x14:conditionalFormatting>
        <x14:conditionalFormatting xmlns:xm="http://schemas.microsoft.com/office/excel/2006/main">
          <x14:cfRule type="containsText" priority="528" operator="containsText" id="{0C976245-DF30-41EE-A231-E22FC886C72A}">
            <xm:f>NOT(ISERROR(SEARCH("X",F666)))</xm:f>
            <xm:f>"X"</xm:f>
            <x14:dxf>
              <font>
                <b/>
                <i val="0"/>
                <color rgb="FF9C6500"/>
              </font>
              <fill>
                <patternFill>
                  <bgColor rgb="FFFFEB9C"/>
                </patternFill>
              </fill>
            </x14:dxf>
          </x14:cfRule>
          <xm:sqref>F666</xm:sqref>
        </x14:conditionalFormatting>
        <x14:conditionalFormatting xmlns:xm="http://schemas.microsoft.com/office/excel/2006/main">
          <x14:cfRule type="containsText" priority="527" operator="containsText" id="{DB097F1D-A981-4AB6-97A0-5D10B15FE700}">
            <xm:f>NOT(ISERROR(SEARCH("X",F667)))</xm:f>
            <xm:f>"X"</xm:f>
            <x14:dxf>
              <font>
                <b/>
                <i val="0"/>
                <color rgb="FF9C6500"/>
              </font>
              <fill>
                <patternFill>
                  <bgColor rgb="FFFFEB9C"/>
                </patternFill>
              </fill>
            </x14:dxf>
          </x14:cfRule>
          <xm:sqref>F667</xm:sqref>
        </x14:conditionalFormatting>
        <x14:conditionalFormatting xmlns:xm="http://schemas.microsoft.com/office/excel/2006/main">
          <x14:cfRule type="containsText" priority="523" operator="containsText" id="{5399A597-29DF-4F5B-B4BB-CE2FEF333210}">
            <xm:f>NOT(ISERROR(SEARCH("X",F689)))</xm:f>
            <xm:f>"X"</xm:f>
            <x14:dxf>
              <font>
                <b/>
                <i val="0"/>
                <color rgb="FF9C6500"/>
              </font>
              <fill>
                <patternFill>
                  <bgColor rgb="FFFFEB9C"/>
                </patternFill>
              </fill>
            </x14:dxf>
          </x14:cfRule>
          <xm:sqref>F689</xm:sqref>
        </x14:conditionalFormatting>
        <x14:conditionalFormatting xmlns:xm="http://schemas.microsoft.com/office/excel/2006/main">
          <x14:cfRule type="containsText" priority="522" operator="containsText" id="{D570A579-EA62-4D17-9CF3-51A59AED6D59}">
            <xm:f>NOT(ISERROR(SEARCH("X",F688)))</xm:f>
            <xm:f>"X"</xm:f>
            <x14:dxf>
              <font>
                <b/>
                <i val="0"/>
                <color rgb="FF9C6500"/>
              </font>
              <fill>
                <patternFill>
                  <bgColor rgb="FFFFEB9C"/>
                </patternFill>
              </fill>
            </x14:dxf>
          </x14:cfRule>
          <xm:sqref>F688</xm:sqref>
        </x14:conditionalFormatting>
        <x14:conditionalFormatting xmlns:xm="http://schemas.microsoft.com/office/excel/2006/main">
          <x14:cfRule type="containsText" priority="517" operator="containsText" id="{48E9C70F-DC73-4C91-8633-9A25BAF77FFC}">
            <xm:f>NOT(ISERROR(SEARCH("X",F781)))</xm:f>
            <xm:f>"X"</xm:f>
            <x14:dxf>
              <font>
                <b/>
                <i val="0"/>
                <color rgb="FF9C6500"/>
              </font>
              <fill>
                <patternFill>
                  <bgColor rgb="FFFFEB9C"/>
                </patternFill>
              </fill>
            </x14:dxf>
          </x14:cfRule>
          <xm:sqref>F781</xm:sqref>
        </x14:conditionalFormatting>
        <x14:conditionalFormatting xmlns:xm="http://schemas.microsoft.com/office/excel/2006/main">
          <x14:cfRule type="containsText" priority="514" operator="containsText" id="{A206812C-22A5-4859-94DB-D23864419F62}">
            <xm:f>NOT(ISERROR(SEARCH("X",F802)))</xm:f>
            <xm:f>"X"</xm:f>
            <x14:dxf>
              <font>
                <b/>
                <i val="0"/>
                <color rgb="FF9C6500"/>
              </font>
              <fill>
                <patternFill>
                  <bgColor rgb="FFFFEB9C"/>
                </patternFill>
              </fill>
            </x14:dxf>
          </x14:cfRule>
          <xm:sqref>F802</xm:sqref>
        </x14:conditionalFormatting>
        <x14:conditionalFormatting xmlns:xm="http://schemas.microsoft.com/office/excel/2006/main">
          <x14:cfRule type="containsText" priority="512" operator="containsText" id="{D9F1649B-0936-4984-A21F-CAF2699858D2}">
            <xm:f>NOT(ISERROR(SEARCH("X",F823)))</xm:f>
            <xm:f>"X"</xm:f>
            <x14:dxf>
              <font>
                <b/>
                <i val="0"/>
                <color rgb="FF9C6500"/>
              </font>
              <fill>
                <patternFill>
                  <bgColor rgb="FFFFEB9C"/>
                </patternFill>
              </fill>
            </x14:dxf>
          </x14:cfRule>
          <xm:sqref>F823</xm:sqref>
        </x14:conditionalFormatting>
        <x14:conditionalFormatting xmlns:xm="http://schemas.microsoft.com/office/excel/2006/main">
          <x14:cfRule type="containsText" priority="509" operator="containsText" id="{19753132-1934-4D8D-BA37-99EF6792829A}">
            <xm:f>NOT(ISERROR(SEARCH("X",F758)))</xm:f>
            <xm:f>"X"</xm:f>
            <x14:dxf>
              <font>
                <b/>
                <i val="0"/>
                <color rgb="FF9C6500"/>
              </font>
              <fill>
                <patternFill>
                  <bgColor rgb="FFFFEB9C"/>
                </patternFill>
              </fill>
            </x14:dxf>
          </x14:cfRule>
          <xm:sqref>F758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55338-B7CD-4126-B245-F298DB5C0541}">
  <sheetPr codeName="Sheet23">
    <tabColor theme="3" tint="0.59999389629810485"/>
  </sheetPr>
  <dimension ref="A1:S34"/>
  <sheetViews>
    <sheetView showGridLines="0" zoomScale="115" zoomScaleNormal="115" zoomScaleSheetLayoutView="115" workbookViewId="0">
      <selection activeCell="A5" sqref="A5"/>
    </sheetView>
  </sheetViews>
  <sheetFormatPr defaultRowHeight="15.6"/>
  <cols>
    <col min="1" max="1" width="6.33203125" style="126" customWidth="1"/>
    <col min="2" max="2" width="31.6640625" style="126" customWidth="1"/>
    <col min="3" max="4" width="11.109375" style="126" bestFit="1" customWidth="1"/>
    <col min="10" max="10" width="14.6640625" customWidth="1"/>
    <col min="11" max="11" width="2.33203125" customWidth="1"/>
    <col min="12" max="12" width="4.88671875" customWidth="1"/>
    <col min="13" max="13" width="47.6640625" style="1616" customWidth="1"/>
  </cols>
  <sheetData>
    <row r="1" spans="1:19">
      <c r="A1" s="21" t="s">
        <v>90</v>
      </c>
      <c r="B1" s="21"/>
      <c r="C1" s="21"/>
      <c r="D1" s="21"/>
      <c r="E1" s="21"/>
      <c r="F1" s="21"/>
    </row>
    <row r="2" spans="1:19">
      <c r="A2" s="22" t="str">
        <f>SchoolName</f>
        <v>Eagle Charter Schools of Nevada</v>
      </c>
      <c r="B2" s="22"/>
      <c r="C2" s="22"/>
      <c r="D2" s="22"/>
      <c r="E2" s="128"/>
      <c r="F2" s="128"/>
    </row>
    <row r="3" spans="1:19" ht="14.4">
      <c r="A3" s="388" t="s">
        <v>1</v>
      </c>
      <c r="B3" s="388"/>
      <c r="C3" s="388"/>
      <c r="D3" s="388"/>
    </row>
    <row r="4" spans="1:19" ht="14.4">
      <c r="A4" s="389" t="str">
        <f ca="1">CELL("filename")</f>
        <v>C:\Users\Nicho\Desktop\[Attachment 2.  Eagle NV RFA 12.16.22.xlsx]CF Y1 Mo</v>
      </c>
      <c r="B4" s="389"/>
      <c r="C4" s="389"/>
      <c r="D4" s="389"/>
    </row>
    <row r="5" spans="1:19">
      <c r="A5" s="1534" t="s">
        <v>1360</v>
      </c>
    </row>
    <row r="6" spans="1:19">
      <c r="C6" s="1609" t="s">
        <v>91</v>
      </c>
      <c r="D6" s="1609" t="s">
        <v>91</v>
      </c>
      <c r="E6" s="35"/>
      <c r="F6" s="35"/>
    </row>
    <row r="7" spans="1:19">
      <c r="B7" s="433"/>
      <c r="C7" s="1610" t="s">
        <v>92</v>
      </c>
      <c r="D7" s="1610" t="s">
        <v>93</v>
      </c>
      <c r="E7" s="732" t="s">
        <v>94</v>
      </c>
      <c r="F7" s="65"/>
      <c r="G7" s="434"/>
      <c r="H7" s="434"/>
      <c r="I7" s="434"/>
      <c r="J7" s="434"/>
      <c r="M7" s="1615" t="s">
        <v>95</v>
      </c>
    </row>
    <row r="8" spans="1:19" ht="18.600000000000001" customHeight="1">
      <c r="B8" s="1534" t="s">
        <v>1359</v>
      </c>
      <c r="C8" s="1593" t="s">
        <v>1452</v>
      </c>
      <c r="F8" s="431"/>
      <c r="G8" s="431"/>
      <c r="H8" s="431"/>
      <c r="I8" s="432"/>
      <c r="J8" s="432"/>
      <c r="M8" s="731"/>
      <c r="S8" s="481"/>
    </row>
    <row r="9" spans="1:19" ht="18.600000000000001" customHeight="1">
      <c r="A9" s="1589">
        <f>ROW()-8</f>
        <v>1</v>
      </c>
      <c r="B9" s="1805" t="s">
        <v>1449</v>
      </c>
      <c r="C9" s="1440"/>
      <c r="D9" s="1440"/>
      <c r="E9" s="1592" t="s">
        <v>1450</v>
      </c>
      <c r="F9" s="1590"/>
      <c r="G9" s="1590"/>
      <c r="H9" s="1590"/>
      <c r="I9" s="1591"/>
      <c r="J9" s="1591"/>
      <c r="M9" s="731"/>
      <c r="S9" s="481"/>
    </row>
    <row r="10" spans="1:19" ht="18.600000000000001" customHeight="1">
      <c r="A10" s="1589">
        <f t="shared" ref="A10:A27" si="0">ROW()-8</f>
        <v>2</v>
      </c>
      <c r="B10" s="1806" t="s">
        <v>1433</v>
      </c>
      <c r="C10" s="1440"/>
      <c r="D10" s="1440"/>
      <c r="E10" s="386" t="s">
        <v>97</v>
      </c>
      <c r="F10" s="74"/>
      <c r="G10" s="74"/>
      <c r="H10" s="74"/>
      <c r="I10" s="387"/>
      <c r="J10" s="387"/>
      <c r="L10" s="986"/>
      <c r="M10" s="731" t="s">
        <v>98</v>
      </c>
      <c r="S10" s="481"/>
    </row>
    <row r="11" spans="1:19" ht="18.600000000000001" customHeight="1">
      <c r="A11" s="1589">
        <f t="shared" si="0"/>
        <v>3</v>
      </c>
      <c r="B11" s="1806" t="s">
        <v>1434</v>
      </c>
      <c r="C11" s="1440"/>
      <c r="D11" s="1440"/>
      <c r="E11" s="412"/>
      <c r="G11" s="74"/>
      <c r="H11" s="74"/>
      <c r="I11" s="387"/>
      <c r="J11" s="387"/>
      <c r="M11" s="731"/>
      <c r="S11" s="481"/>
    </row>
    <row r="12" spans="1:19" ht="18.600000000000001" customHeight="1">
      <c r="A12" s="1589">
        <f t="shared" si="0"/>
        <v>4</v>
      </c>
      <c r="B12" s="1806" t="s">
        <v>1441</v>
      </c>
      <c r="C12" s="1440"/>
      <c r="D12" s="1440"/>
      <c r="E12" s="386" t="s">
        <v>99</v>
      </c>
      <c r="F12" s="74"/>
      <c r="G12" s="74"/>
      <c r="H12" s="74"/>
      <c r="I12" s="387"/>
      <c r="J12" s="387"/>
      <c r="M12" s="731"/>
      <c r="S12" s="481"/>
    </row>
    <row r="13" spans="1:19" ht="18.600000000000001" customHeight="1">
      <c r="A13" s="1589">
        <f t="shared" si="0"/>
        <v>5</v>
      </c>
      <c r="B13" s="1806" t="s">
        <v>1440</v>
      </c>
      <c r="C13" s="1440"/>
      <c r="D13" s="1440"/>
      <c r="E13" s="386" t="s">
        <v>100</v>
      </c>
      <c r="F13" s="74"/>
      <c r="G13" s="74"/>
      <c r="H13" s="74"/>
      <c r="I13" s="387"/>
      <c r="J13" s="387"/>
      <c r="M13" s="731"/>
      <c r="S13" s="481"/>
    </row>
    <row r="14" spans="1:19" ht="18.600000000000001" customHeight="1">
      <c r="A14" s="1589">
        <f t="shared" si="0"/>
        <v>6</v>
      </c>
      <c r="B14" s="1806" t="s">
        <v>818</v>
      </c>
      <c r="C14" s="1440"/>
      <c r="D14" s="1440"/>
      <c r="E14" s="386" t="s">
        <v>101</v>
      </c>
      <c r="F14" s="74"/>
      <c r="G14" s="74"/>
      <c r="H14" s="74"/>
      <c r="I14" s="387"/>
      <c r="J14" s="387"/>
      <c r="M14" s="731"/>
      <c r="S14" s="481"/>
    </row>
    <row r="15" spans="1:19" ht="18.600000000000001" customHeight="1">
      <c r="A15" s="1589">
        <f t="shared" si="0"/>
        <v>7</v>
      </c>
      <c r="B15" s="1806" t="s">
        <v>241</v>
      </c>
      <c r="C15" s="1440"/>
      <c r="D15" s="1440"/>
      <c r="E15" s="386" t="s">
        <v>103</v>
      </c>
      <c r="F15" s="74"/>
      <c r="G15" s="74"/>
      <c r="H15" s="74"/>
      <c r="I15" s="387"/>
      <c r="J15" s="387"/>
      <c r="M15" s="731"/>
      <c r="S15" s="481"/>
    </row>
    <row r="16" spans="1:19" ht="18.600000000000001" customHeight="1">
      <c r="A16" s="1589">
        <f t="shared" si="0"/>
        <v>8</v>
      </c>
      <c r="B16" s="1806" t="s">
        <v>1431</v>
      </c>
      <c r="C16" s="1440"/>
      <c r="D16" s="1440"/>
      <c r="E16" s="386" t="s">
        <v>104</v>
      </c>
      <c r="F16" s="74"/>
      <c r="G16" s="74"/>
      <c r="H16" s="74"/>
      <c r="I16" s="387"/>
      <c r="J16" s="387"/>
      <c r="M16" s="731"/>
      <c r="S16" s="481"/>
    </row>
    <row r="17" spans="1:19" ht="18.600000000000001" customHeight="1">
      <c r="A17" s="1589">
        <f t="shared" si="0"/>
        <v>9</v>
      </c>
      <c r="B17" s="1806" t="s">
        <v>102</v>
      </c>
      <c r="C17" s="1440"/>
      <c r="D17" s="1440"/>
      <c r="E17" s="386" t="s">
        <v>106</v>
      </c>
      <c r="F17" s="74"/>
      <c r="G17" s="74"/>
      <c r="H17" s="74"/>
      <c r="I17" s="387"/>
      <c r="J17" s="387"/>
      <c r="M17" s="731"/>
      <c r="S17" s="481"/>
    </row>
    <row r="18" spans="1:19" ht="31.95" customHeight="1">
      <c r="A18" s="1589">
        <f t="shared" si="0"/>
        <v>10</v>
      </c>
      <c r="B18" s="1806" t="s">
        <v>105</v>
      </c>
      <c r="C18" s="1440"/>
      <c r="D18" s="1440"/>
      <c r="E18" s="386" t="s">
        <v>108</v>
      </c>
      <c r="F18" s="74"/>
      <c r="G18" s="74"/>
      <c r="H18" s="74"/>
      <c r="I18" s="387"/>
      <c r="J18" s="387"/>
      <c r="M18" s="731"/>
      <c r="S18" s="481"/>
    </row>
    <row r="19" spans="1:19" ht="18.600000000000001" customHeight="1">
      <c r="A19" s="1589">
        <f t="shared" si="0"/>
        <v>11</v>
      </c>
      <c r="B19" s="1806" t="s">
        <v>1435</v>
      </c>
      <c r="C19" s="1440"/>
      <c r="D19" s="1440"/>
      <c r="E19" s="386" t="s">
        <v>109</v>
      </c>
      <c r="F19" s="74"/>
      <c r="G19" s="74"/>
      <c r="H19" s="74"/>
      <c r="I19" s="387"/>
      <c r="J19" s="387"/>
      <c r="M19" s="731"/>
      <c r="S19" s="481"/>
    </row>
    <row r="20" spans="1:19" ht="33.6" customHeight="1">
      <c r="A20" s="1589">
        <f t="shared" si="0"/>
        <v>12</v>
      </c>
      <c r="B20" s="1807" t="s">
        <v>1451</v>
      </c>
      <c r="C20" s="1440"/>
      <c r="D20" s="1440"/>
      <c r="E20" s="386" t="s">
        <v>111</v>
      </c>
      <c r="F20" s="74"/>
      <c r="G20" s="74"/>
      <c r="H20" s="74"/>
      <c r="I20" s="387"/>
      <c r="J20" s="387"/>
      <c r="M20" s="731"/>
      <c r="S20" s="481"/>
    </row>
    <row r="21" spans="1:19" ht="41.4" customHeight="1">
      <c r="A21" s="1589">
        <f t="shared" si="0"/>
        <v>13</v>
      </c>
      <c r="B21" s="1806" t="s">
        <v>149</v>
      </c>
      <c r="C21" s="1440"/>
      <c r="D21" s="1440"/>
      <c r="E21" s="2201" t="s">
        <v>1436</v>
      </c>
      <c r="F21" s="2202"/>
      <c r="G21" s="2202"/>
      <c r="H21" s="2202"/>
      <c r="I21" s="2202"/>
      <c r="J21" s="2202"/>
      <c r="M21" s="731"/>
      <c r="S21" s="481"/>
    </row>
    <row r="22" spans="1:19" ht="18.600000000000001" customHeight="1">
      <c r="A22" s="1589">
        <f t="shared" si="0"/>
        <v>14</v>
      </c>
      <c r="B22" s="1806" t="s">
        <v>110</v>
      </c>
      <c r="C22" s="1440"/>
      <c r="D22" s="1440"/>
      <c r="E22" s="386" t="s">
        <v>113</v>
      </c>
      <c r="F22" s="74"/>
      <c r="G22" s="74"/>
      <c r="H22" s="74"/>
      <c r="I22" s="387"/>
      <c r="J22" s="387"/>
      <c r="M22" s="731"/>
      <c r="S22" s="481"/>
    </row>
    <row r="23" spans="1:19" ht="18.600000000000001" customHeight="1">
      <c r="A23" s="1589">
        <f t="shared" si="0"/>
        <v>15</v>
      </c>
      <c r="B23" s="1806" t="s">
        <v>1437</v>
      </c>
      <c r="C23" s="1440"/>
      <c r="D23" s="1440"/>
      <c r="E23" s="386" t="s">
        <v>114</v>
      </c>
      <c r="F23" s="74"/>
      <c r="G23" s="74"/>
      <c r="H23" s="74"/>
      <c r="I23" s="387"/>
      <c r="J23" s="387"/>
      <c r="M23" s="731"/>
      <c r="S23" s="481"/>
    </row>
    <row r="24" spans="1:19" ht="18.600000000000001" customHeight="1">
      <c r="A24" s="1589">
        <f t="shared" si="0"/>
        <v>16</v>
      </c>
      <c r="B24" s="1806" t="s">
        <v>1438</v>
      </c>
      <c r="C24" s="1439" t="s">
        <v>96</v>
      </c>
      <c r="D24" s="1439" t="s">
        <v>96</v>
      </c>
      <c r="E24" s="386" t="s">
        <v>116</v>
      </c>
      <c r="F24" s="74"/>
      <c r="G24" s="74"/>
      <c r="H24" s="74"/>
      <c r="I24" s="387"/>
      <c r="J24" s="387"/>
      <c r="M24" s="731"/>
      <c r="S24" s="481"/>
    </row>
    <row r="25" spans="1:19" ht="18.600000000000001" customHeight="1">
      <c r="A25" s="1589">
        <f t="shared" si="0"/>
        <v>17</v>
      </c>
      <c r="B25" s="1806" t="s">
        <v>1432</v>
      </c>
      <c r="C25" s="1439" t="s">
        <v>96</v>
      </c>
      <c r="D25" s="1439" t="s">
        <v>96</v>
      </c>
      <c r="E25" s="386" t="s">
        <v>117</v>
      </c>
      <c r="F25" s="74"/>
      <c r="G25" s="74"/>
      <c r="H25" s="74"/>
      <c r="I25" s="387"/>
      <c r="J25" s="387"/>
      <c r="M25" s="731"/>
      <c r="S25" s="481"/>
    </row>
    <row r="26" spans="1:19" ht="18.600000000000001" customHeight="1">
      <c r="A26" s="1589"/>
      <c r="B26" s="1806" t="s">
        <v>1439</v>
      </c>
      <c r="C26" s="1439" t="s">
        <v>96</v>
      </c>
      <c r="D26" s="1439" t="s">
        <v>96</v>
      </c>
      <c r="E26" s="384" t="s">
        <v>1467</v>
      </c>
      <c r="F26" s="35"/>
      <c r="G26" s="35"/>
      <c r="H26" s="35"/>
      <c r="M26" s="731"/>
      <c r="S26" s="481"/>
    </row>
    <row r="27" spans="1:19" ht="18.600000000000001" customHeight="1">
      <c r="A27" s="1589">
        <f t="shared" si="0"/>
        <v>19</v>
      </c>
      <c r="B27" s="1808" t="s">
        <v>1465</v>
      </c>
      <c r="C27" s="1439" t="s">
        <v>96</v>
      </c>
      <c r="D27" s="1439" t="s">
        <v>96</v>
      </c>
      <c r="E27" s="384" t="s">
        <v>1466</v>
      </c>
      <c r="F27" s="35"/>
      <c r="G27" s="35"/>
      <c r="H27" s="35"/>
      <c r="M27" s="731"/>
      <c r="S27" s="481"/>
    </row>
    <row r="28" spans="1:19" ht="18.600000000000001" customHeight="1">
      <c r="B28" s="1501" t="s">
        <v>1264</v>
      </c>
      <c r="C28" s="382"/>
      <c r="D28" s="382"/>
      <c r="S28" s="481"/>
    </row>
    <row r="29" spans="1:19" ht="18.600000000000001" customHeight="1">
      <c r="A29" s="382"/>
      <c r="C29" s="382"/>
      <c r="D29" s="382"/>
      <c r="S29" s="481"/>
    </row>
    <row r="30" spans="1:19" ht="18.600000000000001" customHeight="1">
      <c r="A30" s="383"/>
      <c r="B30" s="383"/>
      <c r="C30" s="383"/>
      <c r="D30" s="383"/>
      <c r="S30" s="481"/>
    </row>
    <row r="31" spans="1:19">
      <c r="S31" s="481"/>
    </row>
    <row r="32" spans="1:19">
      <c r="S32" s="481"/>
    </row>
    <row r="33" spans="19:19">
      <c r="S33" s="481"/>
    </row>
    <row r="34" spans="19:19">
      <c r="S34" s="481"/>
    </row>
  </sheetData>
  <sheetProtection algorithmName="SHA-512" hashValue="8rtmF5quoR5bX467BsoxA8istwM+tXx9YdFNfhvKv3FqrOJZC7ZBRH3pyE6qBqPmc5ufuUtsG+h3JuIjzuXO9Q==" saltValue="nPeqazDUk+NJovD+qsoiXA==" spinCount="100000" sheet="1" objects="1" scenarios="1"/>
  <mergeCells count="1">
    <mergeCell ref="E21:J21"/>
  </mergeCells>
  <conditionalFormatting sqref="L10">
    <cfRule type="cellIs" dxfId="657" priority="23" stopIfTrue="1" operator="equal">
      <formula>0</formula>
    </cfRule>
  </conditionalFormatting>
  <conditionalFormatting sqref="C24:D27">
    <cfRule type="cellIs" dxfId="656" priority="2" stopIfTrue="1" operator="equal">
      <formula>0</formula>
    </cfRule>
  </conditionalFormatting>
  <conditionalFormatting sqref="C26:D27">
    <cfRule type="cellIs" dxfId="655" priority="1" stopIfTrue="1" operator="equal">
      <formula>0</formula>
    </cfRule>
  </conditionalFormatting>
  <hyperlinks>
    <hyperlink ref="B9" location="HypLink2" display="HypLink2" xr:uid="{7D9162AF-D92F-4248-A12C-14964BF55E7E}"/>
    <hyperlink ref="B10" location="HypLink3" display="HypLink3" xr:uid="{C11764ED-49AF-4E94-A571-79759B2234AE}"/>
    <hyperlink ref="B11" location="HypLink4" display="HypLink4" xr:uid="{4B09F3E1-B185-4D83-BC5E-B5A4BA324C14}"/>
    <hyperlink ref="B12" location="HypLink5" display="HypLink5" xr:uid="{5EA45AA0-68B9-4963-8F26-2254ABCD3FDE}"/>
    <hyperlink ref="B13" location="HypLink6" display="HypLink6" xr:uid="{E820666D-67E6-4027-8755-BBCAE7760EA4}"/>
    <hyperlink ref="B14" location="HypLink7" display="HypLink7" xr:uid="{D6ECF6AC-D9D9-407C-AD68-D2CBB235801A}"/>
    <hyperlink ref="B15" location="HypLink8" display="HypLink8" xr:uid="{84AB94D7-3A28-4F5A-9A78-72B10566006F}"/>
    <hyperlink ref="B16" location="HypLink10" display="HypLink10" xr:uid="{8E51BDB3-FE24-4E50-85F6-CB75AC22527B}"/>
    <hyperlink ref="B17" location="HypLink11" display="HypLink11" xr:uid="{F928B374-250C-46BC-91B6-C98B45D462B1}"/>
    <hyperlink ref="B18" location="HypLink12" display="HypLink12" xr:uid="{A31A44E5-7DB5-4E2C-B3CC-B1E73BEF4831}"/>
    <hyperlink ref="B19" location="HypLink13" display="HypLink13" xr:uid="{C283D8BC-017D-427E-94C8-E3068CD67C45}"/>
    <hyperlink ref="B20" location="HypLink14" display="HypLink14" xr:uid="{F8B30D34-F6C9-4205-A905-9D5C0FA9D88D}"/>
    <hyperlink ref="B21" location="HypLink15" display="HypLink15" xr:uid="{233107C2-460C-42C1-9DE5-77B366FCD5B0}"/>
    <hyperlink ref="B22" location="HypLink16" display="HypLink16" xr:uid="{32F28830-12F5-4931-BF54-D56CB8055B56}"/>
    <hyperlink ref="B23" location="HypLink17" display="HypLink17" xr:uid="{6EDF4990-56F9-4E63-8EFB-8AEF34C592F8}"/>
    <hyperlink ref="B24" location="HypLink18" display="HypLink18" xr:uid="{1E05B101-3450-40A9-843A-4FBF37BE668F}"/>
    <hyperlink ref="B25" location="HypLink19" display="HypLink19" xr:uid="{3EA926C5-B772-4B36-8806-94C49FD0BD72}"/>
    <hyperlink ref="B26" location="HypLink25" display="HypLink25" xr:uid="{650F1845-4B0C-43EF-B863-F9C8B954477D}"/>
    <hyperlink ref="B27" location="HypLink26" display="HypLink26" xr:uid="{2C0D588B-8248-4C3D-8F57-01A90DAC8E36}"/>
  </hyperlinks>
  <pageMargins left="0.25" right="0.25" top="0.5" bottom="0.44999999999999996"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00FF"/>
  </sheetPr>
  <dimension ref="A1:T202"/>
  <sheetViews>
    <sheetView zoomScaleNormal="100" workbookViewId="0">
      <selection activeCell="F24" sqref="F24"/>
    </sheetView>
  </sheetViews>
  <sheetFormatPr defaultColWidth="7.6640625" defaultRowHeight="13.8" outlineLevelRow="1"/>
  <cols>
    <col min="1" max="1" width="4.6640625" style="35" customWidth="1"/>
    <col min="2" max="2" width="32.6640625" style="35" customWidth="1"/>
    <col min="3" max="3" width="16.88671875" style="35" bestFit="1" customWidth="1"/>
    <col min="4" max="4" width="14.5546875" style="35" bestFit="1" customWidth="1"/>
    <col min="5" max="5" width="10.5546875" style="35" bestFit="1" customWidth="1"/>
    <col min="6" max="6" width="13.6640625" style="35" customWidth="1"/>
    <col min="7" max="8" width="13.44140625" style="35" bestFit="1" customWidth="1"/>
    <col min="9" max="12" width="14.5546875" style="35" bestFit="1" customWidth="1"/>
    <col min="13" max="13" width="2.5546875" style="35" customWidth="1"/>
    <col min="14" max="14" width="5.44140625" style="35" customWidth="1"/>
    <col min="15" max="15" width="55.5546875" style="317" customWidth="1"/>
    <col min="16" max="18" width="9.33203125" style="35" customWidth="1"/>
    <col min="19" max="19" width="10.5546875" style="35" bestFit="1" customWidth="1"/>
    <col min="20" max="20" width="11.88671875" style="35" bestFit="1" customWidth="1"/>
    <col min="21" max="16384" width="7.6640625" style="35"/>
  </cols>
  <sheetData>
    <row r="1" spans="1:19" ht="17.399999999999999">
      <c r="A1" s="1522" t="s">
        <v>1441</v>
      </c>
      <c r="B1" s="468"/>
      <c r="C1" s="383"/>
      <c r="D1" s="383"/>
      <c r="E1" s="437" t="s">
        <v>2</v>
      </c>
      <c r="K1" s="38"/>
      <c r="L1" s="437"/>
      <c r="P1" s="35" t="s">
        <v>118</v>
      </c>
      <c r="Q1" s="35" t="s">
        <v>118</v>
      </c>
      <c r="S1" s="97"/>
    </row>
    <row r="2" spans="1:19" ht="15.6">
      <c r="A2" s="121" t="str">
        <f>SchoolName</f>
        <v>Eagle Charter Schools of Nevada</v>
      </c>
      <c r="B2" s="40"/>
      <c r="C2" s="33"/>
      <c r="D2" s="33"/>
      <c r="G2" s="33"/>
      <c r="P2" s="35" t="s">
        <v>118</v>
      </c>
      <c r="Q2" s="35" t="s">
        <v>118</v>
      </c>
    </row>
    <row r="3" spans="1:19">
      <c r="A3" s="41" t="s">
        <v>1</v>
      </c>
      <c r="P3" s="35" t="s">
        <v>118</v>
      </c>
      <c r="Q3" s="35" t="s">
        <v>118</v>
      </c>
    </row>
    <row r="4" spans="1:19">
      <c r="A4" s="32" t="str">
        <f ca="1">CELL("filename")</f>
        <v>C:\Users\Nicho\Desktop\[Attachment 2.  Eagle NV RFA 12.16.22.xlsx]CF Y1 Mo</v>
      </c>
      <c r="P4" s="35" t="s">
        <v>118</v>
      </c>
      <c r="Q4" s="35" t="s">
        <v>118</v>
      </c>
    </row>
    <row r="5" spans="1:19" ht="10.199999999999999" customHeight="1">
      <c r="P5" s="35" t="s">
        <v>118</v>
      </c>
      <c r="Q5" s="35" t="s">
        <v>118</v>
      </c>
    </row>
    <row r="6" spans="1:19">
      <c r="B6" s="33"/>
      <c r="C6" s="34"/>
      <c r="D6" s="34"/>
      <c r="E6" s="34"/>
      <c r="F6" s="1562" t="str">
        <f>' Enrol &amp; Rev'!F9</f>
        <v>SY 0/Incu</v>
      </c>
      <c r="G6" s="760">
        <f>' Enrol &amp; Rev'!G9</f>
        <v>1</v>
      </c>
      <c r="H6" s="760">
        <f>' Enrol &amp; Rev'!H9</f>
        <v>2</v>
      </c>
      <c r="I6" s="760">
        <f>' Enrol &amp; Rev'!I9</f>
        <v>3</v>
      </c>
      <c r="J6" s="760">
        <f>' Enrol &amp; Rev'!J9</f>
        <v>4</v>
      </c>
      <c r="K6" s="760">
        <f>' Enrol &amp; Rev'!K9</f>
        <v>5</v>
      </c>
      <c r="L6" s="1333">
        <f>' Enrol &amp; Rev'!L9</f>
        <v>6</v>
      </c>
      <c r="P6" s="35" t="s">
        <v>118</v>
      </c>
      <c r="Q6" s="35" t="s">
        <v>118</v>
      </c>
    </row>
    <row r="7" spans="1:19">
      <c r="B7" s="33"/>
      <c r="C7" s="34" t="s">
        <v>119</v>
      </c>
      <c r="D7" s="34"/>
      <c r="E7" s="34"/>
      <c r="F7" s="1560">
        <f>' Enrol &amp; Rev'!F10</f>
        <v>2022</v>
      </c>
      <c r="G7" s="762">
        <f>' Enrol &amp; Rev'!G10</f>
        <v>2023</v>
      </c>
      <c r="H7" s="762">
        <f>' Enrol &amp; Rev'!H10</f>
        <v>2024</v>
      </c>
      <c r="I7" s="762">
        <f>' Enrol &amp; Rev'!I10</f>
        <v>2025</v>
      </c>
      <c r="J7" s="762">
        <f>' Enrol &amp; Rev'!J10</f>
        <v>2026</v>
      </c>
      <c r="K7" s="762">
        <f>' Enrol &amp; Rev'!K10</f>
        <v>2027</v>
      </c>
      <c r="L7" s="763">
        <f>' Enrol &amp; Rev'!L10</f>
        <v>2028</v>
      </c>
      <c r="P7" s="35" t="s">
        <v>118</v>
      </c>
      <c r="Q7" s="35" t="s">
        <v>118</v>
      </c>
    </row>
    <row r="8" spans="1:19">
      <c r="B8" s="179"/>
      <c r="C8" s="59"/>
      <c r="D8" s="59"/>
      <c r="E8" s="668"/>
      <c r="F8" s="1561">
        <f>' Enrol &amp; Rev'!F11</f>
        <v>2023</v>
      </c>
      <c r="G8" s="765">
        <f>' Enrol &amp; Rev'!G11</f>
        <v>2024</v>
      </c>
      <c r="H8" s="765">
        <f>' Enrol &amp; Rev'!H11</f>
        <v>2025</v>
      </c>
      <c r="I8" s="765">
        <f>' Enrol &amp; Rev'!I11</f>
        <v>2026</v>
      </c>
      <c r="J8" s="765">
        <f>' Enrol &amp; Rev'!J11</f>
        <v>2027</v>
      </c>
      <c r="K8" s="765">
        <f>' Enrol &amp; Rev'!K11</f>
        <v>2028</v>
      </c>
      <c r="L8" s="766">
        <f>' Enrol &amp; Rev'!L11</f>
        <v>2029</v>
      </c>
      <c r="O8" s="1615" t="s">
        <v>95</v>
      </c>
      <c r="P8" s="35" t="s">
        <v>118</v>
      </c>
      <c r="Q8" s="35" t="s">
        <v>118</v>
      </c>
    </row>
    <row r="9" spans="1:19">
      <c r="A9" s="356">
        <f>ROW()</f>
        <v>9</v>
      </c>
      <c r="B9" s="439" t="s">
        <v>120</v>
      </c>
      <c r="C9" s="753">
        <f>MAX(F9:L9)</f>
        <v>918</v>
      </c>
      <c r="D9" s="700"/>
      <c r="E9" s="34"/>
      <c r="F9" s="146">
        <f>+Statistics!F19</f>
        <v>0</v>
      </c>
      <c r="G9" s="146">
        <f>+Statistics!G19</f>
        <v>540</v>
      </c>
      <c r="H9" s="146">
        <f>+Statistics!H19</f>
        <v>648</v>
      </c>
      <c r="I9" s="146">
        <f>+Statistics!I19</f>
        <v>756</v>
      </c>
      <c r="J9" s="146">
        <f>+Statistics!J19</f>
        <v>864</v>
      </c>
      <c r="K9" s="146">
        <f>+Statistics!K19</f>
        <v>891</v>
      </c>
      <c r="L9" s="146">
        <f>+Statistics!L19</f>
        <v>918</v>
      </c>
      <c r="M9" s="34"/>
      <c r="O9" s="491"/>
      <c r="P9" s="35" t="s">
        <v>118</v>
      </c>
      <c r="Q9" s="35" t="s">
        <v>118</v>
      </c>
    </row>
    <row r="10" spans="1:19">
      <c r="A10" s="356">
        <f>ROW()</f>
        <v>10</v>
      </c>
      <c r="B10" s="440" t="s">
        <v>121</v>
      </c>
      <c r="C10" s="753">
        <f>MAX(F10:L10)</f>
        <v>63</v>
      </c>
      <c r="D10" s="700"/>
      <c r="E10" s="34"/>
      <c r="F10" s="669">
        <f>+Statistics!F20</f>
        <v>0.6</v>
      </c>
      <c r="G10" s="669">
        <f>+Statistics!G20</f>
        <v>36</v>
      </c>
      <c r="H10" s="669">
        <f>+Statistics!H20</f>
        <v>47</v>
      </c>
      <c r="I10" s="669">
        <f>+Statistics!I20</f>
        <v>55</v>
      </c>
      <c r="J10" s="669">
        <f>+Statistics!J20</f>
        <v>60</v>
      </c>
      <c r="K10" s="669">
        <f>+Statistics!K20</f>
        <v>62</v>
      </c>
      <c r="L10" s="669">
        <f>+Statistics!L20</f>
        <v>63</v>
      </c>
      <c r="M10" s="34"/>
      <c r="O10" s="353"/>
      <c r="P10" s="35" t="s">
        <v>118</v>
      </c>
      <c r="Q10" s="35" t="s">
        <v>118</v>
      </c>
    </row>
    <row r="11" spans="1:19">
      <c r="A11" s="356">
        <f>ROW()</f>
        <v>11</v>
      </c>
      <c r="B11" s="440" t="s">
        <v>1239</v>
      </c>
      <c r="C11" s="753"/>
      <c r="D11" s="700"/>
      <c r="E11" s="34"/>
      <c r="F11" s="146">
        <f>+Facilities!F11</f>
        <v>200</v>
      </c>
      <c r="G11" s="146">
        <f>+Facilities!G11</f>
        <v>35000</v>
      </c>
      <c r="H11" s="146">
        <f>+Facilities!H11</f>
        <v>35000</v>
      </c>
      <c r="I11" s="146">
        <f>+Facilities!I11</f>
        <v>38456</v>
      </c>
      <c r="J11" s="146">
        <f>+Facilities!J11</f>
        <v>41912</v>
      </c>
      <c r="K11" s="146">
        <f>+Facilities!K11</f>
        <v>41912</v>
      </c>
      <c r="L11" s="146">
        <f>+Facilities!L11</f>
        <v>41912</v>
      </c>
      <c r="M11" s="34"/>
      <c r="O11" s="983" t="s">
        <v>1487</v>
      </c>
    </row>
    <row r="12" spans="1:19">
      <c r="A12" s="356">
        <f>ROW()</f>
        <v>12</v>
      </c>
      <c r="B12" s="33"/>
      <c r="C12" s="34"/>
      <c r="D12" s="34"/>
      <c r="E12" s="34"/>
      <c r="F12" s="67"/>
      <c r="G12" s="67"/>
      <c r="H12" s="67"/>
      <c r="I12" s="67"/>
      <c r="J12" s="67"/>
      <c r="K12" s="67"/>
      <c r="L12" s="67"/>
      <c r="M12" s="34"/>
      <c r="O12" s="353"/>
      <c r="P12" s="35" t="s">
        <v>118</v>
      </c>
      <c r="Q12" s="35" t="s">
        <v>118</v>
      </c>
    </row>
    <row r="13" spans="1:19" ht="17.399999999999999">
      <c r="A13" s="356">
        <f>ROW()</f>
        <v>13</v>
      </c>
      <c r="B13" s="1018" t="s">
        <v>1388</v>
      </c>
      <c r="C13" s="1019" t="s">
        <v>123</v>
      </c>
      <c r="D13" s="1019" t="s">
        <v>124</v>
      </c>
      <c r="E13" s="1020" t="s">
        <v>125</v>
      </c>
      <c r="F13" s="1021" t="str">
        <f t="shared" ref="F13:L13" si="0">+F6</f>
        <v>SY 0/Incu</v>
      </c>
      <c r="G13" s="1022">
        <f t="shared" si="0"/>
        <v>1</v>
      </c>
      <c r="H13" s="1022">
        <f t="shared" si="0"/>
        <v>2</v>
      </c>
      <c r="I13" s="1022">
        <f t="shared" si="0"/>
        <v>3</v>
      </c>
      <c r="J13" s="1022">
        <f t="shared" si="0"/>
        <v>4</v>
      </c>
      <c r="K13" s="1022">
        <f t="shared" si="0"/>
        <v>5</v>
      </c>
      <c r="L13" s="1022">
        <f t="shared" si="0"/>
        <v>6</v>
      </c>
      <c r="M13" s="106"/>
      <c r="O13" s="353"/>
      <c r="P13" s="35" t="s">
        <v>118</v>
      </c>
      <c r="Q13" s="35" t="s">
        <v>118</v>
      </c>
    </row>
    <row r="14" spans="1:19">
      <c r="A14" s="356">
        <f>ROW()</f>
        <v>14</v>
      </c>
      <c r="B14" s="35" t="s">
        <v>1427</v>
      </c>
      <c r="C14" s="257">
        <f t="shared" ref="C14:C33" si="1">SUM(F14:L14)</f>
        <v>40331685.171404436</v>
      </c>
      <c r="D14" s="257">
        <f t="shared" ref="D14:D33" si="2">AVERAGE(G14:L14)</f>
        <v>6721947.5285674063</v>
      </c>
      <c r="E14" s="442">
        <f t="shared" ref="E14:E34" si="3">IFERROR(+D14/$D$34,0)</f>
        <v>0.79614472469494368</v>
      </c>
      <c r="F14" s="615">
        <f>+' Enrol &amp; Rev'!F114-' Enrol &amp; Rev'!G111</f>
        <v>0</v>
      </c>
      <c r="G14" s="615">
        <f>+' Enrol &amp; Rev'!G114-' Enrol &amp; Rev'!G111</f>
        <v>3938220</v>
      </c>
      <c r="H14" s="615">
        <f>+' Enrol &amp; Rev'!H114-' Enrol &amp; Rev'!H111</f>
        <v>5705816.747358311</v>
      </c>
      <c r="I14" s="615">
        <f>+' Enrol &amp; Rev'!I114-' Enrol &amp; Rev'!I111</f>
        <v>6686300.7208299749</v>
      </c>
      <c r="J14" s="615">
        <f>+' Enrol &amp; Rev'!J114-' Enrol &amp; Rev'!J111</f>
        <v>7666784.6943016369</v>
      </c>
      <c r="K14" s="615">
        <f>+' Enrol &amp; Rev'!K114-' Enrol &amp; Rev'!K111</f>
        <v>8044721.0077732988</v>
      </c>
      <c r="L14" s="615">
        <f>+' Enrol &amp; Rev'!L114-' Enrol &amp; Rev'!L111</f>
        <v>8289842.0011412147</v>
      </c>
      <c r="M14" s="441"/>
      <c r="O14" s="353"/>
      <c r="P14" s="35" t="s">
        <v>118</v>
      </c>
      <c r="Q14" s="35" t="s">
        <v>118</v>
      </c>
    </row>
    <row r="15" spans="1:19">
      <c r="A15" s="356">
        <f>ROW()</f>
        <v>15</v>
      </c>
      <c r="B15" s="35" t="s">
        <v>1217</v>
      </c>
      <c r="C15" s="56">
        <f t="shared" si="1"/>
        <v>-471112.91133294825</v>
      </c>
      <c r="D15" s="56">
        <f t="shared" si="2"/>
        <v>-78518.81855549138</v>
      </c>
      <c r="E15" s="1070">
        <f t="shared" si="3"/>
        <v>-9.2997368569993372E-3</v>
      </c>
      <c r="F15" s="107">
        <f>+' Enrol &amp; Rev'!F115</f>
        <v>0</v>
      </c>
      <c r="G15" s="107">
        <f>+' Enrol &amp; Rev'!G115</f>
        <v>-49227.75</v>
      </c>
      <c r="H15" s="107">
        <f>+' Enrol &amp; Rev'!H115</f>
        <v>-66404.051654444993</v>
      </c>
      <c r="I15" s="107">
        <f>+' Enrol &amp; Rev'!I115</f>
        <v>-77715.751985334005</v>
      </c>
      <c r="J15" s="107">
        <f>+' Enrol &amp; Rev'!J115</f>
        <v>-89027.452316223003</v>
      </c>
      <c r="K15" s="107">
        <f>+' Enrol &amp; Rev'!K115</f>
        <v>-92954.990147111996</v>
      </c>
      <c r="L15" s="107">
        <f>+' Enrol &amp; Rev'!L115</f>
        <v>-95782.915229834252</v>
      </c>
      <c r="M15" s="56"/>
      <c r="O15" s="353"/>
      <c r="P15" s="35" t="s">
        <v>118</v>
      </c>
      <c r="Q15" s="35" t="s">
        <v>118</v>
      </c>
    </row>
    <row r="16" spans="1:19">
      <c r="A16" s="356">
        <f>ROW()</f>
        <v>16</v>
      </c>
      <c r="B16" s="35" t="s">
        <v>127</v>
      </c>
      <c r="C16" s="56">
        <f t="shared" si="1"/>
        <v>2908710</v>
      </c>
      <c r="D16" s="56">
        <f t="shared" si="2"/>
        <v>484785</v>
      </c>
      <c r="E16" s="442">
        <f t="shared" si="3"/>
        <v>5.7417737749508223E-2</v>
      </c>
      <c r="F16" s="107">
        <f>' Enrol &amp; Rev'!F122</f>
        <v>0</v>
      </c>
      <c r="G16" s="107">
        <f>' Enrol &amp; Rev'!G122</f>
        <v>340200</v>
      </c>
      <c r="H16" s="107">
        <f>' Enrol &amp; Rev'!H122</f>
        <v>408240.00000000006</v>
      </c>
      <c r="I16" s="107">
        <f>' Enrol &amp; Rev'!I122</f>
        <v>476280</v>
      </c>
      <c r="J16" s="107">
        <f>' Enrol &amp; Rev'!J122</f>
        <v>544320</v>
      </c>
      <c r="K16" s="107">
        <f>' Enrol &amp; Rev'!K122</f>
        <v>561330</v>
      </c>
      <c r="L16" s="107">
        <f>' Enrol &amp; Rev'!L122</f>
        <v>578340</v>
      </c>
      <c r="M16" s="56"/>
      <c r="O16" s="353"/>
      <c r="P16" s="35" t="s">
        <v>118</v>
      </c>
      <c r="Q16" s="35" t="s">
        <v>118</v>
      </c>
    </row>
    <row r="17" spans="1:17">
      <c r="A17" s="356">
        <f>ROW()</f>
        <v>17</v>
      </c>
      <c r="B17" s="35" t="s">
        <v>128</v>
      </c>
      <c r="C17" s="56">
        <f t="shared" si="1"/>
        <v>325498.5</v>
      </c>
      <c r="D17" s="56">
        <f t="shared" si="2"/>
        <v>54249.75</v>
      </c>
      <c r="E17" s="442">
        <f t="shared" si="3"/>
        <v>6.4253182719687775E-3</v>
      </c>
      <c r="F17" s="107">
        <f>' Enrol &amp; Rev'!F123+' Enrol &amp; Rev'!F124</f>
        <v>0</v>
      </c>
      <c r="G17" s="107">
        <f>' Enrol &amp; Rev'!G123+' Enrol &amp; Rev'!G124</f>
        <v>38070</v>
      </c>
      <c r="H17" s="107">
        <f>' Enrol &amp; Rev'!H123+' Enrol &amp; Rev'!H124</f>
        <v>45684</v>
      </c>
      <c r="I17" s="107">
        <f>' Enrol &amp; Rev'!I123+' Enrol &amp; Rev'!I124</f>
        <v>53298</v>
      </c>
      <c r="J17" s="107">
        <f>' Enrol &amp; Rev'!J123+' Enrol &amp; Rev'!J124</f>
        <v>60912</v>
      </c>
      <c r="K17" s="107">
        <f>' Enrol &amp; Rev'!K123+' Enrol &amp; Rev'!K124</f>
        <v>62815.5</v>
      </c>
      <c r="L17" s="107">
        <f>' Enrol &amp; Rev'!L123+' Enrol &amp; Rev'!L124</f>
        <v>64719</v>
      </c>
      <c r="M17" s="56"/>
      <c r="O17" s="353"/>
      <c r="P17" s="35" t="s">
        <v>118</v>
      </c>
      <c r="Q17" s="35" t="s">
        <v>118</v>
      </c>
    </row>
    <row r="18" spans="1:17">
      <c r="A18" s="356">
        <f>ROW()</f>
        <v>18</v>
      </c>
      <c r="B18" s="35" t="s">
        <v>129</v>
      </c>
      <c r="C18" s="56">
        <f t="shared" si="1"/>
        <v>69255</v>
      </c>
      <c r="D18" s="56">
        <f t="shared" si="2"/>
        <v>11542.5</v>
      </c>
      <c r="E18" s="442">
        <f t="shared" si="3"/>
        <v>1.36708899403591E-3</v>
      </c>
      <c r="F18" s="107">
        <f>' Enrol &amp; Rev'!F125</f>
        <v>0</v>
      </c>
      <c r="G18" s="107">
        <f>' Enrol &amp; Rev'!G125</f>
        <v>8100</v>
      </c>
      <c r="H18" s="107">
        <f>' Enrol &amp; Rev'!H125</f>
        <v>9720</v>
      </c>
      <c r="I18" s="107">
        <f>' Enrol &amp; Rev'!I125</f>
        <v>11340</v>
      </c>
      <c r="J18" s="107">
        <f>' Enrol &amp; Rev'!J125</f>
        <v>12960</v>
      </c>
      <c r="K18" s="107">
        <f>' Enrol &amp; Rev'!K125</f>
        <v>13365</v>
      </c>
      <c r="L18" s="107">
        <f>' Enrol &amp; Rev'!L125</f>
        <v>13770</v>
      </c>
      <c r="M18" s="56"/>
      <c r="O18" s="353"/>
      <c r="P18" s="35" t="s">
        <v>118</v>
      </c>
      <c r="Q18" s="35" t="s">
        <v>118</v>
      </c>
    </row>
    <row r="19" spans="1:17">
      <c r="A19" s="356">
        <f>ROW()</f>
        <v>19</v>
      </c>
      <c r="B19" s="35" t="s">
        <v>130</v>
      </c>
      <c r="C19" s="56">
        <f t="shared" si="1"/>
        <v>0</v>
      </c>
      <c r="D19" s="56">
        <f t="shared" si="2"/>
        <v>0</v>
      </c>
      <c r="E19" s="442">
        <f t="shared" si="3"/>
        <v>0</v>
      </c>
      <c r="F19" s="107">
        <f>' Enrol &amp; Rev'!F126</f>
        <v>0</v>
      </c>
      <c r="G19" s="107">
        <f>' Enrol &amp; Rev'!G126</f>
        <v>0</v>
      </c>
      <c r="H19" s="107">
        <f>' Enrol &amp; Rev'!H126</f>
        <v>0</v>
      </c>
      <c r="I19" s="107">
        <f>' Enrol &amp; Rev'!I126</f>
        <v>0</v>
      </c>
      <c r="J19" s="107">
        <f>' Enrol &amp; Rev'!J126</f>
        <v>0</v>
      </c>
      <c r="K19" s="107">
        <f>' Enrol &amp; Rev'!K126</f>
        <v>0</v>
      </c>
      <c r="L19" s="107">
        <f>' Enrol &amp; Rev'!L126</f>
        <v>0</v>
      </c>
      <c r="M19" s="56"/>
      <c r="O19" s="353"/>
      <c r="P19" s="35" t="s">
        <v>118</v>
      </c>
      <c r="Q19" s="35" t="s">
        <v>118</v>
      </c>
    </row>
    <row r="20" spans="1:17">
      <c r="A20" s="356">
        <f>ROW()</f>
        <v>20</v>
      </c>
      <c r="B20" s="35" t="s">
        <v>131</v>
      </c>
      <c r="C20" s="56">
        <f t="shared" si="1"/>
        <v>1645498.8000000003</v>
      </c>
      <c r="D20" s="56">
        <f t="shared" si="2"/>
        <v>274249.80000000005</v>
      </c>
      <c r="E20" s="442">
        <f t="shared" si="3"/>
        <v>3.2482034498293226E-2</v>
      </c>
      <c r="F20" s="107">
        <f>' Enrol &amp; Rev'!F127</f>
        <v>0</v>
      </c>
      <c r="G20" s="107">
        <f>' Enrol &amp; Rev'!G127</f>
        <v>192456.00000000003</v>
      </c>
      <c r="H20" s="107">
        <f>' Enrol &amp; Rev'!H127</f>
        <v>230947.20000000004</v>
      </c>
      <c r="I20" s="107">
        <f>' Enrol &amp; Rev'!I127</f>
        <v>269438.40000000002</v>
      </c>
      <c r="J20" s="107">
        <f>' Enrol &amp; Rev'!J127</f>
        <v>307929.60000000003</v>
      </c>
      <c r="K20" s="107">
        <f>' Enrol &amp; Rev'!K127</f>
        <v>317552.40000000002</v>
      </c>
      <c r="L20" s="107">
        <f>' Enrol &amp; Rev'!L127</f>
        <v>327175.20000000007</v>
      </c>
      <c r="M20" s="56"/>
      <c r="O20" s="353"/>
      <c r="P20" s="35" t="s">
        <v>118</v>
      </c>
      <c r="Q20" s="35" t="s">
        <v>118</v>
      </c>
    </row>
    <row r="21" spans="1:17">
      <c r="A21" s="356">
        <f>ROW()</f>
        <v>21</v>
      </c>
      <c r="B21" s="35" t="s">
        <v>132</v>
      </c>
      <c r="C21" s="56">
        <f t="shared" si="1"/>
        <v>2565482.2200000002</v>
      </c>
      <c r="D21" s="56">
        <f t="shared" si="2"/>
        <v>427580.37000000005</v>
      </c>
      <c r="E21" s="442">
        <f t="shared" si="3"/>
        <v>5.0642444695066256E-2</v>
      </c>
      <c r="F21" s="107">
        <f>' Enrol &amp; Rev'!F128</f>
        <v>0</v>
      </c>
      <c r="G21" s="107">
        <f>' Enrol &amp; Rev'!G128</f>
        <v>300056.40000000002</v>
      </c>
      <c r="H21" s="107">
        <f>' Enrol &amp; Rev'!H128</f>
        <v>360067.68000000005</v>
      </c>
      <c r="I21" s="107">
        <f>' Enrol &amp; Rev'!I128</f>
        <v>420078.96</v>
      </c>
      <c r="J21" s="107">
        <f>' Enrol &amp; Rev'!J128</f>
        <v>480090.24000000005</v>
      </c>
      <c r="K21" s="107">
        <f>' Enrol &amp; Rev'!K128</f>
        <v>495093.06</v>
      </c>
      <c r="L21" s="107">
        <f>' Enrol &amp; Rev'!L128</f>
        <v>510095.88</v>
      </c>
      <c r="M21" s="56"/>
      <c r="O21" s="353"/>
      <c r="P21" s="35" t="s">
        <v>118</v>
      </c>
      <c r="Q21" s="35" t="s">
        <v>118</v>
      </c>
    </row>
    <row r="22" spans="1:17">
      <c r="A22" s="356">
        <f>ROW()</f>
        <v>22</v>
      </c>
      <c r="B22" s="35" t="s">
        <v>133</v>
      </c>
      <c r="C22" s="56">
        <f t="shared" si="1"/>
        <v>734103</v>
      </c>
      <c r="D22" s="56">
        <f t="shared" si="2"/>
        <v>122350.5</v>
      </c>
      <c r="E22" s="442">
        <f t="shared" si="3"/>
        <v>1.4491143336780647E-2</v>
      </c>
      <c r="F22" s="107">
        <f>' Enrol &amp; Rev'!F129</f>
        <v>0</v>
      </c>
      <c r="G22" s="107">
        <f>' Enrol &amp; Rev'!G129</f>
        <v>85860</v>
      </c>
      <c r="H22" s="107">
        <f>' Enrol &amp; Rev'!H129</f>
        <v>103032</v>
      </c>
      <c r="I22" s="107">
        <f>' Enrol &amp; Rev'!I129</f>
        <v>120203.99999999999</v>
      </c>
      <c r="J22" s="107">
        <f>' Enrol &amp; Rev'!J129</f>
        <v>137376</v>
      </c>
      <c r="K22" s="107">
        <f>' Enrol &amp; Rev'!K129</f>
        <v>141669</v>
      </c>
      <c r="L22" s="107">
        <f>' Enrol &amp; Rev'!L129</f>
        <v>145962</v>
      </c>
      <c r="M22" s="56"/>
      <c r="O22" s="353"/>
      <c r="P22" s="35" t="s">
        <v>118</v>
      </c>
      <c r="Q22" s="35" t="s">
        <v>118</v>
      </c>
    </row>
    <row r="23" spans="1:17">
      <c r="A23" s="356">
        <f>ROW()</f>
        <v>23</v>
      </c>
      <c r="B23" s="35" t="s">
        <v>134</v>
      </c>
      <c r="C23" s="56">
        <f t="shared" si="1"/>
        <v>2049615.9</v>
      </c>
      <c r="D23" s="56">
        <f t="shared" si="2"/>
        <v>341602.64999999997</v>
      </c>
      <c r="E23" s="442">
        <f t="shared" si="3"/>
        <v>4.0459278592029545E-2</v>
      </c>
      <c r="F23" s="107">
        <f>' Enrol &amp; Rev'!F111</f>
        <v>0</v>
      </c>
      <c r="G23" s="107">
        <f>' Enrol &amp; Rev'!G111</f>
        <v>0</v>
      </c>
      <c r="H23" s="107">
        <f>' Enrol &amp; Rev'!H111</f>
        <v>299214</v>
      </c>
      <c r="I23" s="107">
        <f>' Enrol &amp; Rev'!I111</f>
        <v>359056.8</v>
      </c>
      <c r="J23" s="107">
        <f>' Enrol &amp; Rev'!J111</f>
        <v>418899.6</v>
      </c>
      <c r="K23" s="107">
        <f>' Enrol &amp; Rev'!K111</f>
        <v>478742.39999999997</v>
      </c>
      <c r="L23" s="107">
        <f>' Enrol &amp; Rev'!L111</f>
        <v>493703.10000000003</v>
      </c>
      <c r="M23" s="56"/>
      <c r="O23" s="353"/>
      <c r="P23" s="35" t="s">
        <v>118</v>
      </c>
      <c r="Q23" s="35" t="s">
        <v>118</v>
      </c>
    </row>
    <row r="24" spans="1:17">
      <c r="A24" s="356">
        <f>ROW()</f>
        <v>24</v>
      </c>
      <c r="B24" s="35" t="s">
        <v>135</v>
      </c>
      <c r="C24" s="56">
        <f t="shared" si="1"/>
        <v>500000</v>
      </c>
      <c r="D24" s="56">
        <f t="shared" si="2"/>
        <v>83333.333333333328</v>
      </c>
      <c r="E24" s="442">
        <f t="shared" si="3"/>
        <v>9.8699660243730409E-3</v>
      </c>
      <c r="F24" s="107">
        <f>' Enrol &amp; Rev'!F130</f>
        <v>0</v>
      </c>
      <c r="G24" s="107">
        <f>' Enrol &amp; Rev'!G130</f>
        <v>400000</v>
      </c>
      <c r="H24" s="107">
        <f>' Enrol &amp; Rev'!H130</f>
        <v>100000</v>
      </c>
      <c r="I24" s="107">
        <f>' Enrol &amp; Rev'!I130</f>
        <v>0</v>
      </c>
      <c r="J24" s="107">
        <f>' Enrol &amp; Rev'!J130</f>
        <v>0</v>
      </c>
      <c r="K24" s="107">
        <f>' Enrol &amp; Rev'!K130</f>
        <v>0</v>
      </c>
      <c r="L24" s="107">
        <f>' Enrol &amp; Rev'!L130</f>
        <v>0</v>
      </c>
      <c r="M24" s="56"/>
      <c r="O24" s="353" t="s">
        <v>1525</v>
      </c>
      <c r="P24" s="35" t="s">
        <v>118</v>
      </c>
      <c r="Q24" s="35" t="s">
        <v>118</v>
      </c>
    </row>
    <row r="25" spans="1:17">
      <c r="A25" s="356">
        <f>ROW()</f>
        <v>25</v>
      </c>
      <c r="B25" s="35" t="str">
        <f>+' Enrol &amp; Rev'!B131</f>
        <v>Charter School Program (CSP) Grant (w/letter)</v>
      </c>
      <c r="C25" s="56">
        <f t="shared" si="1"/>
        <v>0</v>
      </c>
      <c r="D25" s="56">
        <f t="shared" si="2"/>
        <v>0</v>
      </c>
      <c r="E25" s="442">
        <f t="shared" si="3"/>
        <v>0</v>
      </c>
      <c r="F25" s="107">
        <f>' Enrol &amp; Rev'!F131</f>
        <v>0</v>
      </c>
      <c r="G25" s="107">
        <f>' Enrol &amp; Rev'!G131</f>
        <v>0</v>
      </c>
      <c r="H25" s="107">
        <f>' Enrol &amp; Rev'!H131</f>
        <v>0</v>
      </c>
      <c r="I25" s="107">
        <f>' Enrol &amp; Rev'!I131</f>
        <v>0</v>
      </c>
      <c r="J25" s="107">
        <f>' Enrol &amp; Rev'!J131</f>
        <v>0</v>
      </c>
      <c r="K25" s="107">
        <f>' Enrol &amp; Rev'!K131</f>
        <v>0</v>
      </c>
      <c r="L25" s="107">
        <f>' Enrol &amp; Rev'!L131</f>
        <v>0</v>
      </c>
      <c r="M25" s="56"/>
      <c r="O25" s="353" t="s">
        <v>1529</v>
      </c>
    </row>
    <row r="26" spans="1:17">
      <c r="A26" s="356">
        <f>ROW()</f>
        <v>26</v>
      </c>
      <c r="B26" s="35" t="s">
        <v>136</v>
      </c>
      <c r="C26" s="56">
        <f t="shared" si="1"/>
        <v>0</v>
      </c>
      <c r="D26" s="56">
        <f t="shared" si="2"/>
        <v>0</v>
      </c>
      <c r="E26" s="442">
        <f t="shared" si="3"/>
        <v>0</v>
      </c>
      <c r="F26" s="107">
        <f>' Enrol &amp; Rev'!F132</f>
        <v>0</v>
      </c>
      <c r="G26" s="107">
        <f>' Enrol &amp; Rev'!G132</f>
        <v>0</v>
      </c>
      <c r="H26" s="107">
        <f>' Enrol &amp; Rev'!H132</f>
        <v>0</v>
      </c>
      <c r="I26" s="107">
        <f>' Enrol &amp; Rev'!I132</f>
        <v>0</v>
      </c>
      <c r="J26" s="107">
        <f>' Enrol &amp; Rev'!J132</f>
        <v>0</v>
      </c>
      <c r="K26" s="107">
        <f>' Enrol &amp; Rev'!K132</f>
        <v>0</v>
      </c>
      <c r="L26" s="107">
        <f>' Enrol &amp; Rev'!L132</f>
        <v>0</v>
      </c>
      <c r="M26" s="56"/>
      <c r="O26" s="353"/>
      <c r="P26" s="35" t="s">
        <v>118</v>
      </c>
      <c r="Q26" s="35" t="s">
        <v>118</v>
      </c>
    </row>
    <row r="27" spans="1:17">
      <c r="A27" s="356">
        <f>ROW()</f>
        <v>27</v>
      </c>
      <c r="B27" s="35" t="s">
        <v>1443</v>
      </c>
      <c r="C27" s="56">
        <f t="shared" si="1"/>
        <v>0</v>
      </c>
      <c r="D27" s="56">
        <f t="shared" si="2"/>
        <v>0</v>
      </c>
      <c r="E27" s="442">
        <f t="shared" si="3"/>
        <v>0</v>
      </c>
      <c r="F27" s="107">
        <f>' Enrol &amp; Rev'!F134</f>
        <v>0</v>
      </c>
      <c r="G27" s="107">
        <f>' Enrol &amp; Rev'!G134</f>
        <v>0</v>
      </c>
      <c r="H27" s="107">
        <f>' Enrol &amp; Rev'!H134</f>
        <v>0</v>
      </c>
      <c r="I27" s="107">
        <f>' Enrol &amp; Rev'!I134</f>
        <v>0</v>
      </c>
      <c r="J27" s="107">
        <f>' Enrol &amp; Rev'!J134</f>
        <v>0</v>
      </c>
      <c r="K27" s="107">
        <f>' Enrol &amp; Rev'!K134</f>
        <v>0</v>
      </c>
      <c r="L27" s="107">
        <f>' Enrol &amp; Rev'!L134</f>
        <v>0</v>
      </c>
      <c r="M27" s="56"/>
      <c r="O27" s="353"/>
      <c r="P27" s="35" t="s">
        <v>118</v>
      </c>
      <c r="Q27" s="35" t="s">
        <v>118</v>
      </c>
    </row>
    <row r="28" spans="1:17">
      <c r="A28" s="356">
        <f>ROW()</f>
        <v>28</v>
      </c>
      <c r="B28" s="35" t="s">
        <v>138</v>
      </c>
      <c r="C28" s="56">
        <f t="shared" si="1"/>
        <v>0</v>
      </c>
      <c r="D28" s="56">
        <f t="shared" si="2"/>
        <v>0</v>
      </c>
      <c r="E28" s="442">
        <f t="shared" si="3"/>
        <v>0</v>
      </c>
      <c r="F28" s="107">
        <f>' Enrol &amp; Rev'!F135</f>
        <v>0</v>
      </c>
      <c r="G28" s="107">
        <f>' Enrol &amp; Rev'!G135</f>
        <v>0</v>
      </c>
      <c r="H28" s="107">
        <f>' Enrol &amp; Rev'!H135</f>
        <v>0</v>
      </c>
      <c r="I28" s="107">
        <f>' Enrol &amp; Rev'!I135</f>
        <v>0</v>
      </c>
      <c r="J28" s="107">
        <f>' Enrol &amp; Rev'!J135</f>
        <v>0</v>
      </c>
      <c r="K28" s="107">
        <f>' Enrol &amp; Rev'!K135</f>
        <v>0</v>
      </c>
      <c r="L28" s="107">
        <f>' Enrol &amp; Rev'!L135</f>
        <v>0</v>
      </c>
      <c r="M28" s="56"/>
      <c r="O28" s="353"/>
      <c r="P28" s="35" t="s">
        <v>118</v>
      </c>
      <c r="Q28" s="35" t="s">
        <v>118</v>
      </c>
    </row>
    <row r="29" spans="1:17">
      <c r="A29" s="356">
        <f>ROW()</f>
        <v>29</v>
      </c>
      <c r="B29" s="35" t="s">
        <v>139</v>
      </c>
      <c r="C29" s="56">
        <f t="shared" si="1"/>
        <v>0</v>
      </c>
      <c r="D29" s="56">
        <f t="shared" si="2"/>
        <v>0</v>
      </c>
      <c r="E29" s="442">
        <f t="shared" si="3"/>
        <v>0</v>
      </c>
      <c r="F29" s="107">
        <f>' Enrol &amp; Rev'!F136</f>
        <v>0</v>
      </c>
      <c r="G29" s="107">
        <f>' Enrol &amp; Rev'!G136</f>
        <v>0</v>
      </c>
      <c r="H29" s="107">
        <f>' Enrol &amp; Rev'!H136</f>
        <v>0</v>
      </c>
      <c r="I29" s="107">
        <f>' Enrol &amp; Rev'!I136</f>
        <v>0</v>
      </c>
      <c r="J29" s="107">
        <f>' Enrol &amp; Rev'!J136</f>
        <v>0</v>
      </c>
      <c r="K29" s="107">
        <f>' Enrol &amp; Rev'!K136</f>
        <v>0</v>
      </c>
      <c r="L29" s="107">
        <f>' Enrol &amp; Rev'!L136</f>
        <v>0</v>
      </c>
      <c r="M29" s="56"/>
      <c r="O29" s="353"/>
    </row>
    <row r="30" spans="1:17">
      <c r="A30" s="356">
        <f>ROW()</f>
        <v>30</v>
      </c>
      <c r="B30" s="35" t="s">
        <v>140</v>
      </c>
      <c r="C30" s="56">
        <f t="shared" si="1"/>
        <v>0</v>
      </c>
      <c r="D30" s="56">
        <f t="shared" si="2"/>
        <v>0</v>
      </c>
      <c r="E30" s="442">
        <f t="shared" si="3"/>
        <v>0</v>
      </c>
      <c r="F30" s="107">
        <f>' Enrol &amp; Rev'!F137</f>
        <v>0</v>
      </c>
      <c r="G30" s="107">
        <f>' Enrol &amp; Rev'!G137</f>
        <v>0</v>
      </c>
      <c r="H30" s="107">
        <f>' Enrol &amp; Rev'!H137</f>
        <v>0</v>
      </c>
      <c r="I30" s="107">
        <f>' Enrol &amp; Rev'!I137</f>
        <v>0</v>
      </c>
      <c r="J30" s="107">
        <f>' Enrol &amp; Rev'!J137</f>
        <v>0</v>
      </c>
      <c r="K30" s="107">
        <f>' Enrol &amp; Rev'!K137</f>
        <v>0</v>
      </c>
      <c r="L30" s="107">
        <f>' Enrol &amp; Rev'!L137</f>
        <v>0</v>
      </c>
      <c r="M30" s="56"/>
      <c r="O30" s="353"/>
      <c r="P30" s="35" t="s">
        <v>118</v>
      </c>
      <c r="Q30" s="35" t="s">
        <v>118</v>
      </c>
    </row>
    <row r="31" spans="1:17">
      <c r="A31" s="356">
        <f>ROW()</f>
        <v>31</v>
      </c>
      <c r="B31" s="35" t="s">
        <v>141</v>
      </c>
      <c r="C31" s="56">
        <f>SUM(F31:L31)</f>
        <v>0</v>
      </c>
      <c r="D31" s="56">
        <f t="shared" si="2"/>
        <v>0</v>
      </c>
      <c r="E31" s="442">
        <f t="shared" si="3"/>
        <v>0</v>
      </c>
      <c r="F31" s="107">
        <f>' Enrol &amp; Rev'!F133</f>
        <v>0</v>
      </c>
      <c r="G31" s="107">
        <f>' Enrol &amp; Rev'!G133</f>
        <v>0</v>
      </c>
      <c r="H31" s="107">
        <f>' Enrol &amp; Rev'!H133</f>
        <v>0</v>
      </c>
      <c r="I31" s="107">
        <f>' Enrol &amp; Rev'!I133</f>
        <v>0</v>
      </c>
      <c r="J31" s="107">
        <f>' Enrol &amp; Rev'!J133</f>
        <v>0</v>
      </c>
      <c r="K31" s="107">
        <f>' Enrol &amp; Rev'!K133</f>
        <v>0</v>
      </c>
      <c r="L31" s="107">
        <f>' Enrol &amp; Rev'!L133</f>
        <v>0</v>
      </c>
      <c r="M31" s="56"/>
      <c r="O31" s="353"/>
      <c r="P31" s="35" t="s">
        <v>118</v>
      </c>
      <c r="Q31" s="35" t="s">
        <v>118</v>
      </c>
    </row>
    <row r="32" spans="1:17">
      <c r="A32" s="356">
        <f>ROW()</f>
        <v>32</v>
      </c>
      <c r="B32" s="35" t="s">
        <v>142</v>
      </c>
      <c r="C32" s="56">
        <f t="shared" si="1"/>
        <v>150000</v>
      </c>
      <c r="D32" s="56">
        <f t="shared" si="2"/>
        <v>0</v>
      </c>
      <c r="E32" s="442">
        <f t="shared" si="3"/>
        <v>0</v>
      </c>
      <c r="F32" s="107">
        <f>' Enrol &amp; Rev'!F138</f>
        <v>150000</v>
      </c>
      <c r="G32" s="107">
        <f>' Enrol &amp; Rev'!G138</f>
        <v>0</v>
      </c>
      <c r="H32" s="107">
        <f>' Enrol &amp; Rev'!H138</f>
        <v>0</v>
      </c>
      <c r="I32" s="107">
        <f>' Enrol &amp; Rev'!I138</f>
        <v>0</v>
      </c>
      <c r="J32" s="107">
        <f>' Enrol &amp; Rev'!J138</f>
        <v>0</v>
      </c>
      <c r="K32" s="107">
        <f>' Enrol &amp; Rev'!K138</f>
        <v>0</v>
      </c>
      <c r="L32" s="107">
        <f>' Enrol &amp; Rev'!L138</f>
        <v>0</v>
      </c>
      <c r="M32" s="56"/>
      <c r="O32" s="353" t="s">
        <v>1543</v>
      </c>
      <c r="P32" s="35" t="s">
        <v>118</v>
      </c>
      <c r="Q32" s="35" t="s">
        <v>118</v>
      </c>
    </row>
    <row r="33" spans="1:17">
      <c r="A33" s="356">
        <f>ROW()</f>
        <v>33</v>
      </c>
      <c r="B33" s="35" t="s">
        <v>143</v>
      </c>
      <c r="C33" s="56">
        <f t="shared" si="1"/>
        <v>0</v>
      </c>
      <c r="D33" s="56">
        <f t="shared" si="2"/>
        <v>0</v>
      </c>
      <c r="E33" s="442">
        <f t="shared" si="3"/>
        <v>0</v>
      </c>
      <c r="F33" s="1464">
        <f>' Enrol &amp; Rev'!F139</f>
        <v>0</v>
      </c>
      <c r="G33" s="1464">
        <f>' Enrol &amp; Rev'!G139</f>
        <v>0</v>
      </c>
      <c r="H33" s="1464">
        <f>' Enrol &amp; Rev'!H139</f>
        <v>0</v>
      </c>
      <c r="I33" s="1464">
        <f>' Enrol &amp; Rev'!I139</f>
        <v>0</v>
      </c>
      <c r="J33" s="1464">
        <f>' Enrol &amp; Rev'!J139</f>
        <v>0</v>
      </c>
      <c r="K33" s="1464">
        <f>' Enrol &amp; Rev'!K139</f>
        <v>0</v>
      </c>
      <c r="L33" s="1464">
        <f>' Enrol &amp; Rev'!L139</f>
        <v>0</v>
      </c>
      <c r="M33" s="56"/>
      <c r="O33" s="353"/>
    </row>
    <row r="34" spans="1:17">
      <c r="A34" s="356">
        <f>ROW()</f>
        <v>34</v>
      </c>
      <c r="B34" s="906" t="s">
        <v>196</v>
      </c>
      <c r="C34" s="745">
        <f>SUM(C14:C33)</f>
        <v>50808735.680071481</v>
      </c>
      <c r="D34" s="745">
        <f>AVERAGE(G34:L34)</f>
        <v>8443122.6133452486</v>
      </c>
      <c r="E34" s="718">
        <f t="shared" si="3"/>
        <v>1</v>
      </c>
      <c r="F34" s="1334">
        <f t="shared" ref="F34:L34" si="4">SUM(F14:F33)</f>
        <v>150000</v>
      </c>
      <c r="G34" s="1334">
        <f t="shared" si="4"/>
        <v>5253734.6500000004</v>
      </c>
      <c r="H34" s="1334">
        <f t="shared" si="4"/>
        <v>7196317.5757038658</v>
      </c>
      <c r="I34" s="1334">
        <f t="shared" si="4"/>
        <v>8318281.1288446411</v>
      </c>
      <c r="J34" s="1334">
        <f t="shared" si="4"/>
        <v>9540244.6819854137</v>
      </c>
      <c r="K34" s="1334">
        <f t="shared" si="4"/>
        <v>10022333.377626188</v>
      </c>
      <c r="L34" s="1334">
        <f t="shared" si="4"/>
        <v>10327824.26591138</v>
      </c>
      <c r="M34" s="1335"/>
      <c r="O34" s="353"/>
      <c r="P34" s="35" t="s">
        <v>118</v>
      </c>
      <c r="Q34" s="35" t="s">
        <v>118</v>
      </c>
    </row>
    <row r="35" spans="1:17" hidden="1" outlineLevel="1">
      <c r="A35" s="356">
        <f>ROW()</f>
        <v>35</v>
      </c>
      <c r="B35" s="82" t="s">
        <v>1429</v>
      </c>
      <c r="F35" s="57">
        <f>' Enrol &amp; Rev'!F142</f>
        <v>150000</v>
      </c>
      <c r="G35" s="57">
        <f>' Enrol &amp; Rev'!G142</f>
        <v>5253734.6500000004</v>
      </c>
      <c r="H35" s="57">
        <f>' Enrol &amp; Rev'!H142</f>
        <v>7196317.5757038658</v>
      </c>
      <c r="I35" s="57">
        <f>' Enrol &amp; Rev'!I142</f>
        <v>8318281.1288446411</v>
      </c>
      <c r="J35" s="57">
        <f>' Enrol &amp; Rev'!J142</f>
        <v>9540244.6819854137</v>
      </c>
      <c r="K35" s="57">
        <f>' Enrol &amp; Rev'!K142</f>
        <v>10022333.377626188</v>
      </c>
      <c r="L35" s="57">
        <f>' Enrol &amp; Rev'!L142</f>
        <v>10327824.26591138</v>
      </c>
      <c r="M35" s="60"/>
      <c r="O35" s="353"/>
      <c r="P35" s="35" t="s">
        <v>118</v>
      </c>
      <c r="Q35" s="35" t="s">
        <v>118</v>
      </c>
    </row>
    <row r="36" spans="1:17" hidden="1" outlineLevel="1">
      <c r="A36" s="356">
        <f>ROW()</f>
        <v>36</v>
      </c>
      <c r="B36" s="82" t="s">
        <v>1386</v>
      </c>
      <c r="C36" s="60"/>
      <c r="D36" s="60"/>
      <c r="E36" s="60"/>
      <c r="F36" s="138">
        <f>+F34-F35</f>
        <v>0</v>
      </c>
      <c r="G36" s="138">
        <f t="shared" ref="G36:L36" si="5">+G34-G35</f>
        <v>0</v>
      </c>
      <c r="H36" s="138">
        <f t="shared" si="5"/>
        <v>0</v>
      </c>
      <c r="I36" s="138">
        <f t="shared" si="5"/>
        <v>0</v>
      </c>
      <c r="J36" s="138">
        <f t="shared" si="5"/>
        <v>0</v>
      </c>
      <c r="K36" s="138">
        <f t="shared" si="5"/>
        <v>0</v>
      </c>
      <c r="L36" s="138">
        <f t="shared" si="5"/>
        <v>0</v>
      </c>
      <c r="M36" s="60"/>
      <c r="O36" s="353"/>
    </row>
    <row r="37" spans="1:17" collapsed="1">
      <c r="A37" s="356">
        <f>ROW()</f>
        <v>37</v>
      </c>
      <c r="B37" s="82" t="s">
        <v>1428</v>
      </c>
      <c r="C37" s="60"/>
      <c r="D37" s="60"/>
      <c r="E37" s="60"/>
      <c r="F37" s="538"/>
      <c r="G37" s="142">
        <f t="shared" ref="G37:L37" si="6">+G34/G9</f>
        <v>9729.1382407407418</v>
      </c>
      <c r="H37" s="142">
        <f t="shared" si="6"/>
        <v>11105.428357567695</v>
      </c>
      <c r="I37" s="142">
        <f t="shared" si="6"/>
        <v>11003.017366196615</v>
      </c>
      <c r="J37" s="142">
        <f t="shared" si="6"/>
        <v>11041.949863409043</v>
      </c>
      <c r="K37" s="142">
        <f t="shared" si="6"/>
        <v>11248.410075899201</v>
      </c>
      <c r="L37" s="142">
        <f t="shared" si="6"/>
        <v>11250.353230840283</v>
      </c>
      <c r="M37" s="60"/>
      <c r="O37" s="353"/>
    </row>
    <row r="38" spans="1:17" hidden="1" outlineLevel="1">
      <c r="A38" s="356">
        <f>ROW()</f>
        <v>38</v>
      </c>
      <c r="B38" s="82" t="s">
        <v>1383</v>
      </c>
      <c r="C38" s="1617"/>
      <c r="D38" s="1617"/>
      <c r="E38" s="1618"/>
      <c r="F38" s="633"/>
      <c r="G38" s="633">
        <f>+' Enrol &amp; Rev'!G143</f>
        <v>9729.1382407407418</v>
      </c>
      <c r="H38" s="633">
        <f>+' Enrol &amp; Rev'!H143</f>
        <v>11105.428357567695</v>
      </c>
      <c r="I38" s="633">
        <f>+' Enrol &amp; Rev'!I143</f>
        <v>11003.017366196615</v>
      </c>
      <c r="J38" s="633">
        <f>+' Enrol &amp; Rev'!J143</f>
        <v>11041.949863409043</v>
      </c>
      <c r="K38" s="633">
        <f>+' Enrol &amp; Rev'!K143</f>
        <v>11248.410075899201</v>
      </c>
      <c r="L38" s="633">
        <f>+' Enrol &amp; Rev'!L143</f>
        <v>11250.353230840283</v>
      </c>
      <c r="M38" s="60"/>
      <c r="O38" s="353"/>
    </row>
    <row r="39" spans="1:17" hidden="1" outlineLevel="1">
      <c r="A39" s="356">
        <f>ROW()</f>
        <v>39</v>
      </c>
      <c r="B39" s="82" t="s">
        <v>1387</v>
      </c>
      <c r="C39" s="60"/>
      <c r="D39" s="60"/>
      <c r="E39" s="60"/>
      <c r="F39" s="538"/>
      <c r="G39" s="142">
        <f t="shared" ref="G39:L39" si="7">+G38-G37</f>
        <v>0</v>
      </c>
      <c r="H39" s="142">
        <f t="shared" si="7"/>
        <v>0</v>
      </c>
      <c r="I39" s="142">
        <f t="shared" si="7"/>
        <v>0</v>
      </c>
      <c r="J39" s="142">
        <f t="shared" si="7"/>
        <v>0</v>
      </c>
      <c r="K39" s="142">
        <f t="shared" si="7"/>
        <v>0</v>
      </c>
      <c r="L39" s="142">
        <f t="shared" si="7"/>
        <v>0</v>
      </c>
      <c r="M39" s="60"/>
      <c r="O39" s="353"/>
    </row>
    <row r="40" spans="1:17" collapsed="1">
      <c r="A40" s="356">
        <f>ROW()</f>
        <v>40</v>
      </c>
      <c r="B40" s="60"/>
      <c r="C40" s="60"/>
      <c r="D40" s="60"/>
      <c r="E40" s="60"/>
      <c r="F40" s="538"/>
      <c r="G40" s="142"/>
      <c r="H40" s="142"/>
      <c r="I40" s="142"/>
      <c r="J40" s="142"/>
      <c r="K40" s="142"/>
      <c r="L40" s="142"/>
      <c r="M40" s="60"/>
      <c r="O40" s="353"/>
    </row>
    <row r="41" spans="1:17" ht="17.399999999999999">
      <c r="A41" s="356">
        <f>ROW()</f>
        <v>41</v>
      </c>
      <c r="B41" s="1013" t="s">
        <v>145</v>
      </c>
      <c r="C41" s="1014" t="s">
        <v>123</v>
      </c>
      <c r="D41" s="1014" t="s">
        <v>124</v>
      </c>
      <c r="E41" s="1015" t="s">
        <v>125</v>
      </c>
      <c r="F41" s="1016" t="str">
        <f t="shared" ref="F41:L41" si="8">F6</f>
        <v>SY 0/Incu</v>
      </c>
      <c r="G41" s="1017">
        <f t="shared" si="8"/>
        <v>1</v>
      </c>
      <c r="H41" s="1017">
        <f t="shared" si="8"/>
        <v>2</v>
      </c>
      <c r="I41" s="1017">
        <f t="shared" si="8"/>
        <v>3</v>
      </c>
      <c r="J41" s="1017">
        <f t="shared" si="8"/>
        <v>4</v>
      </c>
      <c r="K41" s="1017">
        <f t="shared" si="8"/>
        <v>5</v>
      </c>
      <c r="L41" s="1017">
        <f t="shared" si="8"/>
        <v>6</v>
      </c>
      <c r="M41" s="60"/>
      <c r="O41" s="353"/>
      <c r="P41" s="35" t="s">
        <v>118</v>
      </c>
      <c r="Q41" s="35" t="s">
        <v>118</v>
      </c>
    </row>
    <row r="42" spans="1:17">
      <c r="A42" s="356">
        <f>ROW()</f>
        <v>42</v>
      </c>
      <c r="B42" s="35" t="s">
        <v>146</v>
      </c>
      <c r="C42" s="257">
        <f t="shared" ref="C42:C49" si="9">SUM(F42:L42)</f>
        <v>20967920.938154142</v>
      </c>
      <c r="D42" s="257">
        <f t="shared" ref="D42:D49" si="10">AVERAGE(G42:L42)</f>
        <v>3481216.0221923571</v>
      </c>
      <c r="E42" s="442">
        <f t="shared" ref="E42:E50" si="11">IFERROR(+D42/$D$34,0)</f>
        <v>0.41231380635049963</v>
      </c>
      <c r="F42" s="615">
        <f>+Staff!G457</f>
        <v>80624.804999999993</v>
      </c>
      <c r="G42" s="615">
        <f>+Staff!H457</f>
        <v>2369060.2199999997</v>
      </c>
      <c r="H42" s="615">
        <f>+Staff!I457</f>
        <v>3041917.49</v>
      </c>
      <c r="I42" s="615">
        <f>+Staff!J457</f>
        <v>3556896.52</v>
      </c>
      <c r="J42" s="615">
        <f>+Staff!K457</f>
        <v>3866678.1431999998</v>
      </c>
      <c r="K42" s="615">
        <f>+Staff!L457</f>
        <v>3993098.1040928001</v>
      </c>
      <c r="L42" s="615">
        <f>+Staff!M457</f>
        <v>4059645.6558613442</v>
      </c>
      <c r="M42" s="61"/>
      <c r="O42" s="353"/>
      <c r="P42" s="35" t="s">
        <v>118</v>
      </c>
      <c r="Q42" s="35" t="s">
        <v>118</v>
      </c>
    </row>
    <row r="43" spans="1:17">
      <c r="A43" s="356">
        <f>ROW()</f>
        <v>43</v>
      </c>
      <c r="B43" s="35" t="s">
        <v>105</v>
      </c>
      <c r="C43" s="56">
        <f t="shared" si="9"/>
        <v>10260761.799474401</v>
      </c>
      <c r="D43" s="56">
        <f t="shared" si="10"/>
        <v>1709646.9665790668</v>
      </c>
      <c r="E43" s="442">
        <f t="shared" si="11"/>
        <v>0.20248988968569387</v>
      </c>
      <c r="F43" s="107">
        <f>Facilities!F76</f>
        <v>2879.9999999999995</v>
      </c>
      <c r="G43" s="107">
        <f>Facilities!G76</f>
        <v>738199</v>
      </c>
      <c r="H43" s="107">
        <f>Facilities!H76</f>
        <v>1470132.5</v>
      </c>
      <c r="I43" s="107">
        <f>Facilities!I76</f>
        <v>1862034.2800000003</v>
      </c>
      <c r="J43" s="107">
        <f>Facilities!J76</f>
        <v>2015657.156</v>
      </c>
      <c r="K43" s="107">
        <f>Facilities!K76</f>
        <v>2062245.9856800002</v>
      </c>
      <c r="L43" s="107">
        <f>Facilities!L76</f>
        <v>2109612.8777944003</v>
      </c>
      <c r="M43" s="61"/>
      <c r="O43" s="353"/>
      <c r="P43" s="35" t="s">
        <v>118</v>
      </c>
      <c r="Q43" s="35" t="s">
        <v>118</v>
      </c>
    </row>
    <row r="44" spans="1:17">
      <c r="A44" s="356">
        <f>ROW()</f>
        <v>44</v>
      </c>
      <c r="B44" s="35" t="s">
        <v>147</v>
      </c>
      <c r="C44" s="56">
        <f t="shared" si="9"/>
        <v>9742897.7565780561</v>
      </c>
      <c r="D44" s="56">
        <f t="shared" si="10"/>
        <v>1623816.2927630094</v>
      </c>
      <c r="E44" s="442">
        <f t="shared" si="11"/>
        <v>0.19232413967273151</v>
      </c>
      <c r="F44" s="107">
        <f>+'Gen Optg'!F198</f>
        <v>0</v>
      </c>
      <c r="G44" s="107">
        <f>+'Gen Optg'!G198</f>
        <v>1269972.49</v>
      </c>
      <c r="H44" s="107">
        <f>+'Gen Optg'!H198</f>
        <v>1374276.28048</v>
      </c>
      <c r="I44" s="107">
        <f>+'Gen Optg'!I198</f>
        <v>1565499.0518217999</v>
      </c>
      <c r="J44" s="107">
        <f>+'Gen Optg'!J198</f>
        <v>1762470.9371662061</v>
      </c>
      <c r="K44" s="107">
        <f>+'Gen Optg'!K198</f>
        <v>1838255.5669567678</v>
      </c>
      <c r="L44" s="107">
        <f>+'Gen Optg'!L198</f>
        <v>1932423.4301532828</v>
      </c>
      <c r="M44" s="61"/>
      <c r="O44" s="353"/>
      <c r="P44" s="35" t="s">
        <v>118</v>
      </c>
      <c r="Q44" s="35" t="s">
        <v>118</v>
      </c>
    </row>
    <row r="45" spans="1:17">
      <c r="A45" s="356">
        <f>ROW()</f>
        <v>45</v>
      </c>
      <c r="B45" s="35" t="s">
        <v>148</v>
      </c>
      <c r="C45" s="56">
        <f t="shared" si="9"/>
        <v>0</v>
      </c>
      <c r="D45" s="56">
        <f t="shared" si="10"/>
        <v>0</v>
      </c>
      <c r="E45" s="442">
        <f t="shared" si="11"/>
        <v>0</v>
      </c>
      <c r="F45" s="107">
        <f>'EMO-CMO'!E39</f>
        <v>0</v>
      </c>
      <c r="G45" s="107">
        <f>'EMO-CMO'!F39</f>
        <v>0</v>
      </c>
      <c r="H45" s="107">
        <f>'EMO-CMO'!G39</f>
        <v>0</v>
      </c>
      <c r="I45" s="107">
        <f>'EMO-CMO'!H39</f>
        <v>0</v>
      </c>
      <c r="J45" s="107">
        <f>'EMO-CMO'!I39</f>
        <v>0</v>
      </c>
      <c r="K45" s="107">
        <f>'EMO-CMO'!J39</f>
        <v>0</v>
      </c>
      <c r="L45" s="107">
        <f>'EMO-CMO'!K39</f>
        <v>0</v>
      </c>
      <c r="M45" s="56"/>
      <c r="O45" s="353"/>
      <c r="P45" s="35" t="s">
        <v>118</v>
      </c>
      <c r="Q45" s="35" t="s">
        <v>118</v>
      </c>
    </row>
    <row r="46" spans="1:17">
      <c r="A46" s="356">
        <f>ROW()</f>
        <v>46</v>
      </c>
      <c r="B46" s="35" t="s">
        <v>110</v>
      </c>
      <c r="C46" s="56">
        <f t="shared" si="9"/>
        <v>205000</v>
      </c>
      <c r="D46" s="56">
        <f t="shared" si="10"/>
        <v>23333.333333333332</v>
      </c>
      <c r="E46" s="442">
        <f t="shared" si="11"/>
        <v>2.7635904868244516E-3</v>
      </c>
      <c r="F46" s="107">
        <f>Marketing!H44</f>
        <v>65000</v>
      </c>
      <c r="G46" s="107">
        <f>Marketing!I44</f>
        <v>25000</v>
      </c>
      <c r="H46" s="107">
        <f>Marketing!J44</f>
        <v>25000</v>
      </c>
      <c r="I46" s="107">
        <f>Marketing!K44</f>
        <v>25000</v>
      </c>
      <c r="J46" s="107">
        <f>Marketing!L44</f>
        <v>25000</v>
      </c>
      <c r="K46" s="107">
        <f>Marketing!M44</f>
        <v>20000</v>
      </c>
      <c r="L46" s="107">
        <f>Marketing!N44</f>
        <v>20000</v>
      </c>
      <c r="M46" s="56"/>
      <c r="O46" s="353"/>
      <c r="P46" s="35" t="s">
        <v>118</v>
      </c>
      <c r="Q46" s="35" t="s">
        <v>118</v>
      </c>
    </row>
    <row r="47" spans="1:17">
      <c r="A47" s="356">
        <f>ROW()</f>
        <v>47</v>
      </c>
      <c r="B47" s="35" t="s">
        <v>107</v>
      </c>
      <c r="C47" s="56">
        <f t="shared" si="9"/>
        <v>1580760.2860159641</v>
      </c>
      <c r="D47" s="56">
        <f t="shared" si="10"/>
        <v>263460.04766932735</v>
      </c>
      <c r="E47" s="442">
        <f t="shared" si="11"/>
        <v>3.1204100631311557E-2</v>
      </c>
      <c r="F47" s="107">
        <f>'FFE&amp;T'!F42</f>
        <v>0</v>
      </c>
      <c r="G47" s="107">
        <f>'FFE&amp;T'!G42</f>
        <v>387248.65720319282</v>
      </c>
      <c r="H47" s="107">
        <f>'FFE&amp;T'!H42</f>
        <v>209536.65720319282</v>
      </c>
      <c r="I47" s="107">
        <f>'FFE&amp;T'!I42</f>
        <v>215806.65720319282</v>
      </c>
      <c r="J47" s="107">
        <f>'FFE&amp;T'!J42</f>
        <v>222076.65720319282</v>
      </c>
      <c r="K47" s="107">
        <f>'FFE&amp;T'!K42</f>
        <v>170866.65720319282</v>
      </c>
      <c r="L47" s="107">
        <f>'FFE&amp;T'!L42</f>
        <v>375225</v>
      </c>
      <c r="M47" s="56"/>
      <c r="O47" s="353"/>
      <c r="P47" s="35" t="s">
        <v>118</v>
      </c>
      <c r="Q47" s="35" t="s">
        <v>118</v>
      </c>
    </row>
    <row r="48" spans="1:17">
      <c r="A48" s="356">
        <f>ROW()</f>
        <v>48</v>
      </c>
      <c r="B48" s="35" t="s">
        <v>139</v>
      </c>
      <c r="C48" s="56">
        <f t="shared" si="9"/>
        <v>0</v>
      </c>
      <c r="D48" s="56">
        <f t="shared" si="10"/>
        <v>0</v>
      </c>
      <c r="E48" s="442">
        <f t="shared" si="11"/>
        <v>0</v>
      </c>
      <c r="F48" s="107">
        <f>+'Gen Optg'!F177</f>
        <v>0</v>
      </c>
      <c r="G48" s="107">
        <f>+'Gen Optg'!G177</f>
        <v>0</v>
      </c>
      <c r="H48" s="107">
        <f>+'Gen Optg'!H177</f>
        <v>0</v>
      </c>
      <c r="I48" s="107">
        <f>+'Gen Optg'!I177</f>
        <v>0</v>
      </c>
      <c r="J48" s="107">
        <f>+'Gen Optg'!J177</f>
        <v>0</v>
      </c>
      <c r="K48" s="107">
        <f>+'Gen Optg'!K177</f>
        <v>0</v>
      </c>
      <c r="L48" s="107">
        <f>+'Gen Optg'!L177</f>
        <v>0</v>
      </c>
      <c r="M48" s="56"/>
      <c r="O48" s="353"/>
      <c r="P48" s="35" t="s">
        <v>118</v>
      </c>
      <c r="Q48" s="35" t="s">
        <v>118</v>
      </c>
    </row>
    <row r="49" spans="1:20">
      <c r="A49" s="356">
        <f>ROW()</f>
        <v>49</v>
      </c>
      <c r="B49" s="35" t="s">
        <v>149</v>
      </c>
      <c r="C49" s="56">
        <f t="shared" si="9"/>
        <v>349406.03794464859</v>
      </c>
      <c r="D49" s="56">
        <f t="shared" si="10"/>
        <v>58234.339657441429</v>
      </c>
      <c r="E49" s="442">
        <f t="shared" si="11"/>
        <v>6.8972514464489586E-3</v>
      </c>
      <c r="F49" s="107">
        <f>Ins!F50</f>
        <v>0</v>
      </c>
      <c r="G49" s="107">
        <f>Ins!G50</f>
        <v>55389.876000000004</v>
      </c>
      <c r="H49" s="107">
        <f>Ins!H50</f>
        <v>56497.673520000004</v>
      </c>
      <c r="I49" s="107">
        <f>Ins!I50</f>
        <v>57627.6269904</v>
      </c>
      <c r="J49" s="107">
        <f>Ins!J50</f>
        <v>58780.179530207999</v>
      </c>
      <c r="K49" s="107">
        <f>Ins!K50</f>
        <v>59955.783120812164</v>
      </c>
      <c r="L49" s="107">
        <f>Ins!L50</f>
        <v>61154.898783228411</v>
      </c>
      <c r="M49" s="56"/>
      <c r="O49" s="353"/>
      <c r="P49" s="35" t="s">
        <v>118</v>
      </c>
      <c r="Q49" s="35" t="s">
        <v>118</v>
      </c>
    </row>
    <row r="50" spans="1:20">
      <c r="A50" s="356">
        <f>ROW()</f>
        <v>50</v>
      </c>
      <c r="B50" s="906" t="s">
        <v>150</v>
      </c>
      <c r="C50" s="745">
        <f>SUM(C42:C49)</f>
        <v>43106746.818167217</v>
      </c>
      <c r="D50" s="745">
        <f>AVERAGE(G50:L50)</f>
        <v>7159707.0021945359</v>
      </c>
      <c r="E50" s="718">
        <f t="shared" si="11"/>
        <v>0.84799277827351005</v>
      </c>
      <c r="F50" s="1334">
        <f t="shared" ref="F50:L50" si="12">SUM(F42:F49)</f>
        <v>148504.80499999999</v>
      </c>
      <c r="G50" s="1334">
        <f t="shared" si="12"/>
        <v>4844870.2432031929</v>
      </c>
      <c r="H50" s="1334">
        <f t="shared" si="12"/>
        <v>6177360.601203193</v>
      </c>
      <c r="I50" s="1334">
        <f t="shared" si="12"/>
        <v>7282864.1360153938</v>
      </c>
      <c r="J50" s="1334">
        <f t="shared" si="12"/>
        <v>7950663.0730996076</v>
      </c>
      <c r="K50" s="1334">
        <f t="shared" si="12"/>
        <v>8144422.0970535725</v>
      </c>
      <c r="L50" s="1334">
        <f t="shared" si="12"/>
        <v>8558061.8625922557</v>
      </c>
      <c r="M50" s="56"/>
      <c r="O50" s="353"/>
      <c r="P50" s="35" t="s">
        <v>118</v>
      </c>
      <c r="Q50" s="35" t="s">
        <v>118</v>
      </c>
    </row>
    <row r="51" spans="1:20">
      <c r="A51" s="356">
        <f>ROW()</f>
        <v>51</v>
      </c>
      <c r="B51" s="82" t="s">
        <v>1382</v>
      </c>
      <c r="C51" s="444"/>
      <c r="D51" s="444"/>
      <c r="E51" s="443"/>
      <c r="F51" s="633">
        <f t="shared" ref="F51:L51" si="13">IFERROR(F50/F9,0)</f>
        <v>0</v>
      </c>
      <c r="G51" s="633">
        <f t="shared" si="13"/>
        <v>8971.9819318577647</v>
      </c>
      <c r="H51" s="633">
        <f t="shared" si="13"/>
        <v>9532.9638907456683</v>
      </c>
      <c r="I51" s="633">
        <f t="shared" si="13"/>
        <v>9633.4181693325318</v>
      </c>
      <c r="J51" s="633">
        <f t="shared" si="13"/>
        <v>9202.1563346060266</v>
      </c>
      <c r="K51" s="633">
        <f t="shared" si="13"/>
        <v>9140.7655410253337</v>
      </c>
      <c r="L51" s="633">
        <f t="shared" si="13"/>
        <v>9322.5074755906917</v>
      </c>
      <c r="M51" s="56"/>
      <c r="O51" s="353"/>
      <c r="P51" s="35" t="s">
        <v>118</v>
      </c>
      <c r="Q51" s="35" t="s">
        <v>118</v>
      </c>
    </row>
    <row r="52" spans="1:20" ht="14.4" thickBot="1">
      <c r="A52" s="356">
        <f>ROW()</f>
        <v>52</v>
      </c>
      <c r="B52" s="33"/>
      <c r="C52" s="444"/>
      <c r="D52" s="444"/>
      <c r="E52" s="443"/>
      <c r="F52" s="670"/>
      <c r="G52" s="670"/>
      <c r="H52" s="670"/>
      <c r="I52" s="670"/>
      <c r="J52" s="670"/>
      <c r="K52" s="670"/>
      <c r="L52" s="670"/>
      <c r="M52" s="56"/>
      <c r="O52" s="353"/>
    </row>
    <row r="53" spans="1:20" ht="14.4" thickBot="1">
      <c r="A53" s="356">
        <f>ROW()</f>
        <v>53</v>
      </c>
      <c r="B53" s="1427" t="s">
        <v>151</v>
      </c>
      <c r="C53" s="1428">
        <f>C34-C50</f>
        <v>7701988.8619042635</v>
      </c>
      <c r="D53" s="1428">
        <f>AVERAGE(G53:L53)</f>
        <v>1283415.6111507122</v>
      </c>
      <c r="E53" s="1429">
        <f>IFERROR(+D53/$D$34,0)</f>
        <v>0.15200722172648992</v>
      </c>
      <c r="F53" s="1430">
        <f t="shared" ref="F53:L53" si="14">F34-F50</f>
        <v>1495.195000000007</v>
      </c>
      <c r="G53" s="1430">
        <f t="shared" si="14"/>
        <v>408864.40679680742</v>
      </c>
      <c r="H53" s="1430">
        <f t="shared" si="14"/>
        <v>1018956.9745006729</v>
      </c>
      <c r="I53" s="1430">
        <f t="shared" si="14"/>
        <v>1035416.9928292474</v>
      </c>
      <c r="J53" s="1430">
        <f t="shared" si="14"/>
        <v>1589581.6088858061</v>
      </c>
      <c r="K53" s="1430">
        <f t="shared" si="14"/>
        <v>1877911.2805726156</v>
      </c>
      <c r="L53" s="1430">
        <f t="shared" si="14"/>
        <v>1769762.4033191241</v>
      </c>
      <c r="M53" s="56"/>
      <c r="N53" s="877"/>
      <c r="O53" s="353" t="s">
        <v>152</v>
      </c>
      <c r="P53" s="62" t="s">
        <v>118</v>
      </c>
      <c r="Q53" s="62" t="s">
        <v>118</v>
      </c>
      <c r="R53" s="62"/>
      <c r="T53" s="63"/>
    </row>
    <row r="54" spans="1:20" ht="15" thickBot="1">
      <c r="A54" s="356">
        <f>ROW()</f>
        <v>54</v>
      </c>
      <c r="B54" s="192" t="s">
        <v>153</v>
      </c>
      <c r="C54" s="447"/>
      <c r="D54" s="447"/>
      <c r="E54" s="447"/>
      <c r="F54" s="671"/>
      <c r="G54" s="142">
        <f>IFERROR(G53/Statistics!G19,0)</f>
        <v>757.15630888297676</v>
      </c>
      <c r="H54" s="142">
        <f>IFERROR(H53/Statistics!H19,0)</f>
        <v>1572.464466822026</v>
      </c>
      <c r="I54" s="142">
        <f>IFERROR(I53/Statistics!I19,0)</f>
        <v>1369.5991968640838</v>
      </c>
      <c r="J54" s="142">
        <f>IFERROR(J53/Statistics!J19,0)</f>
        <v>1839.7935288030162</v>
      </c>
      <c r="K54" s="142">
        <f>IFERROR(K53/Statistics!K19,0)</f>
        <v>2107.6445348738671</v>
      </c>
      <c r="L54" s="142">
        <f>IFERROR(L53/Statistics!L19,0)</f>
        <v>1927.8457552495906</v>
      </c>
      <c r="M54" s="56"/>
      <c r="O54" s="353"/>
      <c r="P54" s="35" t="s">
        <v>118</v>
      </c>
      <c r="Q54" s="35" t="s">
        <v>118</v>
      </c>
    </row>
    <row r="55" spans="1:20" ht="15" thickBot="1">
      <c r="A55" s="356">
        <f>ROW()</f>
        <v>55</v>
      </c>
      <c r="B55" s="449" t="s">
        <v>154</v>
      </c>
      <c r="C55" s="450"/>
      <c r="D55" s="450"/>
      <c r="E55" s="446"/>
      <c r="F55" s="672">
        <f t="shared" ref="F55:L55" si="15">+F53+E55</f>
        <v>1495.195000000007</v>
      </c>
      <c r="G55" s="672">
        <f t="shared" si="15"/>
        <v>410359.60179680743</v>
      </c>
      <c r="H55" s="672">
        <f t="shared" si="15"/>
        <v>1429316.5762974804</v>
      </c>
      <c r="I55" s="672">
        <f t="shared" si="15"/>
        <v>2464733.569126728</v>
      </c>
      <c r="J55" s="672">
        <f t="shared" si="15"/>
        <v>4054315.178012534</v>
      </c>
      <c r="K55" s="672">
        <f t="shared" si="15"/>
        <v>5932226.4585851496</v>
      </c>
      <c r="L55" s="672">
        <f t="shared" si="15"/>
        <v>7701988.8619042737</v>
      </c>
      <c r="M55" s="448"/>
      <c r="O55" s="317" t="s">
        <v>155</v>
      </c>
      <c r="P55" s="35" t="s">
        <v>118</v>
      </c>
      <c r="Q55" s="35" t="s">
        <v>118</v>
      </c>
      <c r="S55" s="57"/>
    </row>
    <row r="56" spans="1:20" ht="14.4">
      <c r="A56" s="356">
        <f>ROW()</f>
        <v>56</v>
      </c>
      <c r="B56" s="1497" t="s">
        <v>156</v>
      </c>
      <c r="C56" s="114">
        <f>SUM(F56:L56)</f>
        <v>2799957.2276135776</v>
      </c>
      <c r="D56" s="36"/>
      <c r="E56" s="715"/>
      <c r="F56" s="716">
        <v>0</v>
      </c>
      <c r="G56" s="716">
        <f>G50*0.04</f>
        <v>193794.80972812773</v>
      </c>
      <c r="H56" s="716">
        <f>H50*0.06</f>
        <v>370641.63607219158</v>
      </c>
      <c r="I56" s="716">
        <f>I50*0.07</f>
        <v>509800.4895210776</v>
      </c>
      <c r="J56" s="716">
        <f t="shared" ref="J56:L56" si="16">J50*0.07</f>
        <v>556546.41511697264</v>
      </c>
      <c r="K56" s="716">
        <f t="shared" si="16"/>
        <v>570109.54679375014</v>
      </c>
      <c r="L56" s="716">
        <f t="shared" si="16"/>
        <v>599064.33038145793</v>
      </c>
      <c r="M56" s="448"/>
      <c r="O56" s="353" t="s">
        <v>1538</v>
      </c>
      <c r="S56" s="57"/>
    </row>
    <row r="57" spans="1:20" ht="14.4">
      <c r="A57" s="356">
        <f>ROW()</f>
        <v>57</v>
      </c>
      <c r="B57" s="1497"/>
      <c r="C57" s="114"/>
      <c r="D57" s="36"/>
      <c r="E57" s="715"/>
      <c r="F57" s="715"/>
      <c r="G57" s="715"/>
      <c r="H57" s="715"/>
      <c r="I57" s="715"/>
      <c r="J57" s="715"/>
      <c r="K57" s="715"/>
      <c r="L57" s="715"/>
      <c r="M57" s="448"/>
      <c r="O57" s="353"/>
      <c r="S57" s="57"/>
    </row>
    <row r="58" spans="1:20" ht="14.4">
      <c r="A58" s="356">
        <f>ROW()</f>
        <v>58</v>
      </c>
      <c r="B58" s="1497" t="s">
        <v>1263</v>
      </c>
      <c r="C58" s="114"/>
      <c r="D58" s="36"/>
      <c r="E58" s="715"/>
      <c r="F58" s="1510"/>
      <c r="G58" s="1510"/>
      <c r="H58" s="1510"/>
      <c r="I58" s="1510"/>
      <c r="J58" s="1510"/>
      <c r="K58" s="1510"/>
      <c r="L58" s="1510"/>
      <c r="M58" s="448"/>
      <c r="O58" s="353"/>
      <c r="S58" s="57"/>
    </row>
    <row r="59" spans="1:20" ht="14.4">
      <c r="A59" s="356">
        <f>ROW()</f>
        <v>59</v>
      </c>
      <c r="B59" s="1497" t="s">
        <v>1299</v>
      </c>
      <c r="C59" s="114"/>
      <c r="D59" s="36"/>
      <c r="E59" s="715"/>
      <c r="F59" s="1511"/>
      <c r="G59" s="1511"/>
      <c r="H59" s="1511"/>
      <c r="I59" s="1511"/>
      <c r="J59" s="1511"/>
      <c r="K59" s="1511"/>
      <c r="L59" s="1511"/>
      <c r="M59" s="448"/>
      <c r="O59" s="353"/>
      <c r="S59" s="57"/>
    </row>
    <row r="60" spans="1:20" ht="14.4">
      <c r="A60" s="356">
        <f>ROW()</f>
        <v>60</v>
      </c>
      <c r="B60" s="1497" t="s">
        <v>1371</v>
      </c>
      <c r="C60" s="114"/>
      <c r="D60" s="36"/>
      <c r="E60" s="715"/>
      <c r="F60" s="1511"/>
      <c r="G60" s="1511"/>
      <c r="H60" s="1511"/>
      <c r="I60" s="1511"/>
      <c r="J60" s="1511"/>
      <c r="K60" s="1511"/>
      <c r="L60" s="1511"/>
      <c r="M60" s="448"/>
      <c r="O60" s="353"/>
      <c r="S60" s="57"/>
    </row>
    <row r="61" spans="1:20" ht="14.4" hidden="1" outlineLevel="1">
      <c r="A61" s="356">
        <f>ROW()</f>
        <v>61</v>
      </c>
      <c r="B61" s="1498" t="s">
        <v>1302</v>
      </c>
      <c r="C61" s="1499"/>
      <c r="D61" s="1500"/>
      <c r="E61" s="715"/>
      <c r="F61" s="1513">
        <v>0</v>
      </c>
      <c r="G61" s="1512">
        <f>+F69</f>
        <v>0</v>
      </c>
      <c r="H61" s="1512">
        <f>+G69</f>
        <v>0</v>
      </c>
      <c r="I61" s="1512">
        <f t="shared" ref="I61:L61" si="17">+H69</f>
        <v>0</v>
      </c>
      <c r="J61" s="1512">
        <f t="shared" si="17"/>
        <v>0</v>
      </c>
      <c r="K61" s="1512">
        <f t="shared" si="17"/>
        <v>0</v>
      </c>
      <c r="L61" s="1512">
        <f t="shared" si="17"/>
        <v>0</v>
      </c>
      <c r="M61" s="448"/>
      <c r="O61" s="353"/>
      <c r="S61" s="57"/>
    </row>
    <row r="62" spans="1:20" ht="14.4" hidden="1" outlineLevel="1">
      <c r="A62" s="356">
        <f>ROW()</f>
        <v>62</v>
      </c>
      <c r="B62" s="1498" t="s">
        <v>1298</v>
      </c>
      <c r="C62" s="1499"/>
      <c r="D62" s="1500"/>
      <c r="E62" s="715"/>
      <c r="F62" s="1511">
        <f t="shared" ref="F62:L62" si="18">IF(F53&lt;0,-F53,0)</f>
        <v>0</v>
      </c>
      <c r="G62" s="1511">
        <f t="shared" si="18"/>
        <v>0</v>
      </c>
      <c r="H62" s="1511">
        <f t="shared" si="18"/>
        <v>0</v>
      </c>
      <c r="I62" s="1511">
        <f t="shared" si="18"/>
        <v>0</v>
      </c>
      <c r="J62" s="1511">
        <f t="shared" si="18"/>
        <v>0</v>
      </c>
      <c r="K62" s="1511">
        <f t="shared" si="18"/>
        <v>0</v>
      </c>
      <c r="L62" s="1511">
        <f t="shared" si="18"/>
        <v>0</v>
      </c>
      <c r="M62" s="448"/>
      <c r="O62" s="353"/>
      <c r="S62" s="57"/>
    </row>
    <row r="63" spans="1:20" ht="14.4" hidden="1" outlineLevel="1">
      <c r="A63" s="356">
        <f>ROW()</f>
        <v>63</v>
      </c>
      <c r="B63" s="1498" t="s">
        <v>1350</v>
      </c>
      <c r="C63" s="1499"/>
      <c r="D63" s="1532">
        <v>0.06</v>
      </c>
      <c r="E63" s="715"/>
      <c r="F63" s="1511"/>
      <c r="G63" s="1511">
        <f>G61*$D$63</f>
        <v>0</v>
      </c>
      <c r="H63" s="1511">
        <f t="shared" ref="H63:L63" si="19">H61*$D$63</f>
        <v>0</v>
      </c>
      <c r="I63" s="1511">
        <f t="shared" si="19"/>
        <v>0</v>
      </c>
      <c r="J63" s="1511">
        <f t="shared" si="19"/>
        <v>0</v>
      </c>
      <c r="K63" s="1511">
        <f t="shared" si="19"/>
        <v>0</v>
      </c>
      <c r="L63" s="1511">
        <f t="shared" si="19"/>
        <v>0</v>
      </c>
      <c r="M63" s="448"/>
      <c r="O63" s="353"/>
      <c r="S63" s="57"/>
    </row>
    <row r="64" spans="1:20" ht="14.4" hidden="1" outlineLevel="1">
      <c r="A64" s="356">
        <f>ROW()</f>
        <v>64</v>
      </c>
      <c r="B64" s="1498"/>
      <c r="C64" s="1499"/>
      <c r="D64" s="1499"/>
      <c r="E64" s="715"/>
      <c r="F64" s="1512">
        <f>SUM(F61:F63)</f>
        <v>0</v>
      </c>
      <c r="G64" s="1512">
        <f>SUM(G61:G63)</f>
        <v>0</v>
      </c>
      <c r="H64" s="1512">
        <f t="shared" ref="H64:L64" si="20">SUM(H61:H63)</f>
        <v>0</v>
      </c>
      <c r="I64" s="1512">
        <f t="shared" si="20"/>
        <v>0</v>
      </c>
      <c r="J64" s="1512">
        <f t="shared" si="20"/>
        <v>0</v>
      </c>
      <c r="K64" s="1512">
        <f t="shared" si="20"/>
        <v>0</v>
      </c>
      <c r="L64" s="1512">
        <f t="shared" si="20"/>
        <v>0</v>
      </c>
      <c r="M64" s="448"/>
      <c r="O64" s="353"/>
      <c r="S64" s="57"/>
    </row>
    <row r="65" spans="1:19" ht="14.4" hidden="1" outlineLevel="1">
      <c r="A65" s="356">
        <f>ROW()</f>
        <v>65</v>
      </c>
      <c r="B65" s="1544" t="s">
        <v>1366</v>
      </c>
      <c r="C65" s="1545"/>
      <c r="D65" s="1545"/>
      <c r="E65" s="715"/>
      <c r="F65" s="1511"/>
      <c r="G65" s="1511"/>
      <c r="H65" s="1511"/>
      <c r="I65" s="1511"/>
      <c r="J65" s="1511"/>
      <c r="K65" s="1511"/>
      <c r="L65" s="1511"/>
      <c r="M65" s="448"/>
      <c r="O65" s="353"/>
      <c r="S65" s="57"/>
    </row>
    <row r="66" spans="1:19" ht="14.4" hidden="1" outlineLevel="1">
      <c r="A66" s="356">
        <f>ROW()</f>
        <v>66</v>
      </c>
      <c r="B66" s="1498" t="s">
        <v>1353</v>
      </c>
      <c r="C66" s="1499"/>
      <c r="D66" s="1500"/>
      <c r="E66" s="715"/>
      <c r="F66" s="1511">
        <f>IF(F53&gt;0,F53,F53+F61+F62+F63)</f>
        <v>1495.195000000007</v>
      </c>
      <c r="G66" s="1511">
        <f>IF(G53&gt;0,G53,G53+G61+G62+G63)</f>
        <v>408864.40679680742</v>
      </c>
      <c r="H66" s="1511">
        <f>IF(H53&gt;0,H53,H53+H61+H62+H63)</f>
        <v>1018956.9745006729</v>
      </c>
      <c r="I66" s="1511">
        <f t="shared" ref="I66:L66" si="21">IF(I53&gt;0,I53,I53+I61+I62+I63)</f>
        <v>1035416.9928292474</v>
      </c>
      <c r="J66" s="1511">
        <f t="shared" si="21"/>
        <v>1589581.6088858061</v>
      </c>
      <c r="K66" s="1511">
        <f t="shared" si="21"/>
        <v>1877911.2805726156</v>
      </c>
      <c r="L66" s="1511">
        <f t="shared" si="21"/>
        <v>1769762.4033191241</v>
      </c>
      <c r="M66" s="448"/>
      <c r="O66" s="353"/>
      <c r="S66" s="57"/>
    </row>
    <row r="67" spans="1:19" ht="14.4" hidden="1" outlineLevel="1">
      <c r="A67" s="356">
        <f>ROW()</f>
        <v>67</v>
      </c>
      <c r="B67" s="1498" t="s">
        <v>1348</v>
      </c>
      <c r="C67" s="1499"/>
      <c r="D67" s="1500"/>
      <c r="E67" s="715"/>
      <c r="F67" s="1511">
        <f>+E67+F66</f>
        <v>1495.195000000007</v>
      </c>
      <c r="G67" s="1511">
        <f>+F67+G66</f>
        <v>410359.60179680743</v>
      </c>
      <c r="H67" s="1511">
        <f>+G67+H66</f>
        <v>1429316.5762974804</v>
      </c>
      <c r="I67" s="1511">
        <f t="shared" ref="I67:L67" si="22">+H67+I66</f>
        <v>2464733.569126728</v>
      </c>
      <c r="J67" s="1511">
        <f t="shared" si="22"/>
        <v>4054315.178012534</v>
      </c>
      <c r="K67" s="1511">
        <f t="shared" si="22"/>
        <v>5932226.4585851496</v>
      </c>
      <c r="L67" s="1511">
        <f t="shared" si="22"/>
        <v>7701988.8619042737</v>
      </c>
      <c r="M67" s="448"/>
      <c r="O67" s="353"/>
      <c r="S67" s="57"/>
    </row>
    <row r="68" spans="1:19" ht="14.4" hidden="1" outlineLevel="1">
      <c r="A68" s="356">
        <f>ROW()</f>
        <v>68</v>
      </c>
      <c r="B68" s="1498" t="s">
        <v>1349</v>
      </c>
      <c r="C68" s="1499"/>
      <c r="D68" s="1500"/>
      <c r="E68" s="715"/>
      <c r="F68" s="1533">
        <f t="shared" ref="F68:H68" si="23">IF(F53&gt;0,MIN(F66,F53,(F61+F63+F62)),0)</f>
        <v>0</v>
      </c>
      <c r="G68" s="1533">
        <f t="shared" si="23"/>
        <v>0</v>
      </c>
      <c r="H68" s="1533">
        <f t="shared" si="23"/>
        <v>0</v>
      </c>
      <c r="I68" s="1533">
        <f>IF(I53&gt;0,MIN(I66,I53,(I61+I63+I62)),0)</f>
        <v>0</v>
      </c>
      <c r="J68" s="1533">
        <f>IF(J53&gt;0,MIN(J66,J53,(J61+J63+J62)),0)</f>
        <v>0</v>
      </c>
      <c r="K68" s="1533">
        <f t="shared" ref="K68:L68" si="24">IF(K53&gt;0,MIN(K66,K53,(K61+K63+K62)),0)</f>
        <v>0</v>
      </c>
      <c r="L68" s="1533">
        <f t="shared" si="24"/>
        <v>0</v>
      </c>
      <c r="M68" s="448"/>
      <c r="O68" s="353"/>
      <c r="S68" s="57"/>
    </row>
    <row r="69" spans="1:19" ht="14.4" hidden="1" outlineLevel="1">
      <c r="A69" s="356">
        <f>ROW()</f>
        <v>69</v>
      </c>
      <c r="B69" s="1498" t="s">
        <v>1301</v>
      </c>
      <c r="C69" s="1499"/>
      <c r="D69" s="1500"/>
      <c r="E69" s="715"/>
      <c r="F69" s="1512">
        <f t="shared" ref="F69:L69" si="25">F61+F62+F63-F68</f>
        <v>0</v>
      </c>
      <c r="G69" s="1512">
        <f t="shared" si="25"/>
        <v>0</v>
      </c>
      <c r="H69" s="1512">
        <f t="shared" si="25"/>
        <v>0</v>
      </c>
      <c r="I69" s="1512">
        <f t="shared" si="25"/>
        <v>0</v>
      </c>
      <c r="J69" s="1512">
        <f t="shared" si="25"/>
        <v>0</v>
      </c>
      <c r="K69" s="1512">
        <f t="shared" si="25"/>
        <v>0</v>
      </c>
      <c r="L69" s="1512">
        <f t="shared" si="25"/>
        <v>0</v>
      </c>
      <c r="M69" s="448"/>
      <c r="O69" s="353"/>
      <c r="S69" s="57"/>
    </row>
    <row r="70" spans="1:19" ht="14.4" hidden="1" outlineLevel="1">
      <c r="A70" s="356">
        <f>ROW()</f>
        <v>70</v>
      </c>
      <c r="B70" s="1498"/>
      <c r="C70" s="1499"/>
      <c r="D70" s="1500"/>
      <c r="E70" s="715"/>
      <c r="F70" s="1511"/>
      <c r="G70" s="1511"/>
      <c r="H70" s="1511"/>
      <c r="I70" s="1511"/>
      <c r="J70" s="1511"/>
      <c r="K70" s="1511"/>
      <c r="L70" s="1511"/>
      <c r="M70" s="448"/>
      <c r="O70" s="353"/>
      <c r="S70" s="57"/>
    </row>
    <row r="71" spans="1:19" ht="14.4" hidden="1" outlineLevel="1">
      <c r="A71" s="356">
        <f>ROW()</f>
        <v>71</v>
      </c>
      <c r="B71" s="1498" t="s">
        <v>1352</v>
      </c>
      <c r="C71" s="1499"/>
      <c r="D71" s="1500"/>
      <c r="E71" s="715"/>
      <c r="F71" s="1511">
        <f t="shared" ref="F71:G71" si="26">IF(F53&gt;0,F53-F68,0)</f>
        <v>1495.195000000007</v>
      </c>
      <c r="G71" s="1511">
        <f t="shared" si="26"/>
        <v>408864.40679680742</v>
      </c>
      <c r="H71" s="1511">
        <f>IF(H53&gt;0,H53-H68,0)</f>
        <v>1018956.9745006729</v>
      </c>
      <c r="I71" s="1511">
        <f t="shared" ref="I71:L71" si="27">IF(I53&gt;0,I53-I68,0)</f>
        <v>1035416.9928292474</v>
      </c>
      <c r="J71" s="1511">
        <f t="shared" si="27"/>
        <v>1589581.6088858061</v>
      </c>
      <c r="K71" s="1511">
        <f t="shared" si="27"/>
        <v>1877911.2805726156</v>
      </c>
      <c r="L71" s="1511">
        <f t="shared" si="27"/>
        <v>1769762.4033191241</v>
      </c>
      <c r="M71" s="448"/>
      <c r="O71" s="353"/>
      <c r="S71" s="57"/>
    </row>
    <row r="72" spans="1:19" ht="14.4" hidden="1" outlineLevel="1">
      <c r="A72" s="356">
        <f>ROW()</f>
        <v>72</v>
      </c>
      <c r="B72" s="1498" t="s">
        <v>1351</v>
      </c>
      <c r="C72" s="1499"/>
      <c r="D72" s="1500"/>
      <c r="E72" s="715"/>
      <c r="F72" s="1511">
        <f t="shared" ref="F72:H72" si="28">+F71+E72</f>
        <v>1495.195000000007</v>
      </c>
      <c r="G72" s="1511">
        <f t="shared" si="28"/>
        <v>410359.60179680743</v>
      </c>
      <c r="H72" s="1511">
        <f t="shared" si="28"/>
        <v>1429316.5762974804</v>
      </c>
      <c r="I72" s="1511">
        <f>+I71+H72</f>
        <v>2464733.569126728</v>
      </c>
      <c r="J72" s="1511">
        <f t="shared" ref="J72:L72" si="29">+J71+I72</f>
        <v>4054315.178012534</v>
      </c>
      <c r="K72" s="1511">
        <f t="shared" si="29"/>
        <v>5932226.4585851496</v>
      </c>
      <c r="L72" s="1511">
        <f t="shared" si="29"/>
        <v>7701988.8619042737</v>
      </c>
      <c r="M72" s="448"/>
      <c r="O72" s="353"/>
      <c r="S72" s="57"/>
    </row>
    <row r="73" spans="1:19" ht="14.4" collapsed="1">
      <c r="A73" s="356">
        <f>ROW()</f>
        <v>73</v>
      </c>
      <c r="B73" s="715"/>
      <c r="C73" s="715"/>
      <c r="D73" s="715"/>
      <c r="E73" s="715"/>
      <c r="F73" s="114"/>
      <c r="G73" s="114"/>
      <c r="H73" s="114"/>
      <c r="I73" s="114"/>
      <c r="J73" s="114"/>
      <c r="K73" s="114"/>
      <c r="L73" s="114"/>
      <c r="M73" s="448"/>
      <c r="O73" s="353"/>
      <c r="S73" s="57"/>
    </row>
    <row r="74" spans="1:19" ht="14.4">
      <c r="A74" s="356">
        <f>ROW()</f>
        <v>74</v>
      </c>
      <c r="B74" s="1611" t="s">
        <v>1475</v>
      </c>
      <c r="C74" s="1612"/>
      <c r="D74" s="1613"/>
      <c r="E74" s="1614"/>
      <c r="F74" s="716">
        <v>0</v>
      </c>
      <c r="G74" s="716">
        <v>0</v>
      </c>
      <c r="H74" s="716">
        <v>0</v>
      </c>
      <c r="I74" s="716">
        <v>0</v>
      </c>
      <c r="J74" s="716">
        <v>0</v>
      </c>
      <c r="K74" s="716">
        <v>0</v>
      </c>
      <c r="L74" s="716">
        <v>0</v>
      </c>
      <c r="M74" s="448"/>
      <c r="O74" s="353"/>
      <c r="S74" s="57"/>
    </row>
    <row r="75" spans="1:19" ht="14.4">
      <c r="A75" s="356">
        <f>ROW()</f>
        <v>75</v>
      </c>
      <c r="B75" s="1611" t="s">
        <v>1476</v>
      </c>
      <c r="C75" s="1612"/>
      <c r="D75" s="1613"/>
      <c r="E75" s="1614"/>
      <c r="F75" s="292">
        <v>0</v>
      </c>
      <c r="G75" s="292">
        <v>0</v>
      </c>
      <c r="H75" s="292">
        <v>0</v>
      </c>
      <c r="I75" s="292">
        <v>0</v>
      </c>
      <c r="J75" s="292">
        <v>0</v>
      </c>
      <c r="K75" s="292">
        <v>0</v>
      </c>
      <c r="L75" s="292">
        <v>0</v>
      </c>
      <c r="M75" s="448"/>
      <c r="O75" s="353"/>
      <c r="S75" s="57"/>
    </row>
    <row r="76" spans="1:19" ht="15" thickBot="1">
      <c r="A76" s="356">
        <f>ROW()</f>
        <v>76</v>
      </c>
      <c r="B76" s="726" t="s">
        <v>157</v>
      </c>
      <c r="C76" s="727"/>
      <c r="D76" s="727"/>
      <c r="E76" s="728"/>
      <c r="F76" s="864">
        <f t="shared" ref="F76:L76" si="30">SUM(F74:F75)</f>
        <v>0</v>
      </c>
      <c r="G76" s="864">
        <f t="shared" si="30"/>
        <v>0</v>
      </c>
      <c r="H76" s="864">
        <f t="shared" si="30"/>
        <v>0</v>
      </c>
      <c r="I76" s="864">
        <f t="shared" si="30"/>
        <v>0</v>
      </c>
      <c r="J76" s="864">
        <f t="shared" si="30"/>
        <v>0</v>
      </c>
      <c r="K76" s="864">
        <f t="shared" si="30"/>
        <v>0</v>
      </c>
      <c r="L76" s="864">
        <f t="shared" si="30"/>
        <v>0</v>
      </c>
      <c r="M76" s="448"/>
      <c r="O76" s="353"/>
      <c r="S76" s="57"/>
    </row>
    <row r="77" spans="1:19" ht="15" thickBot="1">
      <c r="A77" s="356">
        <f>ROW()</f>
        <v>77</v>
      </c>
      <c r="B77" s="449" t="s">
        <v>158</v>
      </c>
      <c r="C77" s="450"/>
      <c r="D77" s="450"/>
      <c r="E77" s="446"/>
      <c r="F77" s="672">
        <f t="shared" ref="F77:L77" si="31">+F53-F56-F76</f>
        <v>1495.195000000007</v>
      </c>
      <c r="G77" s="672">
        <f t="shared" si="31"/>
        <v>215069.59706867969</v>
      </c>
      <c r="H77" s="672">
        <f t="shared" si="31"/>
        <v>648315.33842848125</v>
      </c>
      <c r="I77" s="672">
        <f t="shared" si="31"/>
        <v>525616.50330816978</v>
      </c>
      <c r="J77" s="672">
        <f t="shared" si="31"/>
        <v>1033035.1937688334</v>
      </c>
      <c r="K77" s="672">
        <f t="shared" si="31"/>
        <v>1307801.7337788655</v>
      </c>
      <c r="L77" s="672">
        <f t="shared" si="31"/>
        <v>1170698.0729376662</v>
      </c>
      <c r="M77" s="448"/>
      <c r="O77" s="353"/>
      <c r="S77" s="57"/>
    </row>
    <row r="78" spans="1:19" ht="14.4">
      <c r="A78" s="356">
        <f>ROW()</f>
        <v>78</v>
      </c>
      <c r="B78" s="192"/>
      <c r="C78" s="447"/>
      <c r="D78" s="447"/>
      <c r="E78" s="447"/>
      <c r="F78" s="673"/>
      <c r="G78" s="673"/>
      <c r="H78" s="673"/>
      <c r="I78" s="673"/>
      <c r="J78" s="673"/>
      <c r="K78" s="673"/>
      <c r="L78" s="673"/>
      <c r="M78" s="448"/>
      <c r="O78" s="353"/>
      <c r="P78" s="35" t="s">
        <v>118</v>
      </c>
      <c r="Q78" s="35" t="s">
        <v>118</v>
      </c>
    </row>
    <row r="79" spans="1:19" ht="14.4">
      <c r="A79" s="356">
        <f>ROW()</f>
        <v>79</v>
      </c>
      <c r="B79" s="192" t="s">
        <v>159</v>
      </c>
      <c r="C79" s="447"/>
      <c r="D79" s="447"/>
      <c r="E79" s="447"/>
      <c r="F79" s="671">
        <f t="shared" ref="F79:L79" si="32">+F53-(SUM(F32:F33))-F27</f>
        <v>-148504.80499999999</v>
      </c>
      <c r="G79" s="671">
        <f t="shared" si="32"/>
        <v>408864.40679680742</v>
      </c>
      <c r="H79" s="671">
        <f t="shared" si="32"/>
        <v>1018956.9745006729</v>
      </c>
      <c r="I79" s="671">
        <f t="shared" si="32"/>
        <v>1035416.9928292474</v>
      </c>
      <c r="J79" s="671">
        <f t="shared" si="32"/>
        <v>1589581.6088858061</v>
      </c>
      <c r="K79" s="671">
        <f t="shared" si="32"/>
        <v>1877911.2805726156</v>
      </c>
      <c r="L79" s="671">
        <f t="shared" si="32"/>
        <v>1769762.4033191241</v>
      </c>
      <c r="M79" s="448"/>
      <c r="O79" s="353"/>
      <c r="P79" s="35" t="s">
        <v>118</v>
      </c>
      <c r="Q79" s="35" t="s">
        <v>118</v>
      </c>
    </row>
    <row r="80" spans="1:19" ht="14.4">
      <c r="A80" s="356">
        <f>ROW()</f>
        <v>80</v>
      </c>
      <c r="B80" s="192" t="s">
        <v>160</v>
      </c>
      <c r="C80" s="447"/>
      <c r="D80" s="447"/>
      <c r="E80" s="447"/>
      <c r="F80" s="673"/>
      <c r="G80" s="671">
        <f t="shared" ref="G80:L80" si="33">+G79+F80</f>
        <v>408864.40679680742</v>
      </c>
      <c r="H80" s="671">
        <f t="shared" si="33"/>
        <v>1427821.3812974803</v>
      </c>
      <c r="I80" s="671">
        <f t="shared" si="33"/>
        <v>2463238.3741267277</v>
      </c>
      <c r="J80" s="671">
        <f t="shared" si="33"/>
        <v>4052819.9830125337</v>
      </c>
      <c r="K80" s="671">
        <f t="shared" si="33"/>
        <v>5930731.2635851493</v>
      </c>
      <c r="L80" s="671">
        <f t="shared" si="33"/>
        <v>7700493.6669042734</v>
      </c>
      <c r="M80" s="448"/>
      <c r="O80" s="353"/>
      <c r="P80" s="35" t="s">
        <v>118</v>
      </c>
      <c r="Q80" s="35" t="s">
        <v>118</v>
      </c>
    </row>
    <row r="81" spans="1:19" ht="14.4">
      <c r="A81" s="356">
        <f>ROW()</f>
        <v>81</v>
      </c>
      <c r="B81" s="192"/>
      <c r="C81" s="447"/>
      <c r="D81" s="447"/>
      <c r="E81" s="447"/>
      <c r="F81" s="673"/>
      <c r="G81" s="673"/>
      <c r="H81" s="673"/>
      <c r="I81" s="673"/>
      <c r="J81" s="673"/>
      <c r="K81" s="673"/>
      <c r="L81" s="673"/>
      <c r="M81" s="448"/>
      <c r="O81" s="353"/>
      <c r="P81" s="35" t="s">
        <v>118</v>
      </c>
      <c r="Q81" s="35" t="s">
        <v>118</v>
      </c>
    </row>
    <row r="82" spans="1:19" ht="14.4">
      <c r="M82" s="448"/>
      <c r="O82" s="353"/>
      <c r="P82" s="35" t="s">
        <v>118</v>
      </c>
      <c r="Q82" s="35" t="s">
        <v>118</v>
      </c>
    </row>
    <row r="83" spans="1:19">
      <c r="M83" s="451"/>
      <c r="O83" s="353"/>
      <c r="P83" s="35" t="s">
        <v>118</v>
      </c>
      <c r="Q83" s="35" t="s">
        <v>118</v>
      </c>
    </row>
    <row r="84" spans="1:19">
      <c r="M84" s="452"/>
      <c r="O84" s="353"/>
      <c r="P84" s="35" t="s">
        <v>118</v>
      </c>
      <c r="Q84" s="35" t="s">
        <v>118</v>
      </c>
    </row>
    <row r="85" spans="1:19">
      <c r="M85" s="454"/>
      <c r="O85" s="353"/>
      <c r="P85" s="35" t="s">
        <v>118</v>
      </c>
      <c r="Q85" s="35" t="s">
        <v>118</v>
      </c>
      <c r="S85" s="357"/>
    </row>
    <row r="86" spans="1:19">
      <c r="M86" s="454"/>
      <c r="O86" s="353"/>
      <c r="P86" s="35" t="s">
        <v>118</v>
      </c>
      <c r="Q86" s="35" t="s">
        <v>118</v>
      </c>
    </row>
    <row r="87" spans="1:19">
      <c r="O87" s="353"/>
      <c r="P87" s="35" t="s">
        <v>118</v>
      </c>
      <c r="Q87" s="35" t="s">
        <v>118</v>
      </c>
    </row>
    <row r="88" spans="1:19">
      <c r="O88" s="353"/>
      <c r="P88" s="35" t="s">
        <v>118</v>
      </c>
      <c r="Q88" s="35" t="s">
        <v>118</v>
      </c>
    </row>
    <row r="89" spans="1:19">
      <c r="O89" s="353"/>
      <c r="P89" s="35" t="s">
        <v>118</v>
      </c>
      <c r="Q89" s="35" t="s">
        <v>118</v>
      </c>
    </row>
    <row r="90" spans="1:19">
      <c r="O90" s="353"/>
      <c r="P90" s="35" t="s">
        <v>118</v>
      </c>
      <c r="Q90" s="35" t="s">
        <v>118</v>
      </c>
    </row>
    <row r="91" spans="1:19">
      <c r="O91" s="353"/>
      <c r="P91" s="35" t="s">
        <v>118</v>
      </c>
      <c r="Q91" s="35" t="s">
        <v>118</v>
      </c>
    </row>
    <row r="92" spans="1:19">
      <c r="O92" s="353"/>
      <c r="P92" s="35" t="s">
        <v>118</v>
      </c>
      <c r="Q92" s="35" t="s">
        <v>118</v>
      </c>
    </row>
    <row r="93" spans="1:19">
      <c r="O93" s="353"/>
      <c r="P93" s="35" t="s">
        <v>118</v>
      </c>
      <c r="Q93" s="35" t="s">
        <v>118</v>
      </c>
    </row>
    <row r="94" spans="1:19">
      <c r="O94" s="353"/>
      <c r="P94" s="35" t="s">
        <v>118</v>
      </c>
      <c r="Q94" s="35" t="s">
        <v>118</v>
      </c>
    </row>
    <row r="95" spans="1:19">
      <c r="O95" s="353"/>
      <c r="P95" s="35" t="s">
        <v>118</v>
      </c>
      <c r="Q95" s="35" t="s">
        <v>118</v>
      </c>
    </row>
    <row r="96" spans="1:19">
      <c r="O96" s="353"/>
      <c r="P96" s="35" t="s">
        <v>118</v>
      </c>
      <c r="Q96" s="35" t="s">
        <v>118</v>
      </c>
    </row>
    <row r="97" spans="15:17">
      <c r="O97" s="353"/>
      <c r="P97" s="35" t="s">
        <v>118</v>
      </c>
      <c r="Q97" s="35" t="s">
        <v>118</v>
      </c>
    </row>
    <row r="98" spans="15:17">
      <c r="O98" s="353"/>
      <c r="P98" s="35" t="s">
        <v>118</v>
      </c>
      <c r="Q98" s="35" t="s">
        <v>118</v>
      </c>
    </row>
    <row r="99" spans="15:17">
      <c r="O99" s="353"/>
      <c r="P99" s="35" t="s">
        <v>118</v>
      </c>
      <c r="Q99" s="35" t="s">
        <v>118</v>
      </c>
    </row>
    <row r="100" spans="15:17">
      <c r="O100" s="353"/>
      <c r="P100" s="35" t="s">
        <v>118</v>
      </c>
      <c r="Q100" s="35" t="s">
        <v>118</v>
      </c>
    </row>
    <row r="101" spans="15:17">
      <c r="O101" s="353"/>
      <c r="P101" s="35" t="s">
        <v>118</v>
      </c>
      <c r="Q101" s="35" t="s">
        <v>118</v>
      </c>
    </row>
    <row r="102" spans="15:17">
      <c r="O102" s="353"/>
      <c r="P102" s="35" t="s">
        <v>118</v>
      </c>
      <c r="Q102" s="35" t="s">
        <v>118</v>
      </c>
    </row>
    <row r="103" spans="15:17">
      <c r="O103" s="353"/>
      <c r="P103" s="35" t="s">
        <v>118</v>
      </c>
      <c r="Q103" s="35" t="s">
        <v>118</v>
      </c>
    </row>
    <row r="104" spans="15:17">
      <c r="O104" s="353"/>
      <c r="P104" s="35" t="s">
        <v>118</v>
      </c>
      <c r="Q104" s="35" t="s">
        <v>118</v>
      </c>
    </row>
    <row r="105" spans="15:17">
      <c r="O105" s="353"/>
      <c r="P105" s="35" t="s">
        <v>118</v>
      </c>
      <c r="Q105" s="35" t="s">
        <v>118</v>
      </c>
    </row>
    <row r="106" spans="15:17">
      <c r="O106" s="353"/>
      <c r="P106" s="35" t="s">
        <v>118</v>
      </c>
      <c r="Q106" s="35" t="s">
        <v>118</v>
      </c>
    </row>
    <row r="107" spans="15:17">
      <c r="O107" s="353"/>
      <c r="P107" s="35" t="s">
        <v>118</v>
      </c>
      <c r="Q107" s="35" t="s">
        <v>118</v>
      </c>
    </row>
    <row r="108" spans="15:17">
      <c r="O108" s="353"/>
      <c r="P108" s="35" t="s">
        <v>118</v>
      </c>
      <c r="Q108" s="35" t="s">
        <v>118</v>
      </c>
    </row>
    <row r="109" spans="15:17">
      <c r="O109" s="353"/>
      <c r="P109" s="35" t="s">
        <v>118</v>
      </c>
      <c r="Q109" s="35" t="s">
        <v>118</v>
      </c>
    </row>
    <row r="110" spans="15:17">
      <c r="O110" s="353"/>
      <c r="P110" s="35" t="s">
        <v>118</v>
      </c>
      <c r="Q110" s="35" t="s">
        <v>118</v>
      </c>
    </row>
    <row r="111" spans="15:17">
      <c r="O111" s="353"/>
      <c r="P111" s="35" t="s">
        <v>118</v>
      </c>
      <c r="Q111" s="35" t="s">
        <v>118</v>
      </c>
    </row>
    <row r="112" spans="15:17">
      <c r="O112" s="353"/>
      <c r="P112" s="35" t="s">
        <v>118</v>
      </c>
      <c r="Q112" s="35" t="s">
        <v>118</v>
      </c>
    </row>
    <row r="113" spans="13:17">
      <c r="O113" s="353"/>
      <c r="P113" s="35" t="s">
        <v>118</v>
      </c>
      <c r="Q113" s="35" t="s">
        <v>118</v>
      </c>
    </row>
    <row r="114" spans="13:17">
      <c r="O114" s="353"/>
      <c r="P114" s="35" t="s">
        <v>118</v>
      </c>
      <c r="Q114" s="35" t="s">
        <v>118</v>
      </c>
    </row>
    <row r="115" spans="13:17">
      <c r="O115" s="353"/>
      <c r="P115" s="35" t="s">
        <v>118</v>
      </c>
      <c r="Q115" s="35" t="s">
        <v>118</v>
      </c>
    </row>
    <row r="116" spans="13:17">
      <c r="O116" s="353"/>
      <c r="P116" s="35" t="s">
        <v>118</v>
      </c>
      <c r="Q116" s="35" t="s">
        <v>118</v>
      </c>
    </row>
    <row r="117" spans="13:17">
      <c r="O117" s="353"/>
    </row>
    <row r="118" spans="13:17">
      <c r="O118" s="353"/>
      <c r="P118" s="35" t="s">
        <v>118</v>
      </c>
      <c r="Q118" s="35" t="s">
        <v>118</v>
      </c>
    </row>
    <row r="119" spans="13:17">
      <c r="O119" s="353"/>
      <c r="P119" s="35" t="s">
        <v>118</v>
      </c>
      <c r="Q119" s="35" t="s">
        <v>118</v>
      </c>
    </row>
    <row r="120" spans="13:17">
      <c r="O120" s="353"/>
      <c r="P120" s="35" t="s">
        <v>118</v>
      </c>
      <c r="Q120" s="35" t="s">
        <v>118</v>
      </c>
    </row>
    <row r="121" spans="13:17">
      <c r="O121" s="353"/>
      <c r="P121" s="35" t="s">
        <v>118</v>
      </c>
      <c r="Q121" s="35" t="s">
        <v>118</v>
      </c>
    </row>
    <row r="122" spans="13:17">
      <c r="O122" s="353"/>
      <c r="P122" s="35" t="s">
        <v>118</v>
      </c>
      <c r="Q122" s="35" t="s">
        <v>118</v>
      </c>
    </row>
    <row r="123" spans="13:17">
      <c r="M123" s="442"/>
      <c r="O123" s="353"/>
      <c r="P123" s="35" t="s">
        <v>118</v>
      </c>
      <c r="Q123" s="35" t="s">
        <v>118</v>
      </c>
    </row>
    <row r="124" spans="13:17">
      <c r="M124" s="442"/>
      <c r="O124" s="353"/>
      <c r="P124" s="35" t="s">
        <v>118</v>
      </c>
      <c r="Q124" s="35" t="s">
        <v>118</v>
      </c>
    </row>
    <row r="125" spans="13:17">
      <c r="M125" s="442"/>
      <c r="O125" s="353"/>
      <c r="P125" s="35" t="s">
        <v>118</v>
      </c>
      <c r="Q125" s="35" t="s">
        <v>118</v>
      </c>
    </row>
    <row r="126" spans="13:17">
      <c r="M126" s="442"/>
      <c r="O126" s="353"/>
      <c r="P126" s="35" t="s">
        <v>118</v>
      </c>
      <c r="Q126" s="35" t="s">
        <v>118</v>
      </c>
    </row>
    <row r="127" spans="13:17">
      <c r="M127" s="442"/>
      <c r="O127" s="353"/>
      <c r="P127" s="35" t="s">
        <v>118</v>
      </c>
      <c r="Q127" s="35" t="s">
        <v>118</v>
      </c>
    </row>
    <row r="128" spans="13:17">
      <c r="M128" s="442"/>
      <c r="O128" s="353"/>
      <c r="P128" s="35" t="s">
        <v>118</v>
      </c>
      <c r="Q128" s="35" t="s">
        <v>118</v>
      </c>
    </row>
    <row r="129" spans="13:17">
      <c r="M129" s="442"/>
      <c r="O129" s="353"/>
      <c r="P129" s="35" t="s">
        <v>118</v>
      </c>
      <c r="Q129" s="35" t="s">
        <v>118</v>
      </c>
    </row>
    <row r="130" spans="13:17">
      <c r="M130" s="442"/>
      <c r="O130" s="353"/>
      <c r="P130" s="35" t="s">
        <v>118</v>
      </c>
      <c r="Q130" s="35" t="s">
        <v>118</v>
      </c>
    </row>
    <row r="131" spans="13:17">
      <c r="M131" s="442"/>
      <c r="O131" s="353"/>
      <c r="P131" s="35" t="s">
        <v>118</v>
      </c>
      <c r="Q131" s="35" t="s">
        <v>118</v>
      </c>
    </row>
    <row r="132" spans="13:17">
      <c r="M132" s="442"/>
      <c r="O132" s="353"/>
      <c r="P132" s="35" t="s">
        <v>118</v>
      </c>
      <c r="Q132" s="35" t="s">
        <v>118</v>
      </c>
    </row>
    <row r="133" spans="13:17">
      <c r="M133" s="442"/>
      <c r="O133" s="353"/>
      <c r="P133" s="35" t="s">
        <v>118</v>
      </c>
      <c r="Q133" s="35" t="s">
        <v>118</v>
      </c>
    </row>
    <row r="134" spans="13:17">
      <c r="M134" s="442"/>
      <c r="O134" s="353"/>
      <c r="P134" s="35" t="s">
        <v>118</v>
      </c>
      <c r="Q134" s="35" t="s">
        <v>118</v>
      </c>
    </row>
    <row r="135" spans="13:17">
      <c r="M135" s="442"/>
      <c r="O135" s="353"/>
      <c r="P135" s="35" t="s">
        <v>118</v>
      </c>
      <c r="Q135" s="35" t="s">
        <v>118</v>
      </c>
    </row>
    <row r="136" spans="13:17">
      <c r="M136" s="442"/>
      <c r="O136" s="353"/>
      <c r="P136" s="35" t="s">
        <v>118</v>
      </c>
      <c r="Q136" s="35" t="s">
        <v>118</v>
      </c>
    </row>
    <row r="137" spans="13:17">
      <c r="M137" s="442"/>
      <c r="O137" s="353"/>
      <c r="P137" s="35" t="s">
        <v>118</v>
      </c>
      <c r="Q137" s="35" t="s">
        <v>118</v>
      </c>
    </row>
    <row r="138" spans="13:17">
      <c r="M138" s="442"/>
      <c r="O138" s="353"/>
      <c r="P138" s="35" t="s">
        <v>118</v>
      </c>
      <c r="Q138" s="35" t="s">
        <v>118</v>
      </c>
    </row>
    <row r="139" spans="13:17">
      <c r="M139" s="442"/>
      <c r="O139" s="353"/>
      <c r="P139" s="35" t="s">
        <v>118</v>
      </c>
      <c r="Q139" s="35" t="s">
        <v>118</v>
      </c>
    </row>
    <row r="140" spans="13:17">
      <c r="M140" s="442"/>
      <c r="O140" s="353"/>
      <c r="P140" s="35" t="s">
        <v>118</v>
      </c>
      <c r="Q140" s="35" t="s">
        <v>118</v>
      </c>
    </row>
    <row r="141" spans="13:17">
      <c r="M141" s="442"/>
      <c r="O141" s="353"/>
      <c r="P141" s="35" t="s">
        <v>118</v>
      </c>
      <c r="Q141" s="35" t="s">
        <v>118</v>
      </c>
    </row>
    <row r="142" spans="13:17">
      <c r="M142" s="442"/>
      <c r="O142" s="353"/>
      <c r="P142" s="35" t="s">
        <v>118</v>
      </c>
      <c r="Q142" s="35" t="s">
        <v>118</v>
      </c>
    </row>
    <row r="143" spans="13:17">
      <c r="M143" s="442"/>
      <c r="O143" s="353"/>
      <c r="P143" s="35" t="s">
        <v>118</v>
      </c>
      <c r="Q143" s="35" t="s">
        <v>118</v>
      </c>
    </row>
    <row r="144" spans="13:17">
      <c r="M144" s="442"/>
      <c r="O144" s="353"/>
      <c r="P144" s="35" t="s">
        <v>118</v>
      </c>
      <c r="Q144" s="35" t="s">
        <v>118</v>
      </c>
    </row>
    <row r="145" spans="13:19">
      <c r="M145" s="442"/>
      <c r="O145" s="353"/>
      <c r="P145" s="35" t="s">
        <v>118</v>
      </c>
      <c r="Q145" s="35" t="s">
        <v>118</v>
      </c>
    </row>
    <row r="146" spans="13:19">
      <c r="M146" s="442"/>
      <c r="O146" s="353"/>
      <c r="P146" s="35" t="s">
        <v>118</v>
      </c>
      <c r="Q146" s="35" t="s">
        <v>118</v>
      </c>
    </row>
    <row r="147" spans="13:19">
      <c r="M147" s="442"/>
      <c r="O147" s="353"/>
      <c r="P147" s="35" t="s">
        <v>118</v>
      </c>
      <c r="Q147" s="35" t="s">
        <v>118</v>
      </c>
    </row>
    <row r="148" spans="13:19">
      <c r="M148" s="442"/>
      <c r="O148" s="353"/>
      <c r="P148" s="35" t="s">
        <v>118</v>
      </c>
      <c r="Q148" s="35" t="s">
        <v>118</v>
      </c>
    </row>
    <row r="149" spans="13:19">
      <c r="M149" s="442"/>
      <c r="O149" s="353"/>
      <c r="P149" s="35" t="s">
        <v>118</v>
      </c>
      <c r="Q149" s="35" t="s">
        <v>118</v>
      </c>
    </row>
    <row r="150" spans="13:19">
      <c r="M150" s="442"/>
      <c r="O150" s="353"/>
      <c r="P150" s="35" t="s">
        <v>118</v>
      </c>
      <c r="Q150" s="35" t="s">
        <v>118</v>
      </c>
    </row>
    <row r="151" spans="13:19">
      <c r="M151" s="442"/>
      <c r="O151" s="353"/>
      <c r="P151" s="35" t="s">
        <v>118</v>
      </c>
      <c r="Q151" s="35" t="s">
        <v>118</v>
      </c>
    </row>
    <row r="152" spans="13:19">
      <c r="M152" s="442"/>
      <c r="O152" s="353"/>
      <c r="P152" s="35" t="s">
        <v>118</v>
      </c>
      <c r="Q152" s="35" t="s">
        <v>118</v>
      </c>
    </row>
    <row r="153" spans="13:19">
      <c r="M153" s="442"/>
      <c r="O153" s="353"/>
      <c r="P153" s="35" t="s">
        <v>118</v>
      </c>
      <c r="Q153" s="35" t="s">
        <v>118</v>
      </c>
    </row>
    <row r="154" spans="13:19">
      <c r="M154" s="442"/>
      <c r="O154" s="353"/>
      <c r="P154" s="35" t="s">
        <v>118</v>
      </c>
      <c r="Q154" s="35" t="s">
        <v>118</v>
      </c>
    </row>
    <row r="155" spans="13:19">
      <c r="M155" s="442"/>
      <c r="O155" s="353"/>
      <c r="P155" s="35" t="s">
        <v>118</v>
      </c>
      <c r="Q155" s="35" t="s">
        <v>118</v>
      </c>
    </row>
    <row r="156" spans="13:19">
      <c r="M156" s="442"/>
      <c r="O156" s="353"/>
      <c r="P156" s="35" t="s">
        <v>118</v>
      </c>
      <c r="Q156" s="35" t="s">
        <v>118</v>
      </c>
    </row>
    <row r="157" spans="13:19">
      <c r="M157" s="442"/>
      <c r="O157" s="353"/>
      <c r="P157" s="35" t="s">
        <v>118</v>
      </c>
      <c r="Q157" s="35" t="s">
        <v>118</v>
      </c>
    </row>
    <row r="158" spans="13:19">
      <c r="M158" s="442"/>
      <c r="O158" s="353"/>
      <c r="P158" s="35" t="s">
        <v>118</v>
      </c>
      <c r="Q158" s="35" t="s">
        <v>118</v>
      </c>
      <c r="S158" s="97"/>
    </row>
    <row r="159" spans="13:19">
      <c r="M159" s="442"/>
      <c r="O159" s="353"/>
      <c r="P159" s="35" t="s">
        <v>118</v>
      </c>
      <c r="Q159" s="35" t="s">
        <v>118</v>
      </c>
    </row>
    <row r="160" spans="13:19">
      <c r="M160" s="442"/>
      <c r="O160" s="353"/>
      <c r="P160" s="35" t="s">
        <v>118</v>
      </c>
      <c r="Q160" s="35" t="s">
        <v>118</v>
      </c>
    </row>
    <row r="161" spans="13:17">
      <c r="M161" s="56"/>
      <c r="O161" s="353"/>
      <c r="P161" s="35" t="s">
        <v>118</v>
      </c>
      <c r="Q161" s="35" t="s">
        <v>118</v>
      </c>
    </row>
    <row r="162" spans="13:17">
      <c r="M162" s="56"/>
      <c r="O162" s="353"/>
      <c r="P162" s="35" t="s">
        <v>118</v>
      </c>
      <c r="Q162" s="35" t="s">
        <v>118</v>
      </c>
    </row>
    <row r="163" spans="13:17">
      <c r="M163" s="56"/>
      <c r="O163" s="353"/>
      <c r="P163" s="35" t="s">
        <v>118</v>
      </c>
      <c r="Q163" s="35" t="s">
        <v>118</v>
      </c>
    </row>
    <row r="164" spans="13:17">
      <c r="M164" s="56"/>
      <c r="O164" s="353"/>
      <c r="P164" s="35" t="s">
        <v>118</v>
      </c>
      <c r="Q164" s="35" t="s">
        <v>118</v>
      </c>
    </row>
    <row r="165" spans="13:17">
      <c r="M165" s="56"/>
      <c r="O165" s="353"/>
      <c r="P165" s="35" t="s">
        <v>118</v>
      </c>
      <c r="Q165" s="35" t="s">
        <v>118</v>
      </c>
    </row>
    <row r="166" spans="13:17">
      <c r="M166" s="56"/>
      <c r="O166" s="353"/>
      <c r="P166" s="35" t="s">
        <v>118</v>
      </c>
      <c r="Q166" s="35" t="s">
        <v>118</v>
      </c>
    </row>
    <row r="167" spans="13:17">
      <c r="M167" s="56"/>
      <c r="O167" s="353"/>
      <c r="P167" s="35" t="s">
        <v>118</v>
      </c>
      <c r="Q167" s="35" t="s">
        <v>118</v>
      </c>
    </row>
    <row r="168" spans="13:17">
      <c r="M168" s="56"/>
      <c r="O168" s="353"/>
      <c r="P168" s="35" t="s">
        <v>118</v>
      </c>
      <c r="Q168" s="35" t="s">
        <v>118</v>
      </c>
    </row>
    <row r="169" spans="13:17">
      <c r="M169" s="56"/>
      <c r="O169" s="353"/>
      <c r="P169" s="35" t="s">
        <v>118</v>
      </c>
      <c r="Q169" s="35" t="s">
        <v>118</v>
      </c>
    </row>
    <row r="170" spans="13:17">
      <c r="M170" s="56"/>
      <c r="O170" s="353"/>
      <c r="P170" s="35" t="s">
        <v>118</v>
      </c>
      <c r="Q170" s="35" t="s">
        <v>118</v>
      </c>
    </row>
    <row r="171" spans="13:17">
      <c r="M171" s="56"/>
      <c r="O171" s="353"/>
      <c r="P171" s="35" t="s">
        <v>118</v>
      </c>
      <c r="Q171" s="35" t="s">
        <v>118</v>
      </c>
    </row>
    <row r="172" spans="13:17">
      <c r="M172" s="56"/>
      <c r="O172" s="353"/>
      <c r="P172" s="35" t="s">
        <v>118</v>
      </c>
      <c r="Q172" s="35" t="s">
        <v>118</v>
      </c>
    </row>
    <row r="173" spans="13:17">
      <c r="M173" s="56"/>
      <c r="O173" s="353"/>
      <c r="P173" s="35" t="s">
        <v>118</v>
      </c>
      <c r="Q173" s="35" t="s">
        <v>118</v>
      </c>
    </row>
    <row r="174" spans="13:17">
      <c r="M174" s="56"/>
      <c r="O174" s="353"/>
      <c r="P174" s="35" t="s">
        <v>118</v>
      </c>
      <c r="Q174" s="35" t="s">
        <v>118</v>
      </c>
    </row>
    <row r="175" spans="13:17">
      <c r="M175" s="56"/>
      <c r="O175" s="353"/>
      <c r="P175" s="35" t="s">
        <v>118</v>
      </c>
      <c r="Q175" s="35" t="s">
        <v>118</v>
      </c>
    </row>
    <row r="176" spans="13:17">
      <c r="M176" s="56"/>
      <c r="O176" s="353"/>
      <c r="P176" s="35" t="s">
        <v>118</v>
      </c>
      <c r="Q176" s="35" t="s">
        <v>118</v>
      </c>
    </row>
    <row r="177" spans="13:17">
      <c r="M177" s="56"/>
      <c r="O177" s="353"/>
      <c r="P177" s="35" t="s">
        <v>118</v>
      </c>
      <c r="Q177" s="35" t="s">
        <v>118</v>
      </c>
    </row>
    <row r="178" spans="13:17">
      <c r="M178" s="56"/>
      <c r="O178" s="353"/>
      <c r="P178" s="35" t="s">
        <v>118</v>
      </c>
      <c r="Q178" s="35" t="s">
        <v>118</v>
      </c>
    </row>
    <row r="179" spans="13:17">
      <c r="M179" s="56"/>
      <c r="O179" s="353"/>
      <c r="P179" s="35" t="s">
        <v>118</v>
      </c>
      <c r="Q179" s="35" t="s">
        <v>118</v>
      </c>
    </row>
    <row r="180" spans="13:17">
      <c r="M180" s="56"/>
      <c r="O180" s="353"/>
      <c r="P180" s="35" t="s">
        <v>118</v>
      </c>
      <c r="Q180" s="35" t="s">
        <v>118</v>
      </c>
    </row>
    <row r="181" spans="13:17">
      <c r="M181" s="56"/>
      <c r="O181" s="353"/>
      <c r="P181" s="35" t="s">
        <v>118</v>
      </c>
      <c r="Q181" s="35" t="s">
        <v>118</v>
      </c>
    </row>
    <row r="182" spans="13:17">
      <c r="M182" s="56"/>
      <c r="O182" s="353"/>
      <c r="P182" s="35" t="s">
        <v>118</v>
      </c>
      <c r="Q182" s="35" t="s">
        <v>118</v>
      </c>
    </row>
    <row r="183" spans="13:17">
      <c r="M183" s="56"/>
      <c r="O183" s="353"/>
      <c r="P183" s="35" t="s">
        <v>118</v>
      </c>
      <c r="Q183" s="35" t="s">
        <v>118</v>
      </c>
    </row>
    <row r="184" spans="13:17">
      <c r="M184" s="56"/>
      <c r="O184" s="353"/>
      <c r="P184" s="35" t="s">
        <v>118</v>
      </c>
      <c r="Q184" s="35" t="s">
        <v>118</v>
      </c>
    </row>
    <row r="185" spans="13:17">
      <c r="M185" s="56"/>
      <c r="O185" s="353"/>
      <c r="P185" s="35" t="s">
        <v>118</v>
      </c>
      <c r="Q185" s="35" t="s">
        <v>118</v>
      </c>
    </row>
    <row r="186" spans="13:17">
      <c r="P186" s="35" t="s">
        <v>118</v>
      </c>
      <c r="Q186" s="35" t="s">
        <v>118</v>
      </c>
    </row>
    <row r="187" spans="13:17">
      <c r="M187" s="56"/>
      <c r="O187" s="353"/>
      <c r="P187" s="35" t="s">
        <v>118</v>
      </c>
      <c r="Q187" s="35" t="s">
        <v>118</v>
      </c>
    </row>
    <row r="188" spans="13:17">
      <c r="M188" s="56"/>
      <c r="O188" s="353"/>
      <c r="P188" s="35" t="s">
        <v>118</v>
      </c>
      <c r="Q188" s="35" t="s">
        <v>118</v>
      </c>
    </row>
    <row r="189" spans="13:17">
      <c r="M189" s="56"/>
      <c r="O189" s="353"/>
      <c r="P189" s="35" t="s">
        <v>118</v>
      </c>
      <c r="Q189" s="35" t="s">
        <v>118</v>
      </c>
    </row>
    <row r="190" spans="13:17" hidden="1">
      <c r="M190" s="56"/>
      <c r="O190" s="353"/>
      <c r="P190" s="35" t="s">
        <v>118</v>
      </c>
      <c r="Q190" s="35" t="s">
        <v>118</v>
      </c>
    </row>
    <row r="191" spans="13:17" hidden="1">
      <c r="M191" s="56"/>
      <c r="O191" s="353"/>
      <c r="P191" s="35" t="s">
        <v>118</v>
      </c>
      <c r="Q191" s="35" t="s">
        <v>118</v>
      </c>
    </row>
    <row r="192" spans="13:17" hidden="1">
      <c r="M192" s="56"/>
      <c r="O192" s="353"/>
      <c r="P192" s="35" t="s">
        <v>118</v>
      </c>
      <c r="Q192" s="35" t="s">
        <v>118</v>
      </c>
    </row>
    <row r="193" spans="1:17" hidden="1">
      <c r="M193" s="56"/>
      <c r="O193" s="353"/>
      <c r="P193" s="35" t="s">
        <v>118</v>
      </c>
      <c r="Q193" s="35" t="s">
        <v>118</v>
      </c>
    </row>
    <row r="194" spans="1:17">
      <c r="M194" s="56"/>
      <c r="O194" s="353"/>
      <c r="P194" s="35" t="s">
        <v>118</v>
      </c>
      <c r="Q194" s="35" t="s">
        <v>118</v>
      </c>
    </row>
    <row r="195" spans="1:17" ht="14.4">
      <c r="B195" s="371"/>
      <c r="C195" s="462"/>
      <c r="D195" s="462"/>
      <c r="E195" s="462"/>
      <c r="F195" s="538"/>
      <c r="G195" s="685"/>
      <c r="H195" s="685"/>
      <c r="I195" s="685"/>
      <c r="J195" s="685"/>
      <c r="K195" s="685"/>
      <c r="L195" s="685"/>
      <c r="M195" s="56"/>
      <c r="O195" s="353"/>
      <c r="P195" s="35" t="s">
        <v>118</v>
      </c>
      <c r="Q195" s="35" t="s">
        <v>118</v>
      </c>
    </row>
    <row r="196" spans="1:17">
      <c r="F196" s="538"/>
      <c r="G196" s="533"/>
      <c r="H196" s="533"/>
      <c r="I196" s="533"/>
      <c r="J196" s="533"/>
      <c r="K196" s="533"/>
      <c r="L196" s="533"/>
      <c r="M196" s="56"/>
      <c r="P196" s="35" t="s">
        <v>118</v>
      </c>
      <c r="Q196" s="35" t="s">
        <v>118</v>
      </c>
    </row>
    <row r="197" spans="1:17">
      <c r="A197" s="35" t="s">
        <v>118</v>
      </c>
      <c r="B197" s="35" t="s">
        <v>118</v>
      </c>
      <c r="C197" s="35" t="s">
        <v>118</v>
      </c>
      <c r="E197" s="35" t="s">
        <v>118</v>
      </c>
      <c r="F197" s="60" t="s">
        <v>118</v>
      </c>
      <c r="G197" s="35" t="s">
        <v>118</v>
      </c>
      <c r="H197" s="35" t="s">
        <v>118</v>
      </c>
      <c r="I197" s="35" t="s">
        <v>118</v>
      </c>
      <c r="J197" s="35" t="s">
        <v>118</v>
      </c>
      <c r="K197" s="35" t="s">
        <v>118</v>
      </c>
      <c r="L197" s="35" t="s">
        <v>118</v>
      </c>
      <c r="M197" s="56" t="s">
        <v>118</v>
      </c>
      <c r="N197" s="35" t="s">
        <v>118</v>
      </c>
      <c r="O197" s="317" t="s">
        <v>118</v>
      </c>
      <c r="P197" s="35" t="s">
        <v>118</v>
      </c>
      <c r="Q197" s="35" t="s">
        <v>118</v>
      </c>
    </row>
    <row r="198" spans="1:17">
      <c r="A198" s="35" t="s">
        <v>118</v>
      </c>
      <c r="B198" s="35" t="s">
        <v>118</v>
      </c>
      <c r="C198" s="35" t="s">
        <v>118</v>
      </c>
      <c r="E198" s="35" t="s">
        <v>118</v>
      </c>
      <c r="F198" s="60" t="s">
        <v>118</v>
      </c>
      <c r="G198" s="35" t="s">
        <v>118</v>
      </c>
      <c r="H198" s="35" t="s">
        <v>118</v>
      </c>
      <c r="I198" s="35" t="s">
        <v>118</v>
      </c>
      <c r="J198" s="35" t="s">
        <v>118</v>
      </c>
      <c r="K198" s="35" t="s">
        <v>118</v>
      </c>
      <c r="L198" s="35" t="s">
        <v>118</v>
      </c>
      <c r="M198" s="56" t="s">
        <v>118</v>
      </c>
      <c r="N198" s="35" t="s">
        <v>118</v>
      </c>
      <c r="O198" s="317" t="s">
        <v>118</v>
      </c>
      <c r="P198" s="35" t="s">
        <v>118</v>
      </c>
      <c r="Q198" s="35" t="s">
        <v>118</v>
      </c>
    </row>
    <row r="199" spans="1:17">
      <c r="F199" s="60"/>
    </row>
    <row r="200" spans="1:17">
      <c r="F200" s="60"/>
    </row>
    <row r="201" spans="1:17">
      <c r="F201" s="60"/>
    </row>
    <row r="202" spans="1:17">
      <c r="F202" s="60"/>
    </row>
  </sheetData>
  <sheetProtection algorithmName="SHA-512" hashValue="mGwLPSvCZPNOKEFviJgFbsnQLMY/RfVZ920l/EoF5dryNOaN2LKqoPwQpI2zVBHRiBzjtIvXYGXkZ7QJYcrCAA==" saltValue="uNJLj8uC5C4+yd8JE9oiAw==" spinCount="100000" sheet="1" objects="1" scenarios="1"/>
  <phoneticPr fontId="7" type="noConversion"/>
  <conditionalFormatting sqref="L1">
    <cfRule type="expression" dxfId="654" priority="3" stopIfTrue="1">
      <formula>MOD(ROW(),2)=0</formula>
    </cfRule>
  </conditionalFormatting>
  <conditionalFormatting sqref="E1">
    <cfRule type="expression" dxfId="653" priority="2" stopIfTrue="1">
      <formula>MOD(ROW(),2)=0</formula>
    </cfRule>
  </conditionalFormatting>
  <conditionalFormatting sqref="N53">
    <cfRule type="cellIs" dxfId="652" priority="13" stopIfTrue="1" operator="equal">
      <formula>0</formula>
    </cfRule>
  </conditionalFormatting>
  <hyperlinks>
    <hyperlink ref="E1" location="HypLink1" display="HypLink1" xr:uid="{78D56A1D-A183-43E4-8119-085541799EBD}"/>
  </hyperlinks>
  <pageMargins left="0.25" right="0.25" top="0.5" bottom="0.45" header="0.25" footer="0.25"/>
  <pageSetup scale="65" fitToHeight="2" orientation="landscape" r:id="rId1"/>
  <headerFooter>
    <oddHeader xml:space="preserve">&amp;L &amp;C &amp;R </oddHeader>
    <oddFooter>&amp;L&amp;7&amp;D  at &amp;T Mike 702.486.8879&amp;C&amp;7&amp;F  &amp;A&amp;R&amp;7Page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AE19-E22C-4689-81CF-54420A83321D}">
  <sheetPr codeName="Sheet7">
    <tabColor rgb="FF0070C0"/>
  </sheetPr>
  <dimension ref="A1:P125"/>
  <sheetViews>
    <sheetView view="pageBreakPreview" zoomScale="130" zoomScaleNormal="115" zoomScaleSheetLayoutView="130" workbookViewId="0">
      <selection activeCell="C15" sqref="C15"/>
    </sheetView>
  </sheetViews>
  <sheetFormatPr defaultColWidth="8.88671875" defaultRowHeight="13.2"/>
  <cols>
    <col min="1" max="1" width="6.33203125" style="6" customWidth="1"/>
    <col min="2" max="2" width="32.5546875" style="6" customWidth="1"/>
    <col min="3" max="3" width="16.88671875" style="6" customWidth="1"/>
    <col min="4" max="4" width="3.33203125" style="6" hidden="1" customWidth="1"/>
    <col min="5" max="5" width="8.88671875" style="6" hidden="1" customWidth="1"/>
    <col min="6" max="6" width="12.44140625" style="6" customWidth="1"/>
    <col min="7" max="7" width="12" style="6" customWidth="1"/>
    <col min="8" max="8" width="11.109375" style="6" customWidth="1"/>
    <col min="9" max="10" width="12.33203125" style="6" customWidth="1"/>
    <col min="11" max="11" width="14.109375" style="6" customWidth="1"/>
    <col min="12" max="12" width="14.33203125" style="6" customWidth="1"/>
    <col min="13" max="16384" width="8.88671875" style="6"/>
  </cols>
  <sheetData>
    <row r="1" spans="1:16" ht="17.399999999999999">
      <c r="A1" s="119" t="s">
        <v>1440</v>
      </c>
      <c r="B1" s="468"/>
      <c r="C1" s="437" t="s">
        <v>2</v>
      </c>
      <c r="D1" s="383"/>
      <c r="F1" s="35"/>
      <c r="G1" s="35"/>
      <c r="H1" s="35"/>
      <c r="I1" s="35"/>
      <c r="J1" s="35"/>
      <c r="K1" s="38"/>
      <c r="L1" s="437"/>
    </row>
    <row r="2" spans="1:16" ht="15.6">
      <c r="A2" s="121" t="s">
        <v>75</v>
      </c>
      <c r="B2" s="40"/>
      <c r="C2" s="33"/>
      <c r="D2" s="33"/>
      <c r="E2" s="35"/>
      <c r="F2" s="35"/>
      <c r="G2" s="33"/>
      <c r="H2" s="35"/>
      <c r="I2" s="35"/>
      <c r="J2" s="35"/>
      <c r="K2" s="35"/>
      <c r="L2" s="35"/>
    </row>
    <row r="3" spans="1:16" ht="13.8">
      <c r="A3" s="41" t="s">
        <v>1</v>
      </c>
      <c r="B3" s="35"/>
      <c r="C3" s="35"/>
      <c r="D3" s="35"/>
      <c r="E3" s="35"/>
      <c r="F3" s="35"/>
      <c r="G3" s="35"/>
      <c r="H3" s="35"/>
      <c r="I3" s="35"/>
      <c r="J3" s="35"/>
      <c r="K3" s="35"/>
      <c r="L3" s="35"/>
    </row>
    <row r="4" spans="1:16" ht="13.8">
      <c r="A4" s="32" t="s">
        <v>1265</v>
      </c>
      <c r="B4" s="35"/>
      <c r="C4" s="35"/>
      <c r="D4" s="35"/>
      <c r="E4" s="35"/>
      <c r="F4" s="35"/>
      <c r="G4" s="35"/>
      <c r="H4" s="35"/>
      <c r="I4" s="35"/>
      <c r="J4" s="35"/>
      <c r="K4" s="35"/>
      <c r="L4" s="35"/>
    </row>
    <row r="5" spans="1:16" ht="13.8">
      <c r="A5" s="35"/>
      <c r="B5" s="35"/>
      <c r="C5" s="35"/>
      <c r="D5" s="35"/>
      <c r="E5" s="35"/>
      <c r="F5" s="35"/>
      <c r="G5" s="35"/>
      <c r="H5" s="35"/>
      <c r="I5" s="35"/>
      <c r="J5" s="35"/>
      <c r="K5" s="35"/>
      <c r="L5" s="35"/>
    </row>
    <row r="6" spans="1:16" ht="13.8">
      <c r="A6" s="35"/>
      <c r="B6" s="33"/>
      <c r="C6" s="34"/>
      <c r="D6" s="34"/>
      <c r="E6" s="34"/>
      <c r="F6" s="759" t="s">
        <v>206</v>
      </c>
      <c r="G6" s="760">
        <v>1</v>
      </c>
      <c r="H6" s="760">
        <v>2</v>
      </c>
      <c r="I6" s="760">
        <v>3</v>
      </c>
      <c r="J6" s="760">
        <v>4</v>
      </c>
      <c r="K6" s="760">
        <v>5</v>
      </c>
      <c r="L6" s="1333">
        <v>6</v>
      </c>
      <c r="M6" s="7"/>
      <c r="N6" s="7"/>
      <c r="O6" s="7"/>
      <c r="P6" s="7"/>
    </row>
    <row r="7" spans="1:16" ht="13.8">
      <c r="A7" s="35"/>
      <c r="B7" s="33"/>
      <c r="C7" s="34" t="s">
        <v>119</v>
      </c>
      <c r="D7" s="34"/>
      <c r="E7" s="34"/>
      <c r="F7" s="761">
        <v>2021</v>
      </c>
      <c r="G7" s="762">
        <v>2022</v>
      </c>
      <c r="H7" s="762">
        <v>2023</v>
      </c>
      <c r="I7" s="762">
        <v>2024</v>
      </c>
      <c r="J7" s="762">
        <v>2025</v>
      </c>
      <c r="K7" s="762">
        <v>2026</v>
      </c>
      <c r="L7" s="763">
        <v>2027</v>
      </c>
      <c r="M7" s="7"/>
      <c r="N7" s="7"/>
      <c r="O7" s="7"/>
      <c r="P7" s="7"/>
    </row>
    <row r="8" spans="1:16" ht="13.8">
      <c r="A8" s="35"/>
      <c r="B8" s="179"/>
      <c r="C8" s="59"/>
      <c r="D8" s="59"/>
      <c r="E8" s="668"/>
      <c r="F8" s="764">
        <v>2022</v>
      </c>
      <c r="G8" s="765">
        <v>2023</v>
      </c>
      <c r="H8" s="765">
        <v>2024</v>
      </c>
      <c r="I8" s="765">
        <v>2025</v>
      </c>
      <c r="J8" s="765">
        <v>2026</v>
      </c>
      <c r="K8" s="765">
        <v>2027</v>
      </c>
      <c r="L8" s="766">
        <v>2028</v>
      </c>
      <c r="M8" s="7"/>
      <c r="N8" s="7"/>
      <c r="O8" s="7"/>
      <c r="P8" s="7"/>
    </row>
    <row r="9" spans="1:16" ht="13.8">
      <c r="A9" s="356">
        <f>ROW()</f>
        <v>9</v>
      </c>
      <c r="B9" s="439" t="s">
        <v>120</v>
      </c>
      <c r="C9" s="753">
        <v>400</v>
      </c>
      <c r="D9" s="700"/>
      <c r="E9" s="34"/>
      <c r="F9" s="146">
        <v>0</v>
      </c>
      <c r="G9" s="146">
        <v>100</v>
      </c>
      <c r="H9" s="146">
        <v>200</v>
      </c>
      <c r="I9" s="146">
        <v>300</v>
      </c>
      <c r="J9" s="146">
        <v>400</v>
      </c>
      <c r="K9" s="146">
        <v>400</v>
      </c>
      <c r="L9" s="146">
        <v>400</v>
      </c>
      <c r="M9" s="7"/>
      <c r="N9" s="7"/>
      <c r="O9" s="7"/>
      <c r="P9" s="7"/>
    </row>
    <row r="10" spans="1:16" ht="13.8">
      <c r="A10" s="356">
        <f>ROW()</f>
        <v>10</v>
      </c>
      <c r="B10" s="440" t="s">
        <v>121</v>
      </c>
      <c r="C10" s="753">
        <v>6</v>
      </c>
      <c r="D10" s="700"/>
      <c r="E10" s="34"/>
      <c r="F10" s="669">
        <v>1</v>
      </c>
      <c r="G10" s="669">
        <v>4</v>
      </c>
      <c r="H10" s="669">
        <v>5</v>
      </c>
      <c r="I10" s="669">
        <v>5</v>
      </c>
      <c r="J10" s="669">
        <v>5</v>
      </c>
      <c r="K10" s="669">
        <v>5</v>
      </c>
      <c r="L10" s="669">
        <v>6</v>
      </c>
      <c r="M10" s="7"/>
      <c r="N10" s="7"/>
      <c r="O10" s="7"/>
      <c r="P10" s="7"/>
    </row>
    <row r="11" spans="1:16" ht="13.8">
      <c r="A11" s="356">
        <f>ROW()</f>
        <v>11</v>
      </c>
      <c r="B11" s="440" t="s">
        <v>1239</v>
      </c>
      <c r="C11" s="753"/>
      <c r="D11" s="700"/>
      <c r="E11" s="34"/>
      <c r="F11" s="146">
        <v>0</v>
      </c>
      <c r="G11" s="146">
        <v>4000</v>
      </c>
      <c r="H11" s="146">
        <v>4000</v>
      </c>
      <c r="I11" s="146">
        <v>4000</v>
      </c>
      <c r="J11" s="146">
        <v>4000</v>
      </c>
      <c r="K11" s="146">
        <v>4000</v>
      </c>
      <c r="L11" s="146">
        <v>4000</v>
      </c>
      <c r="M11" s="7"/>
      <c r="N11" s="7"/>
      <c r="O11" s="7"/>
      <c r="P11" s="7"/>
    </row>
    <row r="12" spans="1:16" ht="14.4">
      <c r="A12" s="356">
        <f>ROW()</f>
        <v>12</v>
      </c>
      <c r="B12" s="192"/>
      <c r="C12" s="447"/>
      <c r="D12" s="447"/>
      <c r="E12" s="447"/>
      <c r="F12" s="673"/>
      <c r="G12" s="673"/>
      <c r="H12" s="673"/>
      <c r="I12" s="673"/>
      <c r="J12" s="673"/>
      <c r="K12" s="673"/>
      <c r="L12" s="673"/>
      <c r="M12" s="7"/>
      <c r="N12" s="7"/>
      <c r="O12" s="7"/>
      <c r="P12" s="7"/>
    </row>
    <row r="13" spans="1:16" ht="17.399999999999999">
      <c r="A13" s="356">
        <f>ROW()</f>
        <v>13</v>
      </c>
      <c r="B13" s="1009" t="s">
        <v>161</v>
      </c>
      <c r="C13" s="1010"/>
      <c r="D13" s="1010"/>
      <c r="E13" s="1010"/>
      <c r="F13" s="1011" t="str">
        <f>Summary!F6</f>
        <v>SY 0/Incu</v>
      </c>
      <c r="G13" s="1012">
        <f>Summary!G6</f>
        <v>1</v>
      </c>
      <c r="H13" s="1012">
        <f>Summary!H6</f>
        <v>2</v>
      </c>
      <c r="I13" s="1012">
        <f>Summary!I6</f>
        <v>3</v>
      </c>
      <c r="J13" s="1012">
        <f>Summary!J6</f>
        <v>4</v>
      </c>
      <c r="K13" s="1012">
        <f>Summary!K6</f>
        <v>5</v>
      </c>
      <c r="L13" s="1012">
        <f>Summary!L6</f>
        <v>6</v>
      </c>
    </row>
    <row r="14" spans="1:16" ht="13.8">
      <c r="A14" s="356">
        <f>ROW()</f>
        <v>14</v>
      </c>
      <c r="B14" s="132" t="s">
        <v>162</v>
      </c>
      <c r="C14" s="132"/>
      <c r="D14" s="132"/>
      <c r="E14" s="132"/>
      <c r="F14" s="674"/>
      <c r="G14" s="675">
        <f>IFERROR(+Summary!G53/G42,0)</f>
        <v>42.024729907186305</v>
      </c>
      <c r="H14" s="675">
        <f>IFERROR(+Summary!H53/H42,0)</f>
        <v>91.75305460471624</v>
      </c>
      <c r="I14" s="675">
        <f>IFERROR(+Summary!I53/I42,0)</f>
        <v>94.103004509494596</v>
      </c>
      <c r="J14" s="675">
        <f>IFERROR(+Summary!J53/J42,0)</f>
        <v>143.95841572812989</v>
      </c>
      <c r="K14" s="675">
        <f>IFERROR(+Summary!K53/K42,0)</f>
        <v>166.94904150020463</v>
      </c>
      <c r="L14" s="675">
        <f>IFERROR(+Summary!L53/L42,0)</f>
        <v>157.30727444785674</v>
      </c>
    </row>
    <row r="15" spans="1:16" ht="13.8">
      <c r="A15" s="356">
        <f>ROW()</f>
        <v>15</v>
      </c>
      <c r="B15" s="35" t="s">
        <v>163</v>
      </c>
      <c r="C15" s="35"/>
      <c r="D15" s="35"/>
      <c r="E15" s="35"/>
      <c r="F15" s="676"/>
      <c r="G15" s="826">
        <f t="shared" ref="G15:L15" si="0">IFERROR(+G14/G19,0)</f>
        <v>7.7823573902196866E-2</v>
      </c>
      <c r="H15" s="826">
        <f t="shared" si="0"/>
        <v>0.14159422006900654</v>
      </c>
      <c r="I15" s="826">
        <f t="shared" si="0"/>
        <v>0.12447487368980767</v>
      </c>
      <c r="J15" s="826">
        <f t="shared" si="0"/>
        <v>0.16661853672237256</v>
      </c>
      <c r="K15" s="826">
        <f t="shared" si="0"/>
        <v>0.18737266161639127</v>
      </c>
      <c r="L15" s="826">
        <f t="shared" si="0"/>
        <v>0.17135868676237118</v>
      </c>
    </row>
    <row r="16" spans="1:16" ht="13.8">
      <c r="A16" s="356">
        <f>ROW()</f>
        <v>16</v>
      </c>
      <c r="B16" s="132" t="s">
        <v>164</v>
      </c>
      <c r="C16" s="453"/>
      <c r="D16" s="453"/>
      <c r="E16" s="453"/>
      <c r="F16" s="360">
        <f>Summary!F53+E16</f>
        <v>1495.195000000007</v>
      </c>
      <c r="G16" s="360">
        <f>Summary!G53+F16</f>
        <v>410359.60179680743</v>
      </c>
      <c r="H16" s="360">
        <f>+G16+Summary!H53</f>
        <v>1429316.5762974804</v>
      </c>
      <c r="I16" s="360">
        <f>H16+Summary!I53</f>
        <v>2464733.569126728</v>
      </c>
      <c r="J16" s="360">
        <f>I16+Summary!J53</f>
        <v>4054315.178012534</v>
      </c>
      <c r="K16" s="360">
        <f>J16+Summary!K53</f>
        <v>5932226.4585851496</v>
      </c>
      <c r="L16" s="360">
        <f>K16+Summary!L53</f>
        <v>7701988.8619042737</v>
      </c>
    </row>
    <row r="17" spans="1:12" ht="13.8">
      <c r="A17" s="356">
        <f>ROW()</f>
        <v>17</v>
      </c>
      <c r="B17" s="35" t="s">
        <v>165</v>
      </c>
      <c r="C17" s="454"/>
      <c r="D17" s="454"/>
      <c r="E17" s="454"/>
      <c r="F17" s="677"/>
      <c r="G17" s="678">
        <f>IFERROR(+G16/Summary!G50,0)</f>
        <v>8.469981262604416E-2</v>
      </c>
      <c r="H17" s="678">
        <f>IFERROR(+H16/Summary!H50,0)</f>
        <v>0.23137981875610206</v>
      </c>
      <c r="I17" s="678">
        <f>IFERROR(+I16/Summary!I50,0)</f>
        <v>0.33842915686674269</v>
      </c>
      <c r="J17" s="678">
        <f>IFERROR(+J16/Summary!J50,0)</f>
        <v>0.5099342206727342</v>
      </c>
      <c r="K17" s="678">
        <f>IFERROR(+K16/Summary!K50,0)</f>
        <v>0.72837905352809085</v>
      </c>
      <c r="L17" s="678">
        <f>IFERROR(+L16/Summary!L50,0)</f>
        <v>0.89996882303107406</v>
      </c>
    </row>
    <row r="18" spans="1:12" ht="13.8">
      <c r="A18" s="356">
        <f>ROW()</f>
        <v>18</v>
      </c>
      <c r="B18" s="35"/>
      <c r="C18" s="35"/>
      <c r="D18" s="35"/>
      <c r="E18" s="35"/>
      <c r="F18" s="533"/>
      <c r="G18" s="533"/>
      <c r="H18" s="533"/>
      <c r="I18" s="533"/>
      <c r="J18" s="533"/>
      <c r="K18" s="533"/>
      <c r="L18" s="533"/>
    </row>
    <row r="19" spans="1:12" ht="13.8">
      <c r="A19" s="356">
        <f>ROW()</f>
        <v>19</v>
      </c>
      <c r="B19" s="455" t="s">
        <v>120</v>
      </c>
      <c r="C19" s="750">
        <f>MAX(F19:L19)</f>
        <v>918</v>
      </c>
      <c r="D19" s="504"/>
      <c r="E19" s="319"/>
      <c r="F19" s="361">
        <f>' Enrol &amp; Rev'!F35</f>
        <v>0</v>
      </c>
      <c r="G19" s="361">
        <f>' Enrol &amp; Rev'!G35</f>
        <v>540</v>
      </c>
      <c r="H19" s="361">
        <f>' Enrol &amp; Rev'!H35</f>
        <v>648</v>
      </c>
      <c r="I19" s="361">
        <f>' Enrol &amp; Rev'!I35</f>
        <v>756</v>
      </c>
      <c r="J19" s="361">
        <f>' Enrol &amp; Rev'!J35</f>
        <v>864</v>
      </c>
      <c r="K19" s="361">
        <f>' Enrol &amp; Rev'!K35</f>
        <v>891</v>
      </c>
      <c r="L19" s="361">
        <f>' Enrol &amp; Rev'!L35</f>
        <v>918</v>
      </c>
    </row>
    <row r="20" spans="1:12" ht="13.8">
      <c r="A20" s="356">
        <f>ROW()</f>
        <v>20</v>
      </c>
      <c r="B20" s="113" t="s">
        <v>166</v>
      </c>
      <c r="C20" s="751">
        <f>MAX(F20:L20)</f>
        <v>63</v>
      </c>
      <c r="D20" s="505"/>
      <c r="E20" s="53"/>
      <c r="F20" s="679">
        <f>Staff!G23</f>
        <v>0.6</v>
      </c>
      <c r="G20" s="679">
        <f>Staff!H23</f>
        <v>36</v>
      </c>
      <c r="H20" s="679">
        <f>Staff!I23</f>
        <v>47</v>
      </c>
      <c r="I20" s="679">
        <f>Staff!J23</f>
        <v>55</v>
      </c>
      <c r="J20" s="679">
        <f>Staff!K23</f>
        <v>60</v>
      </c>
      <c r="K20" s="679">
        <f>Staff!L23</f>
        <v>62</v>
      </c>
      <c r="L20" s="679">
        <f>Staff!M23</f>
        <v>63</v>
      </c>
    </row>
    <row r="21" spans="1:12" ht="13.8">
      <c r="A21" s="356">
        <f>ROW()</f>
        <v>21</v>
      </c>
      <c r="B21" s="439" t="s">
        <v>167</v>
      </c>
      <c r="C21" s="749">
        <f>MAX(F21:L21)</f>
        <v>981</v>
      </c>
      <c r="D21" s="504"/>
      <c r="E21" s="319"/>
      <c r="F21" s="361">
        <f t="shared" ref="F21:L21" si="1">SUM(F19:F20)</f>
        <v>0.6</v>
      </c>
      <c r="G21" s="361">
        <f t="shared" si="1"/>
        <v>576</v>
      </c>
      <c r="H21" s="361">
        <f t="shared" si="1"/>
        <v>695</v>
      </c>
      <c r="I21" s="361">
        <f t="shared" si="1"/>
        <v>811</v>
      </c>
      <c r="J21" s="361">
        <f t="shared" si="1"/>
        <v>924</v>
      </c>
      <c r="K21" s="361">
        <f t="shared" si="1"/>
        <v>953</v>
      </c>
      <c r="L21" s="361">
        <f t="shared" si="1"/>
        <v>981</v>
      </c>
    </row>
    <row r="22" spans="1:12" ht="13.8">
      <c r="A22" s="356">
        <f>ROW()</f>
        <v>22</v>
      </c>
      <c r="B22" s="456" t="s">
        <v>168</v>
      </c>
      <c r="C22" s="749"/>
      <c r="D22" s="56"/>
      <c r="E22" s="53"/>
      <c r="F22" s="146"/>
      <c r="G22" s="146"/>
      <c r="H22" s="678">
        <f>IFERROR(+H19/G19-1,0)</f>
        <v>0.19999999999999996</v>
      </c>
      <c r="I22" s="678">
        <f>IFERROR(+I19/H19-1,0)</f>
        <v>0.16666666666666674</v>
      </c>
      <c r="J22" s="678">
        <f>IFERROR(+J19/I19-1,0)</f>
        <v>0.14285714285714279</v>
      </c>
      <c r="K22" s="678">
        <f>IFERROR(+K19/J19-1,0)</f>
        <v>3.125E-2</v>
      </c>
      <c r="L22" s="678">
        <f>IFERROR(+L19/K19-1,0)</f>
        <v>3.0303030303030276E-2</v>
      </c>
    </row>
    <row r="23" spans="1:12" ht="13.8">
      <c r="A23" s="356">
        <f>ROW()</f>
        <v>23</v>
      </c>
      <c r="B23" s="440" t="s">
        <v>169</v>
      </c>
      <c r="C23" s="749">
        <f>MAX(F23:L23)</f>
        <v>6</v>
      </c>
      <c r="D23" s="505"/>
      <c r="E23" s="53"/>
      <c r="F23" s="146">
        <f>+Staff!G106</f>
        <v>0</v>
      </c>
      <c r="G23" s="146">
        <f>+Staff!H106</f>
        <v>3</v>
      </c>
      <c r="H23" s="146">
        <f>+Staff!I106</f>
        <v>5</v>
      </c>
      <c r="I23" s="146">
        <f>+Staff!J106</f>
        <v>5</v>
      </c>
      <c r="J23" s="146">
        <f>+Staff!K106</f>
        <v>6</v>
      </c>
      <c r="K23" s="146">
        <f>+Staff!L106</f>
        <v>6</v>
      </c>
      <c r="L23" s="146">
        <f>+Staff!M106</f>
        <v>6</v>
      </c>
    </row>
    <row r="24" spans="1:12" ht="13.8">
      <c r="A24" s="356">
        <f>ROW()</f>
        <v>24</v>
      </c>
      <c r="B24" s="440" t="s">
        <v>170</v>
      </c>
      <c r="C24" s="749">
        <f>MAX(F24:L24)</f>
        <v>4</v>
      </c>
      <c r="D24" s="505"/>
      <c r="E24" s="53"/>
      <c r="F24" s="146">
        <f>+Staff!G120</f>
        <v>0</v>
      </c>
      <c r="G24" s="146">
        <f>+Staff!H120</f>
        <v>3</v>
      </c>
      <c r="H24" s="146">
        <f>+Staff!I120</f>
        <v>3</v>
      </c>
      <c r="I24" s="146">
        <f>+Staff!J120</f>
        <v>4</v>
      </c>
      <c r="J24" s="146">
        <f>+Staff!K120</f>
        <v>4</v>
      </c>
      <c r="K24" s="146">
        <f>+Staff!L120</f>
        <v>4</v>
      </c>
      <c r="L24" s="146">
        <f>+Staff!M120</f>
        <v>4</v>
      </c>
    </row>
    <row r="25" spans="1:12" ht="13.8">
      <c r="A25" s="356">
        <f>ROW()</f>
        <v>25</v>
      </c>
      <c r="B25" s="440" t="s">
        <v>171</v>
      </c>
      <c r="C25" s="749">
        <f>MAX(F25:L25)</f>
        <v>43</v>
      </c>
      <c r="D25" s="505"/>
      <c r="E25" s="53"/>
      <c r="F25" s="146">
        <f>+Staff!G236</f>
        <v>0</v>
      </c>
      <c r="G25" s="146">
        <f>+Staff!H236</f>
        <v>23</v>
      </c>
      <c r="H25" s="146">
        <f>+Staff!I236</f>
        <v>31</v>
      </c>
      <c r="I25" s="146">
        <f>+Staff!J236</f>
        <v>36</v>
      </c>
      <c r="J25" s="146">
        <f>+Staff!K236</f>
        <v>40</v>
      </c>
      <c r="K25" s="146">
        <f>+Staff!L236</f>
        <v>42</v>
      </c>
      <c r="L25" s="146">
        <f>+Staff!M236</f>
        <v>43</v>
      </c>
    </row>
    <row r="26" spans="1:12" ht="13.8">
      <c r="A26" s="356">
        <f>ROW()</f>
        <v>26</v>
      </c>
      <c r="B26" s="1336" t="s">
        <v>172</v>
      </c>
      <c r="C26" s="752">
        <f>MAX(G26:L26)</f>
        <v>53</v>
      </c>
      <c r="D26" s="504"/>
      <c r="E26" s="1337"/>
      <c r="F26" s="361">
        <f t="shared" ref="F26:L26" si="2">SUM(F23:F25)</f>
        <v>0</v>
      </c>
      <c r="G26" s="361">
        <f t="shared" si="2"/>
        <v>29</v>
      </c>
      <c r="H26" s="361">
        <f t="shared" si="2"/>
        <v>39</v>
      </c>
      <c r="I26" s="361">
        <f t="shared" si="2"/>
        <v>45</v>
      </c>
      <c r="J26" s="361">
        <f t="shared" si="2"/>
        <v>50</v>
      </c>
      <c r="K26" s="361">
        <f t="shared" si="2"/>
        <v>52</v>
      </c>
      <c r="L26" s="361">
        <f t="shared" si="2"/>
        <v>53</v>
      </c>
    </row>
    <row r="27" spans="1:12" ht="13.8">
      <c r="A27" s="356">
        <f>ROW()</f>
        <v>27</v>
      </c>
      <c r="B27" s="455" t="s">
        <v>173</v>
      </c>
      <c r="C27" s="749">
        <f>MAX(G27:L27)</f>
        <v>18.620689655172413</v>
      </c>
      <c r="D27" s="504"/>
      <c r="E27" s="319"/>
      <c r="F27" s="674"/>
      <c r="G27" s="674">
        <f t="shared" ref="G27:L27" si="3">IFERROR(+G19/G26,0)</f>
        <v>18.620689655172413</v>
      </c>
      <c r="H27" s="674">
        <f t="shared" si="3"/>
        <v>16.615384615384617</v>
      </c>
      <c r="I27" s="674">
        <f t="shared" si="3"/>
        <v>16.8</v>
      </c>
      <c r="J27" s="674">
        <f t="shared" si="3"/>
        <v>17.28</v>
      </c>
      <c r="K27" s="674">
        <f t="shared" si="3"/>
        <v>17.134615384615383</v>
      </c>
      <c r="L27" s="674">
        <f t="shared" si="3"/>
        <v>17.320754716981131</v>
      </c>
    </row>
    <row r="28" spans="1:12" ht="13.8">
      <c r="A28" s="356">
        <f>ROW()</f>
        <v>28</v>
      </c>
      <c r="B28" s="113" t="s">
        <v>174</v>
      </c>
      <c r="C28" s="749"/>
      <c r="D28" s="56"/>
      <c r="E28" s="53"/>
      <c r="F28" s="537"/>
      <c r="G28" s="537">
        <f>' Enrol &amp; Rev'!G20</f>
        <v>0</v>
      </c>
      <c r="H28" s="537">
        <f>' Enrol &amp; Rev'!H20</f>
        <v>0</v>
      </c>
      <c r="I28" s="537">
        <f>' Enrol &amp; Rev'!I20</f>
        <v>0</v>
      </c>
      <c r="J28" s="537">
        <f>' Enrol &amp; Rev'!J20</f>
        <v>0</v>
      </c>
      <c r="K28" s="537">
        <f>' Enrol &amp; Rev'!K20</f>
        <v>0</v>
      </c>
      <c r="L28" s="537">
        <f>' Enrol &amp; Rev'!L20</f>
        <v>0</v>
      </c>
    </row>
    <row r="29" spans="1:12" ht="13.8">
      <c r="A29" s="356">
        <f>ROW()</f>
        <v>29</v>
      </c>
      <c r="B29" s="440" t="s">
        <v>175</v>
      </c>
      <c r="C29" s="749">
        <f t="shared" ref="C29:C34" si="4">MAX(G29:L29)</f>
        <v>4</v>
      </c>
      <c r="D29" s="505"/>
      <c r="E29" s="53"/>
      <c r="F29" s="146">
        <f>+Staff!G86</f>
        <v>0.6</v>
      </c>
      <c r="G29" s="146">
        <f>+Staff!H86</f>
        <v>3</v>
      </c>
      <c r="H29" s="146">
        <f>+Staff!I86</f>
        <v>3</v>
      </c>
      <c r="I29" s="146">
        <f>+Staff!J86</f>
        <v>4</v>
      </c>
      <c r="J29" s="146">
        <f>+Staff!K86</f>
        <v>4</v>
      </c>
      <c r="K29" s="146">
        <f>+Staff!L86</f>
        <v>4</v>
      </c>
      <c r="L29" s="146">
        <f>+Staff!M86</f>
        <v>4</v>
      </c>
    </row>
    <row r="30" spans="1:12" ht="13.8">
      <c r="A30" s="356">
        <f>ROW()</f>
        <v>30</v>
      </c>
      <c r="B30" s="439" t="s">
        <v>176</v>
      </c>
      <c r="C30" s="750">
        <f t="shared" si="4"/>
        <v>229.5</v>
      </c>
      <c r="D30" s="504"/>
      <c r="E30" s="319"/>
      <c r="F30" s="361">
        <f>IFERROR(F19/F29,0)</f>
        <v>0</v>
      </c>
      <c r="G30" s="361">
        <f t="shared" ref="G30:L30" si="5">IFERROR(+G19/G29,0)</f>
        <v>180</v>
      </c>
      <c r="H30" s="361">
        <f t="shared" si="5"/>
        <v>216</v>
      </c>
      <c r="I30" s="361">
        <f t="shared" si="5"/>
        <v>189</v>
      </c>
      <c r="J30" s="361">
        <f t="shared" si="5"/>
        <v>216</v>
      </c>
      <c r="K30" s="361">
        <f t="shared" si="5"/>
        <v>222.75</v>
      </c>
      <c r="L30" s="361">
        <f t="shared" si="5"/>
        <v>229.5</v>
      </c>
    </row>
    <row r="31" spans="1:12" ht="13.8">
      <c r="A31" s="356">
        <f>ROW()</f>
        <v>31</v>
      </c>
      <c r="B31" s="440" t="s">
        <v>177</v>
      </c>
      <c r="C31" s="749">
        <f t="shared" si="4"/>
        <v>13.25</v>
      </c>
      <c r="D31" s="505"/>
      <c r="E31" s="53"/>
      <c r="F31" s="146">
        <f>IFERROR(F26/F29,0)</f>
        <v>0</v>
      </c>
      <c r="G31" s="146">
        <f t="shared" ref="G31:L31" si="6">IFERROR(+G26/G29,0)</f>
        <v>9.6666666666666661</v>
      </c>
      <c r="H31" s="146">
        <f t="shared" si="6"/>
        <v>13</v>
      </c>
      <c r="I31" s="146">
        <f t="shared" si="6"/>
        <v>11.25</v>
      </c>
      <c r="J31" s="146">
        <f t="shared" si="6"/>
        <v>12.5</v>
      </c>
      <c r="K31" s="146">
        <f t="shared" si="6"/>
        <v>13</v>
      </c>
      <c r="L31" s="146">
        <f t="shared" si="6"/>
        <v>13.25</v>
      </c>
    </row>
    <row r="32" spans="1:12" ht="13.8">
      <c r="A32" s="356">
        <f>ROW()</f>
        <v>32</v>
      </c>
      <c r="B32" s="440" t="s">
        <v>178</v>
      </c>
      <c r="C32" s="751">
        <f t="shared" si="4"/>
        <v>7</v>
      </c>
      <c r="D32" s="505"/>
      <c r="E32" s="53"/>
      <c r="F32" s="146">
        <f>+Staff!G94</f>
        <v>0.6</v>
      </c>
      <c r="G32" s="146">
        <f>+Staff!H94</f>
        <v>6</v>
      </c>
      <c r="H32" s="146">
        <f>+Staff!I94</f>
        <v>6</v>
      </c>
      <c r="I32" s="146">
        <f>+Staff!J94</f>
        <v>7</v>
      </c>
      <c r="J32" s="146">
        <f>+Staff!K94</f>
        <v>7</v>
      </c>
      <c r="K32" s="146">
        <f>+Staff!L94</f>
        <v>7</v>
      </c>
      <c r="L32" s="146">
        <f>+Staff!M94</f>
        <v>7</v>
      </c>
    </row>
    <row r="33" spans="1:12" ht="13.8">
      <c r="A33" s="356">
        <f>ROW()</f>
        <v>33</v>
      </c>
      <c r="B33" s="439" t="s">
        <v>179</v>
      </c>
      <c r="C33" s="749">
        <f t="shared" si="4"/>
        <v>131.14285714285714</v>
      </c>
      <c r="D33" s="504"/>
      <c r="E33" s="319"/>
      <c r="F33" s="361"/>
      <c r="G33" s="361">
        <f t="shared" ref="G33:L33" si="7">IFERROR(+G19/G32,0)</f>
        <v>90</v>
      </c>
      <c r="H33" s="361">
        <f t="shared" si="7"/>
        <v>108</v>
      </c>
      <c r="I33" s="361">
        <f t="shared" si="7"/>
        <v>108</v>
      </c>
      <c r="J33" s="361">
        <f t="shared" si="7"/>
        <v>123.42857142857143</v>
      </c>
      <c r="K33" s="361">
        <f t="shared" si="7"/>
        <v>127.28571428571429</v>
      </c>
      <c r="L33" s="361">
        <f t="shared" si="7"/>
        <v>131.14285714285714</v>
      </c>
    </row>
    <row r="34" spans="1:12" ht="13.8">
      <c r="A34" s="356">
        <f>ROW()</f>
        <v>34</v>
      </c>
      <c r="B34" s="440" t="s">
        <v>180</v>
      </c>
      <c r="C34" s="749">
        <f t="shared" si="4"/>
        <v>7.5714285714285712</v>
      </c>
      <c r="D34" s="505"/>
      <c r="E34" s="53"/>
      <c r="F34" s="537"/>
      <c r="G34" s="146">
        <f t="shared" ref="G34:L34" si="8">IFERROR(+G26/G32,0)</f>
        <v>4.833333333333333</v>
      </c>
      <c r="H34" s="146">
        <f t="shared" si="8"/>
        <v>6.5</v>
      </c>
      <c r="I34" s="146">
        <f t="shared" si="8"/>
        <v>6.4285714285714288</v>
      </c>
      <c r="J34" s="146">
        <f t="shared" si="8"/>
        <v>7.1428571428571432</v>
      </c>
      <c r="K34" s="146">
        <f t="shared" si="8"/>
        <v>7.4285714285714288</v>
      </c>
      <c r="L34" s="146">
        <f t="shared" si="8"/>
        <v>7.5714285714285712</v>
      </c>
    </row>
    <row r="35" spans="1:12" ht="13.8">
      <c r="A35" s="356">
        <f>ROW()</f>
        <v>35</v>
      </c>
      <c r="B35" s="440" t="s">
        <v>181</v>
      </c>
      <c r="C35" s="506">
        <f t="shared" ref="C35:C40" si="9">AVERAGE(G35:L35)</f>
        <v>87222.222222222234</v>
      </c>
      <c r="D35" s="506"/>
      <c r="E35" s="114"/>
      <c r="F35" s="138"/>
      <c r="G35" s="138">
        <f>IFERROR(+Staff!H247/G29,0)</f>
        <v>91666.666666666672</v>
      </c>
      <c r="H35" s="138">
        <f>IFERROR(+Staff!I247/H29,0)</f>
        <v>91666.666666666672</v>
      </c>
      <c r="I35" s="138">
        <f>IFERROR(+Staff!J247/I29,0)</f>
        <v>85000</v>
      </c>
      <c r="J35" s="138">
        <f>IFERROR(+Staff!K247/J29,0)</f>
        <v>85000</v>
      </c>
      <c r="K35" s="138">
        <f>IFERROR(+Staff!L247/K29,0)</f>
        <v>85000</v>
      </c>
      <c r="L35" s="138">
        <f>IFERROR(+Staff!M247/L29,0)</f>
        <v>85000</v>
      </c>
    </row>
    <row r="36" spans="1:12" ht="13.8">
      <c r="A36" s="356">
        <f>ROW()</f>
        <v>36</v>
      </c>
      <c r="B36" s="440" t="s">
        <v>182</v>
      </c>
      <c r="C36" s="506">
        <f t="shared" si="9"/>
        <v>21865.079365079364</v>
      </c>
      <c r="D36" s="506"/>
      <c r="E36" s="53"/>
      <c r="F36" s="146"/>
      <c r="G36" s="146">
        <f>IFERROR(+Staff!H254/G32,0)</f>
        <v>24166.666666666668</v>
      </c>
      <c r="H36" s="146">
        <f>IFERROR(+Staff!I254/H32,0)</f>
        <v>24166.666666666668</v>
      </c>
      <c r="I36" s="146">
        <f>IFERROR(+Staff!J254/I32,0)</f>
        <v>20714.285714285714</v>
      </c>
      <c r="J36" s="146">
        <f>IFERROR(+Staff!K254/J32,0)</f>
        <v>20714.285714285714</v>
      </c>
      <c r="K36" s="146">
        <f>IFERROR(+Staff!L254/K32,0)</f>
        <v>20714.285714285714</v>
      </c>
      <c r="L36" s="146">
        <f>IFERROR(+Staff!M254/L32,0)</f>
        <v>20714.285714285714</v>
      </c>
    </row>
    <row r="37" spans="1:12" ht="13.8">
      <c r="A37" s="356">
        <f>ROW()</f>
        <v>37</v>
      </c>
      <c r="B37" s="440" t="s">
        <v>183</v>
      </c>
      <c r="C37" s="506">
        <f t="shared" si="9"/>
        <v>48238.888888888898</v>
      </c>
      <c r="D37" s="506"/>
      <c r="E37" s="53"/>
      <c r="F37" s="146"/>
      <c r="G37" s="146">
        <f>IFERROR(+Staff!H269/G23,0)</f>
        <v>50333.333333333336</v>
      </c>
      <c r="H37" s="146">
        <f>IFERROR(+Staff!I269/H23,0)</f>
        <v>47800</v>
      </c>
      <c r="I37" s="146">
        <f>IFERROR(+Staff!J269/I23,0)</f>
        <v>47800</v>
      </c>
      <c r="J37" s="146">
        <f>IFERROR(+Staff!K269/J23,0)</f>
        <v>47833.333333333336</v>
      </c>
      <c r="K37" s="146">
        <f>IFERROR(+Staff!L269/K23,0)</f>
        <v>47833.333333333336</v>
      </c>
      <c r="L37" s="146">
        <f>IFERROR(+Staff!M269/L23,0)</f>
        <v>47833.333333333336</v>
      </c>
    </row>
    <row r="38" spans="1:12" ht="13.8">
      <c r="A38" s="356">
        <f>ROW()</f>
        <v>38</v>
      </c>
      <c r="B38" s="440" t="s">
        <v>184</v>
      </c>
      <c r="C38" s="506">
        <f t="shared" si="9"/>
        <v>50000</v>
      </c>
      <c r="D38" s="506"/>
      <c r="E38" s="53"/>
      <c r="F38" s="146"/>
      <c r="G38" s="146">
        <f>IFERROR(Staff!H281/G24,0)</f>
        <v>50000</v>
      </c>
      <c r="H38" s="146">
        <f>IFERROR(Staff!I281/H24,0)</f>
        <v>50000</v>
      </c>
      <c r="I38" s="146">
        <f>IFERROR(Staff!J281/I24,0)</f>
        <v>50000</v>
      </c>
      <c r="J38" s="146">
        <f>IFERROR(Staff!K281/J24,0)</f>
        <v>50000</v>
      </c>
      <c r="K38" s="146">
        <f>IFERROR(Staff!L281/K24,0)</f>
        <v>50000</v>
      </c>
      <c r="L38" s="146">
        <f>IFERROR(Staff!M281/L24,0)</f>
        <v>50000</v>
      </c>
    </row>
    <row r="39" spans="1:12" ht="13.8">
      <c r="A39" s="356">
        <f>ROW()</f>
        <v>39</v>
      </c>
      <c r="B39" s="440" t="s">
        <v>185</v>
      </c>
      <c r="C39" s="506">
        <f t="shared" si="9"/>
        <v>45000</v>
      </c>
      <c r="D39" s="506"/>
      <c r="E39" s="53"/>
      <c r="F39" s="146"/>
      <c r="G39" s="146">
        <f>IFERROR(Staff!H390/G25,0)</f>
        <v>45000</v>
      </c>
      <c r="H39" s="146">
        <f>IFERROR(Staff!I390/H25,0)</f>
        <v>45000</v>
      </c>
      <c r="I39" s="146">
        <f>IFERROR(Staff!J390/I25,0)</f>
        <v>45000</v>
      </c>
      <c r="J39" s="146">
        <f>IFERROR(Staff!K390/J25,0)</f>
        <v>45000</v>
      </c>
      <c r="K39" s="146">
        <f>IFERROR(Staff!L390/K25,0)</f>
        <v>45000</v>
      </c>
      <c r="L39" s="146">
        <f>IFERROR(Staff!M390/L25,0)</f>
        <v>45000</v>
      </c>
    </row>
    <row r="40" spans="1:12" ht="13.8">
      <c r="A40" s="356">
        <f>ROW()</f>
        <v>40</v>
      </c>
      <c r="B40" s="440" t="s">
        <v>186</v>
      </c>
      <c r="C40" s="506">
        <f t="shared" si="9"/>
        <v>1219.3144713728041</v>
      </c>
      <c r="D40" s="506"/>
      <c r="E40" s="53"/>
      <c r="F40" s="146"/>
      <c r="G40" s="146">
        <f>IFERROR(+Summary!G17/G26,0)</f>
        <v>1312.7586206896551</v>
      </c>
      <c r="H40" s="146">
        <f>IFERROR(+Summary!H17/H26,0)</f>
        <v>1171.3846153846155</v>
      </c>
      <c r="I40" s="146">
        <f>IFERROR(+Summary!I17/I26,0)</f>
        <v>1184.4000000000001</v>
      </c>
      <c r="J40" s="146">
        <f>IFERROR(+Summary!J17/J26,0)</f>
        <v>1218.24</v>
      </c>
      <c r="K40" s="146">
        <f>IFERROR(+Summary!K17/K26,0)</f>
        <v>1207.9903846153845</v>
      </c>
      <c r="L40" s="146">
        <f>IFERROR(+Summary!L17/L26,0)</f>
        <v>1221.1132075471698</v>
      </c>
    </row>
    <row r="41" spans="1:12" ht="13.8">
      <c r="A41" s="356">
        <f>ROW()</f>
        <v>41</v>
      </c>
      <c r="B41" s="440"/>
      <c r="C41" s="457"/>
      <c r="D41" s="457"/>
      <c r="E41" s="53"/>
      <c r="F41" s="146"/>
      <c r="G41" s="146"/>
      <c r="H41" s="146"/>
      <c r="I41" s="146"/>
      <c r="J41" s="146"/>
      <c r="K41" s="146"/>
      <c r="L41" s="146"/>
    </row>
    <row r="42" spans="1:12" ht="13.8">
      <c r="A42" s="356">
        <f>ROW()</f>
        <v>42</v>
      </c>
      <c r="B42" s="440" t="s">
        <v>187</v>
      </c>
      <c r="C42" s="506">
        <f>AVERAGE(G42:L42)</f>
        <v>10896.382855775597</v>
      </c>
      <c r="D42" s="506"/>
      <c r="E42" s="458"/>
      <c r="F42" s="680"/>
      <c r="G42" s="680">
        <f>IFERROR(Summary!G34/G19,0)</f>
        <v>9729.1382407407418</v>
      </c>
      <c r="H42" s="680">
        <f>IFERROR(Summary!H34/H19,0)</f>
        <v>11105.428357567695</v>
      </c>
      <c r="I42" s="680">
        <f>IFERROR(Summary!I34/I19,0)</f>
        <v>11003.017366196615</v>
      </c>
      <c r="J42" s="680">
        <f>IFERROR(Summary!J34/J19,0)</f>
        <v>11041.949863409043</v>
      </c>
      <c r="K42" s="680">
        <f>IFERROR(Summary!K34/K19,0)</f>
        <v>11248.410075899201</v>
      </c>
      <c r="L42" s="680">
        <f>IFERROR(Summary!L34/L19,0)</f>
        <v>11250.353230840283</v>
      </c>
    </row>
    <row r="43" spans="1:12" ht="13.8">
      <c r="A43" s="356">
        <f>ROW()</f>
        <v>43</v>
      </c>
      <c r="B43" s="440" t="s">
        <v>188</v>
      </c>
      <c r="C43" s="506">
        <f>AVERAGE(G43:L43)</f>
        <v>9300.6322238596695</v>
      </c>
      <c r="D43" s="506"/>
      <c r="E43" s="458"/>
      <c r="F43" s="107"/>
      <c r="G43" s="107">
        <f>IFERROR(Summary!G50/G19,0)</f>
        <v>8971.9819318577647</v>
      </c>
      <c r="H43" s="107">
        <f>IFERROR(Summary!H50/H19,0)</f>
        <v>9532.9638907456683</v>
      </c>
      <c r="I43" s="107">
        <f>IFERROR(Summary!I50/I19,0)</f>
        <v>9633.4181693325318</v>
      </c>
      <c r="J43" s="107">
        <f>IFERROR(Summary!J50/J19,0)</f>
        <v>9202.1563346060266</v>
      </c>
      <c r="K43" s="107">
        <f>IFERROR(Summary!K50/K19,0)</f>
        <v>9140.7655410253337</v>
      </c>
      <c r="L43" s="107">
        <f>IFERROR(Summary!L50/L19,0)</f>
        <v>9322.5074755906917</v>
      </c>
    </row>
    <row r="44" spans="1:12" ht="13.8">
      <c r="A44" s="356">
        <f>ROW()</f>
        <v>44</v>
      </c>
      <c r="B44" s="1338" t="s">
        <v>189</v>
      </c>
      <c r="C44" s="507">
        <f>AVERAGE(G44:L44)</f>
        <v>1595.7506319159268</v>
      </c>
      <c r="D44" s="507"/>
      <c r="E44" s="459"/>
      <c r="F44" s="1339"/>
      <c r="G44" s="1340">
        <f t="shared" ref="G44:L44" si="10">+G42-G43</f>
        <v>757.1563088829771</v>
      </c>
      <c r="H44" s="1340">
        <f t="shared" si="10"/>
        <v>1572.4644668220262</v>
      </c>
      <c r="I44" s="1340">
        <f t="shared" si="10"/>
        <v>1369.5991968640828</v>
      </c>
      <c r="J44" s="1340">
        <f t="shared" si="10"/>
        <v>1839.7935288030167</v>
      </c>
      <c r="K44" s="1340">
        <f t="shared" si="10"/>
        <v>2107.6445348738671</v>
      </c>
      <c r="L44" s="1339">
        <f t="shared" si="10"/>
        <v>1927.8457552495911</v>
      </c>
    </row>
    <row r="45" spans="1:12" ht="13.8">
      <c r="A45" s="356">
        <f>ROW()</f>
        <v>45</v>
      </c>
      <c r="B45" s="440" t="s">
        <v>190</v>
      </c>
      <c r="C45" s="749">
        <f>MAX(G45:L45)</f>
        <v>41912</v>
      </c>
      <c r="D45" s="505"/>
      <c r="E45" s="53"/>
      <c r="F45" s="107"/>
      <c r="G45" s="107">
        <f>Facilities!G93</f>
        <v>35000</v>
      </c>
      <c r="H45" s="107">
        <f>Facilities!H93</f>
        <v>35000</v>
      </c>
      <c r="I45" s="107">
        <f>Facilities!I93</f>
        <v>38456</v>
      </c>
      <c r="J45" s="107">
        <f>Facilities!J93</f>
        <v>41912</v>
      </c>
      <c r="K45" s="107">
        <f>Facilities!K93</f>
        <v>41912</v>
      </c>
      <c r="L45" s="107">
        <f>Facilities!L93</f>
        <v>41912</v>
      </c>
    </row>
    <row r="46" spans="1:12" ht="13.8">
      <c r="A46" s="356">
        <f>ROW()</f>
        <v>46</v>
      </c>
      <c r="B46" s="440" t="s">
        <v>191</v>
      </c>
      <c r="C46" s="508">
        <f>MIN(G46:L46)</f>
        <v>45.655773420479299</v>
      </c>
      <c r="D46" s="508"/>
      <c r="E46" s="53"/>
      <c r="F46" s="107"/>
      <c r="G46" s="107">
        <f t="shared" ref="G46:L46" si="11">IFERROR(G45/G19,0)</f>
        <v>64.81481481481481</v>
      </c>
      <c r="H46" s="107">
        <f t="shared" si="11"/>
        <v>54.012345679012348</v>
      </c>
      <c r="I46" s="107">
        <f t="shared" si="11"/>
        <v>50.867724867724867</v>
      </c>
      <c r="J46" s="107">
        <f t="shared" si="11"/>
        <v>48.50925925925926</v>
      </c>
      <c r="K46" s="107">
        <f t="shared" si="11"/>
        <v>47.039281705948376</v>
      </c>
      <c r="L46" s="107">
        <f t="shared" si="11"/>
        <v>45.655773420479299</v>
      </c>
    </row>
    <row r="47" spans="1:12" ht="13.8">
      <c r="A47" s="356">
        <f>ROW()</f>
        <v>47</v>
      </c>
      <c r="B47" s="440" t="s">
        <v>192</v>
      </c>
      <c r="C47" s="508">
        <f>MIN(G47:L47)</f>
        <v>42.723751274209988</v>
      </c>
      <c r="D47" s="508"/>
      <c r="E47" s="53"/>
      <c r="F47" s="107"/>
      <c r="G47" s="107">
        <f t="shared" ref="G47:L47" si="12">IFERROR(+G45/G21,0)</f>
        <v>60.763888888888886</v>
      </c>
      <c r="H47" s="107">
        <f t="shared" si="12"/>
        <v>50.359712230215827</v>
      </c>
      <c r="I47" s="107">
        <f t="shared" si="12"/>
        <v>47.418002466091245</v>
      </c>
      <c r="J47" s="107">
        <f t="shared" si="12"/>
        <v>45.359307359307358</v>
      </c>
      <c r="K47" s="107">
        <f t="shared" si="12"/>
        <v>43.979013641133264</v>
      </c>
      <c r="L47" s="107">
        <f t="shared" si="12"/>
        <v>42.723751274209988</v>
      </c>
    </row>
    <row r="48" spans="1:12" ht="13.8">
      <c r="A48" s="356">
        <f>ROW()</f>
        <v>48</v>
      </c>
      <c r="B48" s="440" t="s">
        <v>1257</v>
      </c>
      <c r="C48" s="506">
        <f>AVERAGE(G48:L48)</f>
        <v>0</v>
      </c>
      <c r="D48" s="508"/>
      <c r="E48" s="53"/>
      <c r="F48" s="107"/>
      <c r="G48" s="107">
        <f>+Summary!G27/Summary!G9</f>
        <v>0</v>
      </c>
      <c r="H48" s="107">
        <f>+Summary!H27/Summary!H9</f>
        <v>0</v>
      </c>
      <c r="I48" s="107">
        <f>+Summary!I27/Summary!I9</f>
        <v>0</v>
      </c>
      <c r="J48" s="107">
        <f>+Summary!J27/Summary!J9</f>
        <v>0</v>
      </c>
      <c r="K48" s="107">
        <f>+Summary!K27/Summary!K9</f>
        <v>0</v>
      </c>
      <c r="L48" s="107">
        <f>+Summary!L27/Summary!L9</f>
        <v>0</v>
      </c>
    </row>
    <row r="49" spans="1:12" ht="13.8">
      <c r="A49" s="356">
        <f>ROW()</f>
        <v>49</v>
      </c>
      <c r="B49" s="35"/>
      <c r="C49" s="35"/>
      <c r="D49" s="35"/>
      <c r="E49" s="35"/>
      <c r="F49" s="533"/>
      <c r="G49" s="533"/>
      <c r="H49" s="533"/>
      <c r="I49" s="533"/>
      <c r="J49" s="533"/>
      <c r="K49" s="533"/>
      <c r="L49" s="533"/>
    </row>
    <row r="50" spans="1:12" ht="17.399999999999999">
      <c r="A50" s="356">
        <f>ROW()</f>
        <v>50</v>
      </c>
      <c r="B50" s="1023" t="s">
        <v>193</v>
      </c>
      <c r="C50" s="1024"/>
      <c r="D50" s="1024"/>
      <c r="E50" s="1024"/>
      <c r="F50" s="1025" t="str">
        <f>Summary!F6</f>
        <v>SY 0/Incu</v>
      </c>
      <c r="G50" s="1026">
        <f>Summary!G6</f>
        <v>1</v>
      </c>
      <c r="H50" s="1026">
        <f>Summary!H6</f>
        <v>2</v>
      </c>
      <c r="I50" s="1026">
        <f>Summary!I6</f>
        <v>3</v>
      </c>
      <c r="J50" s="1026">
        <f>Summary!J6</f>
        <v>4</v>
      </c>
      <c r="K50" s="1026">
        <f>Summary!K6</f>
        <v>5</v>
      </c>
      <c r="L50" s="1026">
        <f>Summary!L6</f>
        <v>6</v>
      </c>
    </row>
    <row r="51" spans="1:12" ht="13.8">
      <c r="A51" s="356">
        <f>ROW()</f>
        <v>51</v>
      </c>
      <c r="B51" s="1341" t="s">
        <v>122</v>
      </c>
      <c r="C51" s="1027"/>
      <c r="D51" s="1027"/>
      <c r="E51" s="1027"/>
      <c r="F51" s="1342"/>
      <c r="G51" s="1342"/>
      <c r="H51" s="1342"/>
      <c r="I51" s="1342"/>
      <c r="J51" s="1342"/>
      <c r="K51" s="1342"/>
      <c r="L51" s="1342"/>
    </row>
    <row r="52" spans="1:12" ht="13.8">
      <c r="A52" s="356">
        <f>ROW()</f>
        <v>52</v>
      </c>
      <c r="B52" s="35" t="str">
        <f>+Summary!B14</f>
        <v>State &amp; Local Revenue w/o St SpEd</v>
      </c>
      <c r="C52" s="442">
        <f>IFERROR(Summary!C14/Summary!C$34,)</f>
        <v>0.79379430784032634</v>
      </c>
      <c r="D52" s="442"/>
      <c r="E52" s="442"/>
      <c r="F52" s="681">
        <f>IF(Summary!F14&gt;0,Summary!F14/Summary!F$34,0)</f>
        <v>0</v>
      </c>
      <c r="G52" s="681">
        <f>IF(Summary!G14&gt;0,Summary!G14/Summary!G$34,0)</f>
        <v>0.74960390319674786</v>
      </c>
      <c r="H52" s="681">
        <f>IF(Summary!H14&gt;0,Summary!H14/Summary!H$34,0)</f>
        <v>0.79288006502412167</v>
      </c>
      <c r="I52" s="681">
        <f>IF(Summary!I14&gt;0,Summary!I14/Summary!I$34,0)</f>
        <v>0.80380797634314405</v>
      </c>
      <c r="J52" s="681">
        <f>IF(Summary!J14&gt;0,Summary!J14/Summary!J$34,0)</f>
        <v>0.80362558297677833</v>
      </c>
      <c r="K52" s="681">
        <f>IF(Summary!K14&gt;0,Summary!K14/Summary!K$34,0)</f>
        <v>0.8026794464582766</v>
      </c>
      <c r="L52" s="681">
        <f>IF(Summary!L14&gt;0,Summary!L14/Summary!L$34,0)</f>
        <v>0.80267070659820883</v>
      </c>
    </row>
    <row r="53" spans="1:12" ht="13.8">
      <c r="A53" s="356">
        <f>ROW()</f>
        <v>53</v>
      </c>
      <c r="B53" s="35" t="str">
        <f>+Summary!B15</f>
        <v>CS Sponsorship Fee (Infl' Adj'd)</v>
      </c>
      <c r="C53" s="1070">
        <f>IFERROR(Summary!C15/Summary!C$34,0)</f>
        <v>-9.2722817253201428E-3</v>
      </c>
      <c r="D53" s="442"/>
      <c r="E53" s="442"/>
      <c r="F53" s="681">
        <f>IF(Summary!F15&gt;0,Summary!F15/Summary!F$34,0)</f>
        <v>0</v>
      </c>
      <c r="G53" s="681">
        <f>IF(Summary!G15&gt;0,Summary!G15/Summary!G$34,0)</f>
        <v>0</v>
      </c>
      <c r="H53" s="681">
        <f>IF(Summary!H15&gt;0,Summary!H15/Summary!H$34,0)</f>
        <v>0</v>
      </c>
      <c r="I53" s="681">
        <f>IF(Summary!I15&gt;0,Summary!I15/Summary!I$34,0)</f>
        <v>0</v>
      </c>
      <c r="J53" s="681">
        <f>IF(Summary!J15&gt;0,Summary!J15/Summary!J$34,0)</f>
        <v>0</v>
      </c>
      <c r="K53" s="681">
        <f>IF(Summary!K15&gt;0,Summary!K15/Summary!K$34,0)</f>
        <v>0</v>
      </c>
      <c r="L53" s="681">
        <f>IF(Summary!L15&gt;0,Summary!L15/Summary!L$34,0)</f>
        <v>0</v>
      </c>
    </row>
    <row r="54" spans="1:12" ht="13.8">
      <c r="A54" s="356">
        <f>ROW()</f>
        <v>54</v>
      </c>
      <c r="B54" s="35" t="str">
        <f>+Summary!B16</f>
        <v>Title I</v>
      </c>
      <c r="C54" s="442">
        <f>IFERROR(Summary!C16/Summary!C$34,)</f>
        <v>5.7248226334844075E-2</v>
      </c>
      <c r="D54" s="442"/>
      <c r="E54" s="442"/>
      <c r="F54" s="681">
        <f>IF(Summary!F16&gt;0,Summary!F16/Summary!F$34,0)</f>
        <v>0</v>
      </c>
      <c r="G54" s="681">
        <f>IF(Summary!G16&gt;0,Summary!G16/Summary!G$34,0)</f>
        <v>6.4753936516378868E-2</v>
      </c>
      <c r="H54" s="681">
        <f>IF(Summary!H16&gt;0,Summary!H16/Summary!H$34,0)</f>
        <v>5.6729013930443509E-2</v>
      </c>
      <c r="I54" s="681">
        <f>IF(Summary!I16&gt;0,Summary!I16/Summary!I$34,0)</f>
        <v>5.7257021327211673E-2</v>
      </c>
      <c r="J54" s="681">
        <f>IF(Summary!J16&gt;0,Summary!J16/Summary!J$34,0)</f>
        <v>5.7055140422952122E-2</v>
      </c>
      <c r="K54" s="681">
        <f>IF(Summary!K16&gt;0,Summary!K16/Summary!K$34,0)</f>
        <v>5.600791540751484E-2</v>
      </c>
      <c r="L54" s="681">
        <f>IF(Summary!L16&gt;0,Summary!L16/Summary!L$34,0)</f>
        <v>5.5998241750578853E-2</v>
      </c>
    </row>
    <row r="55" spans="1:12" ht="13.8">
      <c r="A55" s="356">
        <f>ROW()</f>
        <v>55</v>
      </c>
      <c r="B55" s="35" t="str">
        <f>+Summary!B17</f>
        <v>Title IIA</v>
      </c>
      <c r="C55" s="442">
        <f>IFERROR(Summary!C17/Summary!C$34,)</f>
        <v>6.4063491374706464E-3</v>
      </c>
      <c r="D55" s="442"/>
      <c r="E55" s="442"/>
      <c r="F55" s="681">
        <f>IF(Summary!F17&gt;0,Summary!F17/Summary!F$34,0)</f>
        <v>0</v>
      </c>
      <c r="G55" s="681">
        <f>IF(Summary!G17&gt;0,Summary!G17/Summary!G$34,0)</f>
        <v>7.2462738482614456E-3</v>
      </c>
      <c r="H55" s="681">
        <f>IF(Summary!H17&gt;0,Summary!H17/Summary!H$34,0)</f>
        <v>6.3482467969782014E-3</v>
      </c>
      <c r="I55" s="681">
        <f>IF(Summary!I17&gt;0,Summary!I17/Summary!I$34,0)</f>
        <v>6.407333338997497E-3</v>
      </c>
      <c r="J55" s="681">
        <f>IF(Summary!J17&gt;0,Summary!J17/Summary!J$34,0)</f>
        <v>6.3847419044732135E-3</v>
      </c>
      <c r="K55" s="681">
        <f>IF(Summary!K17&gt;0,Summary!K17/Summary!K$34,0)</f>
        <v>6.267552438459994E-3</v>
      </c>
      <c r="L55" s="681">
        <f>IF(Summary!L17&gt;0,Summary!L17/Summary!L$34,0)</f>
        <v>6.2664699101838235E-3</v>
      </c>
    </row>
    <row r="56" spans="1:12" ht="13.8">
      <c r="A56" s="356">
        <f>ROW()</f>
        <v>56</v>
      </c>
      <c r="B56" s="35" t="str">
        <f>+Summary!B18</f>
        <v>Title III</v>
      </c>
      <c r="C56" s="442">
        <f>IFERROR(Summary!C18/Summary!C$34,)</f>
        <v>1.3630530079724781E-3</v>
      </c>
      <c r="D56" s="442"/>
      <c r="E56" s="442"/>
      <c r="F56" s="681">
        <f>IF(Summary!F18&gt;0,Summary!F18/Summary!F$34,0)</f>
        <v>0</v>
      </c>
      <c r="G56" s="681">
        <f>IF(Summary!G18&gt;0,Summary!G18/Summary!G$34,0)</f>
        <v>1.541760393247116E-3</v>
      </c>
      <c r="H56" s="681">
        <f>IF(Summary!H18&gt;0,Summary!H18/Summary!H$34,0)</f>
        <v>1.3506908078677023E-3</v>
      </c>
      <c r="I56" s="681">
        <f>IF(Summary!I18&gt;0,Summary!I18/Summary!I$34,0)</f>
        <v>1.3632624125526588E-3</v>
      </c>
      <c r="J56" s="681">
        <f>IF(Summary!J18&gt;0,Summary!J18/Summary!J$34,0)</f>
        <v>1.3584557243560029E-3</v>
      </c>
      <c r="K56" s="681">
        <f>IF(Summary!K18&gt;0,Summary!K18/Summary!K$34,0)</f>
        <v>1.3335217954170198E-3</v>
      </c>
      <c r="L56" s="681">
        <f>IF(Summary!L18&gt;0,Summary!L18/Summary!L$34,0)</f>
        <v>1.3332914702518775E-3</v>
      </c>
    </row>
    <row r="57" spans="1:12" ht="13.8">
      <c r="A57" s="356">
        <f>ROW()</f>
        <v>57</v>
      </c>
      <c r="B57" s="35" t="str">
        <f>+Summary!B19</f>
        <v>Title IV</v>
      </c>
      <c r="C57" s="442">
        <f>IFERROR(Summary!C19/Summary!C$34,)</f>
        <v>0</v>
      </c>
      <c r="D57" s="442"/>
      <c r="E57" s="442"/>
      <c r="F57" s="681">
        <f>IF(Summary!F19&gt;0,Summary!F19/Summary!F$34,0)</f>
        <v>0</v>
      </c>
      <c r="G57" s="681">
        <f>IF(Summary!G19&gt;0,Summary!G19/Summary!G$34,0)</f>
        <v>0</v>
      </c>
      <c r="H57" s="681">
        <f>IF(Summary!H19&gt;0,Summary!H19/Summary!H$34,0)</f>
        <v>0</v>
      </c>
      <c r="I57" s="681">
        <f>IF(Summary!I19&gt;0,Summary!I19/Summary!I$34,0)</f>
        <v>0</v>
      </c>
      <c r="J57" s="681">
        <f>IF(Summary!J19&gt;0,Summary!J19/Summary!J$34,0)</f>
        <v>0</v>
      </c>
      <c r="K57" s="681">
        <f>IF(Summary!K19&gt;0,Summary!K19/Summary!K$34,0)</f>
        <v>0</v>
      </c>
      <c r="L57" s="681">
        <f>IF(Summary!L19&gt;0,Summary!L19/Summary!L$34,0)</f>
        <v>0</v>
      </c>
    </row>
    <row r="58" spans="1:12" ht="13.8">
      <c r="A58" s="356">
        <f>ROW()</f>
        <v>58</v>
      </c>
      <c r="B58" s="35" t="str">
        <f>+Summary!B20</f>
        <v>Federal Breakfast Program</v>
      </c>
      <c r="C58" s="442">
        <f>IFERROR(Summary!C20/Summary!C$34,)</f>
        <v>3.2386139469426083E-2</v>
      </c>
      <c r="D58" s="442"/>
      <c r="E58" s="442"/>
      <c r="F58" s="681">
        <f>IF(Summary!F20&gt;0,Summary!F20/Summary!F$34,0)</f>
        <v>0</v>
      </c>
      <c r="G58" s="681">
        <f>IF(Summary!G20&gt;0,Summary!G20/Summary!G$34,0)</f>
        <v>3.6632226943551484E-2</v>
      </c>
      <c r="H58" s="681">
        <f>IF(Summary!H20&gt;0,Summary!H20/Summary!H$34,0)</f>
        <v>3.2092413594936614E-2</v>
      </c>
      <c r="I58" s="681">
        <f>IF(Summary!I20&gt;0,Summary!I20/Summary!I$34,0)</f>
        <v>3.2391114922251177E-2</v>
      </c>
      <c r="J58" s="681">
        <f>IF(Summary!J20&gt;0,Summary!J20/Summary!J$34,0)</f>
        <v>3.2276908010698636E-2</v>
      </c>
      <c r="K58" s="681">
        <f>IF(Summary!K20&gt;0,Summary!K20/Summary!K$34,0)</f>
        <v>3.1684477859108398E-2</v>
      </c>
      <c r="L58" s="681">
        <f>IF(Summary!L20&gt;0,Summary!L20/Summary!L$34,0)</f>
        <v>3.1679005333184615E-2</v>
      </c>
    </row>
    <row r="59" spans="1:12" ht="13.8">
      <c r="A59" s="356">
        <f>ROW()</f>
        <v>59</v>
      </c>
      <c r="B59" s="35" t="str">
        <f>+Summary!B21</f>
        <v>Federal Lunch Program</v>
      </c>
      <c r="C59" s="442">
        <f>IFERROR(Summary!C21/Summary!C$34,)</f>
        <v>5.049293562733248E-2</v>
      </c>
      <c r="D59" s="442"/>
      <c r="E59" s="442"/>
      <c r="F59" s="681">
        <f>IF(Summary!F21&gt;0,Summary!F21/Summary!F$34,0)</f>
        <v>0</v>
      </c>
      <c r="G59" s="681">
        <f>IF(Summary!G21&gt;0,Summary!G21/Summary!G$34,0)</f>
        <v>5.7112972007446174E-2</v>
      </c>
      <c r="H59" s="681">
        <f>IF(Summary!H21&gt;0,Summary!H21/Summary!H$34,0)</f>
        <v>5.0034990286651176E-2</v>
      </c>
      <c r="I59" s="681">
        <f>IF(Summary!I21&gt;0,Summary!I21/Summary!I$34,0)</f>
        <v>5.0500692810600697E-2</v>
      </c>
      <c r="J59" s="681">
        <f>IF(Summary!J21&gt;0,Summary!J21/Summary!J$34,0)</f>
        <v>5.032263385304378E-2</v>
      </c>
      <c r="K59" s="681">
        <f>IF(Summary!K21&gt;0,Summary!K21/Summary!K$34,0)</f>
        <v>4.9398981389428089E-2</v>
      </c>
      <c r="L59" s="681">
        <f>IF(Summary!L21&gt;0,Summary!L21/Summary!L$34,0)</f>
        <v>4.9390449224010549E-2</v>
      </c>
    </row>
    <row r="60" spans="1:12" ht="13.8">
      <c r="A60" s="356">
        <f>ROW()</f>
        <v>60</v>
      </c>
      <c r="B60" s="35" t="str">
        <f>+Summary!B22</f>
        <v>IDEA</v>
      </c>
      <c r="C60" s="442">
        <f>IFERROR(Summary!C22/Summary!C$34,)</f>
        <v>1.4448361884508267E-2</v>
      </c>
      <c r="D60" s="442"/>
      <c r="E60" s="442"/>
      <c r="F60" s="681">
        <f>IF(Summary!F22&gt;0,Summary!F22/Summary!F$34,0)</f>
        <v>0</v>
      </c>
      <c r="G60" s="681">
        <f>IF(Summary!G22&gt;0,Summary!G22/Summary!G$34,0)</f>
        <v>1.634266016841943E-2</v>
      </c>
      <c r="H60" s="681">
        <f>IF(Summary!H22&gt;0,Summary!H22/Summary!H$34,0)</f>
        <v>1.4317322563397645E-2</v>
      </c>
      <c r="I60" s="681">
        <f>IF(Summary!I22&gt;0,Summary!I22/Summary!I$34,0)</f>
        <v>1.4450581573058181E-2</v>
      </c>
      <c r="J60" s="681">
        <f>IF(Summary!J22&gt;0,Summary!J22/Summary!J$34,0)</f>
        <v>1.4399630678173632E-2</v>
      </c>
      <c r="K60" s="681">
        <f>IF(Summary!K22&gt;0,Summary!K22/Summary!K$34,0)</f>
        <v>1.4135331031420411E-2</v>
      </c>
      <c r="L60" s="681">
        <f>IF(Summary!L22&gt;0,Summary!L22/Summary!L$34,0)</f>
        <v>1.41328895846699E-2</v>
      </c>
    </row>
    <row r="61" spans="1:12" ht="13.8">
      <c r="A61" s="356">
        <f>ROW()</f>
        <v>61</v>
      </c>
      <c r="B61" s="35" t="str">
        <f>+Summary!B23</f>
        <v>State Special Education Funding</v>
      </c>
      <c r="C61" s="442">
        <f>IFERROR(Summary!C23/Summary!C$34,)</f>
        <v>4.0339832758403256E-2</v>
      </c>
      <c r="D61" s="442"/>
      <c r="E61" s="442"/>
      <c r="F61" s="681">
        <f>IF(Summary!F23&gt;0,Summary!F23/Summary!F$34,0)</f>
        <v>0</v>
      </c>
      <c r="G61" s="681">
        <f>IF(Summary!G23&gt;0,Summary!G23/Summary!G$34,0)</f>
        <v>0</v>
      </c>
      <c r="H61" s="681">
        <f>IF(Summary!H23&gt;0,Summary!H23/Summary!H$34,0)</f>
        <v>4.1578765368860772E-2</v>
      </c>
      <c r="I61" s="681">
        <f>IF(Summary!I23&gt;0,Summary!I23/Summary!I$34,0)</f>
        <v>4.3164783016881612E-2</v>
      </c>
      <c r="J61" s="681">
        <f>IF(Summary!J23&gt;0,Summary!J23/Summary!J$34,0)</f>
        <v>4.3908685150496903E-2</v>
      </c>
      <c r="K61" s="681">
        <f>IF(Summary!K23&gt;0,Summary!K23/Summary!K$34,0)</f>
        <v>4.7767558906865175E-2</v>
      </c>
      <c r="L61" s="681">
        <f>IF(Summary!L23&gt;0,Summary!L23/Summary!L$34,0)</f>
        <v>4.78032049431307E-2</v>
      </c>
    </row>
    <row r="62" spans="1:12" ht="13.8">
      <c r="A62" s="356">
        <f>ROW()</f>
        <v>62</v>
      </c>
      <c r="B62" s="35" t="str">
        <f>+Summary!B24</f>
        <v>"Replication &amp; Expansion" start-up funds</v>
      </c>
      <c r="C62" s="442">
        <f>IFERROR(Summary!C24/Summary!C$34,)</f>
        <v>9.8408274346435485E-3</v>
      </c>
      <c r="D62" s="442"/>
      <c r="E62" s="442"/>
      <c r="F62" s="681">
        <f>IF(Summary!F24&gt;0,Summary!F24/Summary!F$34,0)</f>
        <v>0</v>
      </c>
      <c r="G62" s="681">
        <f>IF(Summary!G24&gt;0,Summary!G24/Summary!G$34,0)</f>
        <v>7.6136315715906969E-2</v>
      </c>
      <c r="H62" s="681">
        <f>IF(Summary!H24&gt;0,Summary!H24/Summary!H$34,0)</f>
        <v>1.3895995965717103E-2</v>
      </c>
      <c r="I62" s="681">
        <f>IF(Summary!I24&gt;0,Summary!I24/Summary!I$34,0)</f>
        <v>0</v>
      </c>
      <c r="J62" s="681">
        <f>IF(Summary!J24&gt;0,Summary!J24/Summary!J$34,0)</f>
        <v>0</v>
      </c>
      <c r="K62" s="681">
        <f>IF(Summary!K24&gt;0,Summary!K24/Summary!K$34,0)</f>
        <v>0</v>
      </c>
      <c r="L62" s="681">
        <f>IF(Summary!L24&gt;0,Summary!L24/Summary!L$34,0)</f>
        <v>0</v>
      </c>
    </row>
    <row r="63" spans="1:12" ht="13.8">
      <c r="A63" s="356">
        <f>ROW()</f>
        <v>63</v>
      </c>
      <c r="B63" s="35" t="str">
        <f>+Summary!B25</f>
        <v>Charter School Program (CSP) Grant (w/letter)</v>
      </c>
      <c r="C63" s="442">
        <f>IFERROR(Summary!C25/Summary!C$34,)</f>
        <v>0</v>
      </c>
      <c r="D63" s="442"/>
      <c r="E63" s="442"/>
      <c r="F63" s="681">
        <f>IF(Summary!F25&gt;0,Summary!F25/Summary!F$34,0)</f>
        <v>0</v>
      </c>
      <c r="G63" s="681">
        <f>IF(Summary!G25&gt;0,Summary!G25/Summary!G$34,0)</f>
        <v>0</v>
      </c>
      <c r="H63" s="681">
        <f>IF(Summary!H25&gt;0,Summary!H25/Summary!H$34,0)</f>
        <v>0</v>
      </c>
      <c r="I63" s="681">
        <f>IF(Summary!I25&gt;0,Summary!I25/Summary!I$34,0)</f>
        <v>0</v>
      </c>
      <c r="J63" s="681">
        <f>IF(Summary!J25&gt;0,Summary!J25/Summary!J$34,0)</f>
        <v>0</v>
      </c>
      <c r="K63" s="681">
        <f>IF(Summary!K25&gt;0,Summary!K25/Summary!K$34,0)</f>
        <v>0</v>
      </c>
      <c r="L63" s="681">
        <f>IF(Summary!L25&gt;0,Summary!L25/Summary!L$34,0)</f>
        <v>0</v>
      </c>
    </row>
    <row r="64" spans="1:12" ht="13.8">
      <c r="A64" s="356">
        <f>ROW()</f>
        <v>64</v>
      </c>
      <c r="B64" s="35" t="str">
        <f>+Summary!B26</f>
        <v>Other start-up funds (incl' SEA grants)</v>
      </c>
      <c r="C64" s="442">
        <f>IFERROR(Summary!C26/Summary!C$34,)</f>
        <v>0</v>
      </c>
      <c r="D64" s="442"/>
      <c r="E64" s="442"/>
      <c r="F64" s="681">
        <f>IF(Summary!F26&gt;0,Summary!F26/Summary!F$34,0)</f>
        <v>0</v>
      </c>
      <c r="G64" s="681">
        <f>IF(Summary!G26&gt;0,Summary!G26/Summary!G$34,0)</f>
        <v>0</v>
      </c>
      <c r="H64" s="681">
        <f>IF(Summary!H26&gt;0,Summary!H26/Summary!H$34,0)</f>
        <v>0</v>
      </c>
      <c r="I64" s="681">
        <f>IF(Summary!I26&gt;0,Summary!I26/Summary!I$34,0)</f>
        <v>0</v>
      </c>
      <c r="J64" s="681">
        <f>IF(Summary!J26&gt;0,Summary!J26/Summary!J$34,0)</f>
        <v>0</v>
      </c>
      <c r="K64" s="681">
        <f>IF(Summary!K26&gt;0,Summary!K26/Summary!K$34,0)</f>
        <v>0</v>
      </c>
      <c r="L64" s="681">
        <f>IF(Summary!L26&gt;0,Summary!L26/Summary!L$34,0)</f>
        <v>0</v>
      </c>
    </row>
    <row r="65" spans="1:12" ht="13.8">
      <c r="A65" s="356">
        <f>ROW()</f>
        <v>65</v>
      </c>
      <c r="B65" s="35" t="str">
        <f>+Summary!B27</f>
        <v>Student fees (Net)</v>
      </c>
      <c r="C65" s="442">
        <f>IFERROR(Summary!C27/Summary!C$34,)</f>
        <v>0</v>
      </c>
      <c r="D65" s="442"/>
      <c r="E65" s="442"/>
      <c r="F65" s="681">
        <f>IF(Summary!F27&gt;0,Summary!F27/Summary!F$34,0)</f>
        <v>0</v>
      </c>
      <c r="G65" s="681">
        <f>IF(Summary!G27&gt;0,Summary!G27/Summary!G$34,0)</f>
        <v>0</v>
      </c>
      <c r="H65" s="681">
        <f>IF(Summary!H27&gt;0,Summary!H27/Summary!H$34,0)</f>
        <v>0</v>
      </c>
      <c r="I65" s="681">
        <f>IF(Summary!I27&gt;0,Summary!I27/Summary!I$34,0)</f>
        <v>0</v>
      </c>
      <c r="J65" s="681">
        <f>IF(Summary!J27&gt;0,Summary!J27/Summary!J$34,0)</f>
        <v>0</v>
      </c>
      <c r="K65" s="681">
        <f>IF(Summary!K27&gt;0,Summary!K27/Summary!K$34,0)</f>
        <v>0</v>
      </c>
      <c r="L65" s="681">
        <f>IF(Summary!L27&gt;0,Summary!L27/Summary!L$34,0)</f>
        <v>0</v>
      </c>
    </row>
    <row r="66" spans="1:12" ht="13.8">
      <c r="A66" s="356">
        <f>ROW()</f>
        <v>66</v>
      </c>
      <c r="B66" s="35" t="str">
        <f>+Summary!B28</f>
        <v>Food Services</v>
      </c>
      <c r="C66" s="442">
        <f>IFERROR(Summary!C28/Summary!C$34,)</f>
        <v>0</v>
      </c>
      <c r="D66" s="442"/>
      <c r="E66" s="442"/>
      <c r="F66" s="681">
        <f>IF(Summary!F28&gt;0,Summary!F28/Summary!F$34,0)</f>
        <v>0</v>
      </c>
      <c r="G66" s="681">
        <f>IF(Summary!G28&gt;0,Summary!G28/Summary!G$34,0)</f>
        <v>0</v>
      </c>
      <c r="H66" s="681">
        <f>IF(Summary!H28&gt;0,Summary!H28/Summary!H$34,0)</f>
        <v>0</v>
      </c>
      <c r="I66" s="681">
        <f>IF(Summary!I28&gt;0,Summary!I28/Summary!I$34,0)</f>
        <v>0</v>
      </c>
      <c r="J66" s="681">
        <f>IF(Summary!J28&gt;0,Summary!J28/Summary!J$34,0)</f>
        <v>0</v>
      </c>
      <c r="K66" s="681">
        <f>IF(Summary!K28&gt;0,Summary!K28/Summary!K$34,0)</f>
        <v>0</v>
      </c>
      <c r="L66" s="681">
        <f>IF(Summary!L28&gt;0,Summary!L28/Summary!L$34,0)</f>
        <v>0</v>
      </c>
    </row>
    <row r="67" spans="1:12" ht="13.8">
      <c r="A67" s="356">
        <f>ROW()</f>
        <v>67</v>
      </c>
      <c r="B67" s="35" t="str">
        <f>+Summary!B29</f>
        <v>Transportation</v>
      </c>
      <c r="C67" s="442">
        <f>IFERROR(Summary!C29/Summary!C$34,)</f>
        <v>0</v>
      </c>
      <c r="D67" s="442"/>
      <c r="E67" s="442"/>
      <c r="F67" s="681">
        <f>IF(Summary!F29&gt;0,Summary!F29/Summary!F$34,0)</f>
        <v>0</v>
      </c>
      <c r="G67" s="681">
        <f>IF(Summary!G29&gt;0,Summary!G29/Summary!G$34,0)</f>
        <v>0</v>
      </c>
      <c r="H67" s="681">
        <f>IF(Summary!H29&gt;0,Summary!H29/Summary!H$34,0)</f>
        <v>0</v>
      </c>
      <c r="I67" s="681">
        <f>IF(Summary!I29&gt;0,Summary!I29/Summary!I$34,0)</f>
        <v>0</v>
      </c>
      <c r="J67" s="681">
        <f>IF(Summary!J29&gt;0,Summary!J29/Summary!J$34,0)</f>
        <v>0</v>
      </c>
      <c r="K67" s="681">
        <f>IF(Summary!K29&gt;0,Summary!K29/Summary!K$34,0)</f>
        <v>0</v>
      </c>
      <c r="L67" s="681">
        <f>IF(Summary!L29&gt;0,Summary!L29/Summary!L$34,0)</f>
        <v>0</v>
      </c>
    </row>
    <row r="68" spans="1:12" ht="13.8">
      <c r="A68" s="356">
        <f>ROW()</f>
        <v>68</v>
      </c>
      <c r="B68" s="35" t="str">
        <f>+Summary!B30</f>
        <v>Investment Income</v>
      </c>
      <c r="C68" s="442">
        <f>IFERROR(Summary!C30/Summary!C$34,)</f>
        <v>0</v>
      </c>
      <c r="D68" s="442"/>
      <c r="E68" s="442"/>
      <c r="F68" s="681">
        <f>IF(Summary!F30&gt;0,Summary!F30/Summary!F$34,0)</f>
        <v>0</v>
      </c>
      <c r="G68" s="681">
        <f>IF(Summary!G30&gt;0,Summary!G30/Summary!G$34,0)</f>
        <v>0</v>
      </c>
      <c r="H68" s="681">
        <f>IF(Summary!H30&gt;0,Summary!H30/Summary!H$34,0)</f>
        <v>0</v>
      </c>
      <c r="I68" s="681">
        <f>IF(Summary!I30&gt;0,Summary!I30/Summary!I$34,0)</f>
        <v>0</v>
      </c>
      <c r="J68" s="681">
        <f>IF(Summary!J30&gt;0,Summary!J30/Summary!J$34,0)</f>
        <v>0</v>
      </c>
      <c r="K68" s="681">
        <f>IF(Summary!K30&gt;0,Summary!K30/Summary!K$34,0)</f>
        <v>0</v>
      </c>
      <c r="L68" s="681">
        <f>IF(Summary!L30&gt;0,Summary!L30/Summary!L$34,0)</f>
        <v>0</v>
      </c>
    </row>
    <row r="69" spans="1:12" ht="13.8">
      <c r="A69" s="356">
        <f>ROW()</f>
        <v>69</v>
      </c>
      <c r="B69" s="35" t="str">
        <f>+Summary!B31</f>
        <v>School level fundraising</v>
      </c>
      <c r="C69" s="442">
        <f>IFERROR(Summary!C31/Summary!C$34,)</f>
        <v>0</v>
      </c>
      <c r="D69" s="442"/>
      <c r="E69" s="442"/>
      <c r="F69" s="681">
        <f>IF(Summary!F31&gt;0,Summary!F31/Summary!F$34,0)</f>
        <v>0</v>
      </c>
      <c r="G69" s="681">
        <f>IF(Summary!G31&gt;0,Summary!G31/Summary!G$34,0)</f>
        <v>0</v>
      </c>
      <c r="H69" s="681">
        <f>IF(Summary!H31&gt;0,Summary!H31/Summary!H$34,0)</f>
        <v>0</v>
      </c>
      <c r="I69" s="681">
        <f>IF(Summary!I31&gt;0,Summary!I31/Summary!I$34,0)</f>
        <v>0</v>
      </c>
      <c r="J69" s="681">
        <f>IF(Summary!J31&gt;0,Summary!J31/Summary!J$34,0)</f>
        <v>0</v>
      </c>
      <c r="K69" s="681">
        <f>IF(Summary!K31&gt;0,Summary!K31/Summary!K$34,0)</f>
        <v>0</v>
      </c>
      <c r="L69" s="681">
        <f>IF(Summary!L31&gt;0,Summary!L31/Summary!L$34,0)</f>
        <v>0</v>
      </c>
    </row>
    <row r="70" spans="1:12" ht="13.8">
      <c r="A70" s="356">
        <f>ROW()</f>
        <v>70</v>
      </c>
      <c r="B70" s="35" t="str">
        <f>+Summary!B32</f>
        <v>Private fundraising (foundations, corporate)</v>
      </c>
      <c r="C70" s="442">
        <f>IFERROR(Summary!C32/Summary!C$34,)</f>
        <v>2.9522482303930646E-3</v>
      </c>
      <c r="D70" s="442"/>
      <c r="E70" s="442"/>
      <c r="F70" s="681">
        <f>IF(Summary!F32&gt;0,Summary!F32/Summary!F$34,0)</f>
        <v>1</v>
      </c>
      <c r="G70" s="681">
        <f>IF(Summary!G32&gt;0,Summary!G32/Summary!G$34,0)</f>
        <v>0</v>
      </c>
      <c r="H70" s="681">
        <f>IF(Summary!H32&gt;0,Summary!H32/Summary!H$34,0)</f>
        <v>0</v>
      </c>
      <c r="I70" s="681">
        <f>IF(Summary!I32&gt;0,Summary!I32/Summary!I$34,0)</f>
        <v>0</v>
      </c>
      <c r="J70" s="681">
        <f>IF(Summary!J32&gt;0,Summary!J32/Summary!J$34,0)</f>
        <v>0</v>
      </c>
      <c r="K70" s="681">
        <f>IF(Summary!K32&gt;0,Summary!K32/Summary!K$34,0)</f>
        <v>0</v>
      </c>
      <c r="L70" s="681">
        <f>IF(Summary!L32&gt;0,Summary!L32/Summary!L$34,0)</f>
        <v>0</v>
      </c>
    </row>
    <row r="71" spans="1:12" ht="13.8">
      <c r="A71" s="356">
        <f>ROW()</f>
        <v>71</v>
      </c>
      <c r="B71" s="35" t="str">
        <f>+Summary!B33</f>
        <v>Private fundraising (individuals)</v>
      </c>
      <c r="C71" s="442">
        <f>IFERROR(Summary!C33/Summary!C$34,)</f>
        <v>0</v>
      </c>
      <c r="D71" s="442"/>
      <c r="E71" s="442"/>
      <c r="F71" s="681">
        <f>IF(Summary!F33&gt;0,Summary!F33/Summary!F$34,0)</f>
        <v>0</v>
      </c>
      <c r="G71" s="681">
        <f>IF(Summary!G33&gt;0,Summary!G33/Summary!G$34,0)</f>
        <v>0</v>
      </c>
      <c r="H71" s="681">
        <f>IF(Summary!H33&gt;0,Summary!H33/Summary!H$34,0)</f>
        <v>0</v>
      </c>
      <c r="I71" s="681">
        <f>IF(Summary!I33&gt;0,Summary!I33/Summary!I$34,0)</f>
        <v>0</v>
      </c>
      <c r="J71" s="681">
        <f>IF(Summary!J33&gt;0,Summary!J33/Summary!J$34,0)</f>
        <v>0</v>
      </c>
      <c r="K71" s="681">
        <f>IF(Summary!K33&gt;0,Summary!K33/Summary!K$34,0)</f>
        <v>0</v>
      </c>
      <c r="L71" s="681">
        <f>IF(Summary!L33&gt;0,Summary!L33/Summary!L$34,0)</f>
        <v>0</v>
      </c>
    </row>
    <row r="72" spans="1:12" ht="13.8">
      <c r="A72" s="356">
        <f>ROW()</f>
        <v>72</v>
      </c>
      <c r="B72" s="906" t="s">
        <v>196</v>
      </c>
      <c r="C72" s="718">
        <f>IFERROR(Summary!C34/Summary!C$34,0)</f>
        <v>1</v>
      </c>
      <c r="D72" s="718"/>
      <c r="E72" s="718"/>
      <c r="F72" s="1343">
        <f>IF(Summary!F34&gt;0,Summary!F34/Summary!F$34,0)</f>
        <v>1</v>
      </c>
      <c r="G72" s="1343">
        <f>IF(Summary!G34&gt;0,Summary!G34/Summary!G$34,0)</f>
        <v>1</v>
      </c>
      <c r="H72" s="1343">
        <f>IF(Summary!H34&gt;0,Summary!H34/Summary!H$34,0)</f>
        <v>1</v>
      </c>
      <c r="I72" s="1343">
        <f>IF(Summary!I34&gt;0,Summary!I34/Summary!I$34,0)</f>
        <v>1</v>
      </c>
      <c r="J72" s="1343">
        <f>IF(Summary!J34&gt;0,Summary!J34/Summary!J$34,0)</f>
        <v>1</v>
      </c>
      <c r="K72" s="1343">
        <f>IF(Summary!K34&gt;0,Summary!K34/Summary!K$34,0)</f>
        <v>1</v>
      </c>
      <c r="L72" s="1343">
        <f>IF(Summary!L34&gt;0,Summary!L34/Summary!L$34,0)</f>
        <v>1</v>
      </c>
    </row>
    <row r="73" spans="1:12" ht="13.8">
      <c r="A73" s="356">
        <f>ROW()</f>
        <v>73</v>
      </c>
      <c r="B73" s="35"/>
      <c r="C73" s="60"/>
      <c r="D73" s="60"/>
      <c r="E73" s="60"/>
      <c r="F73" s="538"/>
      <c r="G73" s="538"/>
      <c r="H73" s="538"/>
      <c r="I73" s="538"/>
      <c r="J73" s="538"/>
      <c r="K73" s="538"/>
      <c r="L73" s="538"/>
    </row>
    <row r="74" spans="1:12" ht="13.8">
      <c r="A74" s="356">
        <f>ROW()</f>
        <v>74</v>
      </c>
      <c r="B74" s="1028" t="s">
        <v>145</v>
      </c>
      <c r="C74" s="1029"/>
      <c r="D74" s="1029"/>
      <c r="E74" s="1029"/>
      <c r="F74" s="1030"/>
      <c r="G74" s="1030"/>
      <c r="H74" s="1030"/>
      <c r="I74" s="1030"/>
      <c r="J74" s="1030"/>
      <c r="K74" s="1030"/>
      <c r="L74" s="1030"/>
    </row>
    <row r="75" spans="1:12" ht="13.8">
      <c r="A75" s="356">
        <f>ROW()</f>
        <v>75</v>
      </c>
      <c r="B75" s="33" t="s">
        <v>146</v>
      </c>
      <c r="C75" s="443">
        <f>IFERROR(Summary!C42/Summary!C$34,0)</f>
        <v>0.41268338323124837</v>
      </c>
      <c r="D75" s="443"/>
      <c r="E75" s="443"/>
      <c r="F75" s="699">
        <f>IFERROR(Summary!F42/Summary!F$34,0)</f>
        <v>0.5374987</v>
      </c>
      <c r="G75" s="699">
        <f>IFERROR(Summary!G42/Summary!G$34,0)</f>
        <v>0.45092879214978998</v>
      </c>
      <c r="H75" s="699">
        <f>IFERROR(Summary!H42/Summary!H$34,0)</f>
        <v>0.42270473169084299</v>
      </c>
      <c r="I75" s="699">
        <f>IFERROR(Summary!I42/Summary!I$34,0)</f>
        <v>0.42759994101017257</v>
      </c>
      <c r="J75" s="699">
        <f>IFERROR(Summary!J42/Summary!J$34,0)</f>
        <v>0.40530177915681176</v>
      </c>
      <c r="K75" s="699">
        <f>IFERROR(Summary!K42/Summary!K$34,0)</f>
        <v>0.39842000396903321</v>
      </c>
      <c r="L75" s="699">
        <f>IFERROR(Summary!L42/Summary!L$34,0)</f>
        <v>0.39307849856245597</v>
      </c>
    </row>
    <row r="76" spans="1:12" ht="13.8">
      <c r="A76" s="356">
        <f>ROW()</f>
        <v>76</v>
      </c>
      <c r="B76" s="33" t="s">
        <v>105</v>
      </c>
      <c r="C76" s="443">
        <f>IFERROR(Summary!C43/Summary!C$34,0)</f>
        <v>0.2019487724332204</v>
      </c>
      <c r="D76" s="443"/>
      <c r="E76" s="443"/>
      <c r="F76" s="699">
        <f>IFERROR(Summary!F43/Summary!F$34,0)</f>
        <v>1.9199999999999998E-2</v>
      </c>
      <c r="G76" s="699">
        <f>IFERROR(Summary!G43/Summary!G$34,0)</f>
        <v>0.14050938031291701</v>
      </c>
      <c r="H76" s="699">
        <f>IFERROR(Summary!H43/Summary!H$34,0)</f>
        <v>0.20428955289069597</v>
      </c>
      <c r="I76" s="699">
        <f>IFERROR(Summary!I43/Summary!I$34,0)</f>
        <v>0.22384844310481072</v>
      </c>
      <c r="J76" s="699">
        <f>IFERROR(Summary!J43/Summary!J$34,0)</f>
        <v>0.2112793982953195</v>
      </c>
      <c r="K76" s="699">
        <f>IFERROR(Summary!K43/Summary!K$34,0)</f>
        <v>0.20576505569888034</v>
      </c>
      <c r="L76" s="699">
        <f>IFERROR(Summary!L43/Summary!L$34,0)</f>
        <v>0.20426498587485767</v>
      </c>
    </row>
    <row r="77" spans="1:12" ht="13.8">
      <c r="A77" s="356">
        <f>ROW()</f>
        <v>77</v>
      </c>
      <c r="B77" s="33" t="s">
        <v>147</v>
      </c>
      <c r="C77" s="443">
        <f>IFERROR(Summary!C44/Summary!C$34,0)</f>
        <v>0.19175635107172084</v>
      </c>
      <c r="D77" s="443"/>
      <c r="E77" s="443"/>
      <c r="F77" s="699">
        <f>IFERROR(Summary!F44/Summary!F$34,0)</f>
        <v>0</v>
      </c>
      <c r="G77" s="699">
        <f>IFERROR(Summary!G44/Summary!G$34,0)</f>
        <v>0.24172756612289126</v>
      </c>
      <c r="H77" s="699">
        <f>IFERROR(Summary!H44/Summary!H$34,0)</f>
        <v>0.19096937649330784</v>
      </c>
      <c r="I77" s="699">
        <f>IFERROR(Summary!I44/Summary!I$34,0)</f>
        <v>0.18819982488849091</v>
      </c>
      <c r="J77" s="699">
        <f>IFERROR(Summary!J44/Summary!J$34,0)</f>
        <v>0.18474064302504026</v>
      </c>
      <c r="K77" s="699">
        <f>IFERROR(Summary!K44/Summary!K$34,0)</f>
        <v>0.18341592697968731</v>
      </c>
      <c r="L77" s="699">
        <f>IFERROR(Summary!L44/Summary!L$34,0)</f>
        <v>0.18710847322717841</v>
      </c>
    </row>
    <row r="78" spans="1:12" ht="13.8">
      <c r="A78" s="356">
        <f>ROW()</f>
        <v>78</v>
      </c>
      <c r="B78" s="33" t="s">
        <v>1240</v>
      </c>
      <c r="C78" s="443">
        <f>IFERROR(Summary!C45/Summary!C$34,0)</f>
        <v>0</v>
      </c>
      <c r="D78" s="443"/>
      <c r="E78" s="443"/>
      <c r="F78" s="699">
        <f>IFERROR(Summary!F45/Summary!F$34,0)</f>
        <v>0</v>
      </c>
      <c r="G78" s="699">
        <f>IFERROR(Summary!G45/Summary!G$34,0)</f>
        <v>0</v>
      </c>
      <c r="H78" s="699">
        <f>IFERROR(Summary!H45/Summary!H$34,0)</f>
        <v>0</v>
      </c>
      <c r="I78" s="699">
        <f>IFERROR(Summary!I45/Summary!I$34,0)</f>
        <v>0</v>
      </c>
      <c r="J78" s="699">
        <f>IFERROR(Summary!J45/Summary!J$34,0)</f>
        <v>0</v>
      </c>
      <c r="K78" s="699">
        <f>IFERROR(Summary!K45/Summary!K$34,0)</f>
        <v>0</v>
      </c>
      <c r="L78" s="699">
        <f>IFERROR(Summary!L45/Summary!L$34,0)</f>
        <v>0</v>
      </c>
    </row>
    <row r="79" spans="1:12" ht="13.8">
      <c r="A79" s="356">
        <f>ROW()</f>
        <v>79</v>
      </c>
      <c r="B79" s="35" t="s">
        <v>110</v>
      </c>
      <c r="C79" s="443">
        <f>IFERROR(Summary!C46/Summary!C$34,0)</f>
        <v>4.0347392482038549E-3</v>
      </c>
      <c r="D79" s="442"/>
      <c r="E79" s="442"/>
      <c r="F79" s="681">
        <f>IFERROR(Summary!F46/Summary!F$34,0)</f>
        <v>0.43333333333333335</v>
      </c>
      <c r="G79" s="681">
        <f>IFERROR(Summary!G46/Summary!G$34,0)</f>
        <v>4.7585197322441855E-3</v>
      </c>
      <c r="H79" s="681">
        <f>IFERROR(Summary!H46/Summary!H$34,0)</f>
        <v>3.4739989914292758E-3</v>
      </c>
      <c r="I79" s="681">
        <f>IFERROR(Summary!I46/Summary!I$34,0)</f>
        <v>3.0054285991019817E-3</v>
      </c>
      <c r="J79" s="681">
        <f>IFERROR(Summary!J46/Summary!J$34,0)</f>
        <v>2.6204778633410549E-3</v>
      </c>
      <c r="K79" s="681">
        <f>IFERROR(Summary!K46/Summary!K$34,0)</f>
        <v>1.9955432778406583E-3</v>
      </c>
      <c r="L79" s="681">
        <f>IFERROR(Summary!L46/Summary!L$34,0)</f>
        <v>1.9365162966621314E-3</v>
      </c>
    </row>
    <row r="80" spans="1:12" ht="13.8">
      <c r="A80" s="356">
        <f>ROW()</f>
        <v>80</v>
      </c>
      <c r="B80" s="35" t="s">
        <v>107</v>
      </c>
      <c r="C80" s="443">
        <f>IFERROR(Summary!C47/Summary!C$34,0)</f>
        <v>3.1111978380441767E-2</v>
      </c>
      <c r="D80" s="442"/>
      <c r="E80" s="442"/>
      <c r="F80" s="681">
        <f>IFERROR(Summary!F47/Summary!F$34,0)</f>
        <v>0</v>
      </c>
      <c r="G80" s="681">
        <f>IFERROR(Summary!G47/Summary!G$34,0)</f>
        <v>7.3709215063458289E-2</v>
      </c>
      <c r="H80" s="681">
        <f>IFERROR(Summary!H47/Summary!H$34,0)</f>
        <v>2.911720543165415E-2</v>
      </c>
      <c r="I80" s="681">
        <f>IFERROR(Summary!I47/Summary!I$34,0)</f>
        <v>2.5943659977402934E-2</v>
      </c>
      <c r="J80" s="681">
        <f>IFERROR(Summary!J47/Summary!J$34,0)</f>
        <v>2.3277878566629866E-2</v>
      </c>
      <c r="K80" s="681">
        <f>IFERROR(Summary!K47/Summary!K$34,0)</f>
        <v>1.7048590459446778E-2</v>
      </c>
      <c r="L80" s="681">
        <f>IFERROR(Summary!L47/Summary!L$34,0)</f>
        <v>3.6331466370752408E-2</v>
      </c>
    </row>
    <row r="81" spans="1:12" ht="13.8">
      <c r="A81" s="356">
        <f>ROW()</f>
        <v>81</v>
      </c>
      <c r="B81" s="35" t="s">
        <v>139</v>
      </c>
      <c r="C81" s="443">
        <f>IFERROR(Summary!C48/Summary!C$34,0)</f>
        <v>0</v>
      </c>
      <c r="D81" s="442"/>
      <c r="E81" s="442"/>
      <c r="F81" s="681">
        <f>IFERROR(Summary!F48/Summary!F$34,0)</f>
        <v>0</v>
      </c>
      <c r="G81" s="681">
        <f>IFERROR(Summary!G48/Summary!G$34,0)</f>
        <v>0</v>
      </c>
      <c r="H81" s="681">
        <f>IFERROR(Summary!H48/Summary!H$34,0)</f>
        <v>0</v>
      </c>
      <c r="I81" s="681">
        <f>IFERROR(Summary!I48/Summary!I$34,0)</f>
        <v>0</v>
      </c>
      <c r="J81" s="681">
        <f>IFERROR(Summary!J48/Summary!J$34,0)</f>
        <v>0</v>
      </c>
      <c r="K81" s="681">
        <f>IFERROR(Summary!K48/Summary!K$34,0)</f>
        <v>0</v>
      </c>
      <c r="L81" s="681">
        <f>IFERROR(Summary!L48/Summary!L$34,0)</f>
        <v>0</v>
      </c>
    </row>
    <row r="82" spans="1:12" ht="13.8">
      <c r="A82" s="356">
        <f>ROW()</f>
        <v>82</v>
      </c>
      <c r="B82" s="35" t="s">
        <v>149</v>
      </c>
      <c r="C82" s="443">
        <f>IFERROR(Summary!C49/Summary!C$34,0)</f>
        <v>6.8768890480716055E-3</v>
      </c>
      <c r="D82" s="442"/>
      <c r="E82" s="442"/>
      <c r="F82" s="681">
        <f>IFERROR(Summary!F49/Summary!F$34,0)</f>
        <v>0</v>
      </c>
      <c r="G82" s="681">
        <f>IFERROR(Summary!G49/Summary!G$34,0)</f>
        <v>1.0542952716502345E-2</v>
      </c>
      <c r="H82" s="681">
        <f>IFERROR(Summary!H49/Summary!H$34,0)</f>
        <v>7.8509144330632195E-3</v>
      </c>
      <c r="I82" s="681">
        <f>IFERROR(Summary!I49/Summary!I$34,0)</f>
        <v>6.9278287302131768E-3</v>
      </c>
      <c r="J82" s="681">
        <f>IFERROR(Summary!J49/Summary!J$34,0)</f>
        <v>6.1612863704849233E-3</v>
      </c>
      <c r="K82" s="681">
        <f>IFERROR(Summary!K49/Summary!K$34,0)</f>
        <v>5.9822179987204559E-3</v>
      </c>
      <c r="L82" s="681">
        <f>IFERROR(Summary!L49/Summary!L$34,0)</f>
        <v>5.9213729057222483E-3</v>
      </c>
    </row>
    <row r="83" spans="1:12" ht="13.8">
      <c r="A83" s="356">
        <f>ROW()</f>
        <v>83</v>
      </c>
      <c r="B83" s="35" t="s">
        <v>197</v>
      </c>
      <c r="C83" s="443">
        <f>IFERROR(Summary!#REF!/Summary!C$34,0)</f>
        <v>0</v>
      </c>
      <c r="D83" s="442"/>
      <c r="E83" s="442"/>
      <c r="F83" s="681">
        <f>IFERROR(Summary!#REF!/Summary!F$34,0)</f>
        <v>0</v>
      </c>
      <c r="G83" s="681">
        <f>IFERROR(Summary!#REF!/Summary!G$34,0)</f>
        <v>0</v>
      </c>
      <c r="H83" s="681">
        <f>IFERROR(Summary!#REF!/Summary!H$34,0)</f>
        <v>0</v>
      </c>
      <c r="I83" s="681">
        <f>IFERROR(Summary!#REF!/Summary!I$34,0)</f>
        <v>0</v>
      </c>
      <c r="J83" s="681">
        <f>IFERROR(Summary!#REF!/Summary!J$34,0)</f>
        <v>0</v>
      </c>
      <c r="K83" s="681">
        <f>IFERROR(Summary!#REF!/Summary!K$34,0)</f>
        <v>0</v>
      </c>
      <c r="L83" s="681">
        <f>IFERROR(Summary!#REF!/Summary!L$34,0)</f>
        <v>0</v>
      </c>
    </row>
    <row r="84" spans="1:12" ht="14.4" thickBot="1">
      <c r="A84" s="356">
        <f>ROW()</f>
        <v>84</v>
      </c>
      <c r="B84" s="1619" t="s">
        <v>150</v>
      </c>
      <c r="C84" s="718">
        <f>IFERROR(Summary!C50/Summary!C$34,0)</f>
        <v>0.8484121134129069</v>
      </c>
      <c r="D84" s="718"/>
      <c r="E84" s="718"/>
      <c r="F84" s="1343">
        <f>IFERROR(Summary!F50/Summary!F$34,0)</f>
        <v>0.99003203333333334</v>
      </c>
      <c r="G84" s="1343">
        <f>IFERROR(Summary!G50/Summary!G$34,0)</f>
        <v>0.92217642609780315</v>
      </c>
      <c r="H84" s="1343">
        <f>IFERROR(Summary!H50/Summary!H$34,0)</f>
        <v>0.85840577993099343</v>
      </c>
      <c r="I84" s="1343">
        <f>IFERROR(Summary!I50/Summary!I$34,0)</f>
        <v>0.8755251263101923</v>
      </c>
      <c r="J84" s="1343">
        <f>IFERROR(Summary!J50/Summary!J$34,0)</f>
        <v>0.83338146327762741</v>
      </c>
      <c r="K84" s="1343">
        <f>IFERROR(Summary!K50/Summary!K$34,0)</f>
        <v>0.81262733838360868</v>
      </c>
      <c r="L84" s="1343">
        <f>IFERROR(Summary!L50/Summary!L$34,0)</f>
        <v>0.8286413132376288</v>
      </c>
    </row>
    <row r="85" spans="1:12" ht="14.4" thickBot="1">
      <c r="A85" s="356">
        <f>ROW()</f>
        <v>85</v>
      </c>
      <c r="B85" s="445" t="s">
        <v>198</v>
      </c>
      <c r="C85" s="446">
        <f>IFERROR(Summary!C53/Summary!C$34,0)</f>
        <v>0.15158788658709305</v>
      </c>
      <c r="D85" s="446"/>
      <c r="E85" s="446"/>
      <c r="F85" s="682">
        <f>IFERROR(Summary!F53/Summary!F$34,0)</f>
        <v>9.9679666666667131E-3</v>
      </c>
      <c r="G85" s="682">
        <f>IFERROR(Summary!G53/Summary!G$34,0)</f>
        <v>7.7823573902196866E-2</v>
      </c>
      <c r="H85" s="682">
        <f>IFERROR(Summary!H53/Summary!H$34,0)</f>
        <v>0.14159422006900654</v>
      </c>
      <c r="I85" s="682">
        <f>IFERROR(Summary!I53/Summary!I$34,0)</f>
        <v>0.12447487368980766</v>
      </c>
      <c r="J85" s="682">
        <f>IFERROR(Summary!J53/Summary!J$34,0)</f>
        <v>0.16661853672237253</v>
      </c>
      <c r="K85" s="682">
        <f>IFERROR(Summary!K53/Summary!K$34,0)</f>
        <v>0.18737266161639127</v>
      </c>
      <c r="L85" s="682">
        <f>IFERROR(Summary!L53/Summary!L$34,0)</f>
        <v>0.17135868676237118</v>
      </c>
    </row>
    <row r="86" spans="1:12" ht="14.4">
      <c r="A86" s="356">
        <f>ROW()</f>
        <v>86</v>
      </c>
      <c r="B86" s="192" t="s">
        <v>153</v>
      </c>
      <c r="C86" s="746"/>
      <c r="D86" s="746"/>
      <c r="E86" s="746"/>
      <c r="F86" s="142">
        <f>+Summary!F54</f>
        <v>0</v>
      </c>
      <c r="G86" s="142">
        <f>+Summary!G54</f>
        <v>757.15630888297676</v>
      </c>
      <c r="H86" s="142">
        <f>+Summary!H54</f>
        <v>1572.464466822026</v>
      </c>
      <c r="I86" s="142">
        <f>+Summary!I54</f>
        <v>1369.5991968640838</v>
      </c>
      <c r="J86" s="142">
        <f>+Summary!J54</f>
        <v>1839.7935288030162</v>
      </c>
      <c r="K86" s="142">
        <f>+Summary!K54</f>
        <v>2107.6445348738671</v>
      </c>
      <c r="L86" s="142">
        <f>+Summary!L54</f>
        <v>1927.8457552495906</v>
      </c>
    </row>
    <row r="87" spans="1:12" ht="13.8">
      <c r="A87" s="356">
        <f>ROW()</f>
        <v>87</v>
      </c>
      <c r="B87" s="35"/>
      <c r="C87" s="57"/>
      <c r="D87" s="57"/>
      <c r="E87" s="57"/>
      <c r="F87" s="138"/>
      <c r="G87" s="138"/>
      <c r="H87" s="138"/>
      <c r="I87" s="138"/>
      <c r="J87" s="138"/>
      <c r="K87" s="138"/>
      <c r="L87" s="138"/>
    </row>
    <row r="88" spans="1:12" ht="13.8">
      <c r="A88" s="356">
        <f>ROW()</f>
        <v>88</v>
      </c>
      <c r="B88" s="35" t="s">
        <v>199</v>
      </c>
      <c r="C88" s="114">
        <f>+C16</f>
        <v>0</v>
      </c>
      <c r="D88" s="114"/>
      <c r="E88" s="114"/>
      <c r="F88" s="138">
        <f t="shared" ref="F88:L88" si="13">+F16</f>
        <v>1495.195000000007</v>
      </c>
      <c r="G88" s="138">
        <f t="shared" si="13"/>
        <v>410359.60179680743</v>
      </c>
      <c r="H88" s="138">
        <f t="shared" si="13"/>
        <v>1429316.5762974804</v>
      </c>
      <c r="I88" s="138">
        <f t="shared" si="13"/>
        <v>2464733.569126728</v>
      </c>
      <c r="J88" s="138">
        <f t="shared" si="13"/>
        <v>4054315.178012534</v>
      </c>
      <c r="K88" s="138">
        <f t="shared" si="13"/>
        <v>5932226.4585851496</v>
      </c>
      <c r="L88" s="138">
        <f t="shared" si="13"/>
        <v>7701988.8619042737</v>
      </c>
    </row>
    <row r="89" spans="1:12" ht="13.8">
      <c r="A89" s="356">
        <f>ROW()</f>
        <v>89</v>
      </c>
      <c r="B89" s="35"/>
      <c r="C89" s="35"/>
      <c r="D89" s="35"/>
      <c r="E89" s="35"/>
      <c r="F89" s="533"/>
      <c r="G89" s="533"/>
      <c r="H89" s="533"/>
      <c r="I89" s="533"/>
      <c r="J89" s="533"/>
      <c r="K89" s="533"/>
      <c r="L89" s="533"/>
    </row>
    <row r="90" spans="1:12" ht="17.399999999999999">
      <c r="A90" s="356">
        <f>ROW()</f>
        <v>90</v>
      </c>
      <c r="B90" s="1023" t="s">
        <v>200</v>
      </c>
      <c r="C90" s="1024"/>
      <c r="D90" s="1024"/>
      <c r="E90" s="1024"/>
      <c r="F90" s="1031" t="str">
        <f>Summary!F6</f>
        <v>SY 0/Incu</v>
      </c>
      <c r="G90" s="1032">
        <f>Summary!G6</f>
        <v>1</v>
      </c>
      <c r="H90" s="1032">
        <f>Summary!H6</f>
        <v>2</v>
      </c>
      <c r="I90" s="1032">
        <f>Summary!I6</f>
        <v>3</v>
      </c>
      <c r="J90" s="1032">
        <f>Summary!J6</f>
        <v>4</v>
      </c>
      <c r="K90" s="1032">
        <f>Summary!K6</f>
        <v>5</v>
      </c>
      <c r="L90" s="1032">
        <f>Summary!L6</f>
        <v>6</v>
      </c>
    </row>
    <row r="91" spans="1:12" ht="13.8">
      <c r="A91" s="356">
        <f>ROW()</f>
        <v>91</v>
      </c>
      <c r="B91" s="1033" t="s">
        <v>1267</v>
      </c>
      <c r="C91" s="1034" t="s">
        <v>201</v>
      </c>
      <c r="D91" s="1035"/>
      <c r="E91" s="1035"/>
      <c r="F91" s="1036"/>
      <c r="G91" s="1036"/>
      <c r="H91" s="1036"/>
      <c r="I91" s="1036"/>
      <c r="J91" s="1036"/>
      <c r="K91" s="1036"/>
      <c r="L91" s="1036"/>
    </row>
    <row r="92" spans="1:12" ht="13.8">
      <c r="A92" s="356">
        <f>ROW()</f>
        <v>92</v>
      </c>
      <c r="B92" s="35" t="str">
        <f>+B52</f>
        <v>State &amp; Local Revenue w/o St SpEd</v>
      </c>
      <c r="C92" s="61">
        <f t="shared" ref="C92:C109" si="14">AVERAGE(G92:L92)</f>
        <v>8645.8959712964843</v>
      </c>
      <c r="D92" s="441"/>
      <c r="E92" s="442"/>
      <c r="F92" s="680"/>
      <c r="G92" s="680">
        <f>IFERROR(Summary!G14/G$19,0)</f>
        <v>7293</v>
      </c>
      <c r="H92" s="680">
        <f>IFERROR(Summary!H14/H$19,0)</f>
        <v>8805.2727582689986</v>
      </c>
      <c r="I92" s="680">
        <f>IFERROR(Summary!I14/I$19,0)</f>
        <v>8844.3131227909726</v>
      </c>
      <c r="J92" s="680">
        <f>IFERROR(Summary!J14/J$19,0)</f>
        <v>8873.5933961824503</v>
      </c>
      <c r="K92" s="680">
        <f>IFERROR(Summary!K14/K$19,0)</f>
        <v>9028.8675732584725</v>
      </c>
      <c r="L92" s="680">
        <f>IFERROR(Summary!L14/L$19,0)</f>
        <v>9030.3289772780117</v>
      </c>
    </row>
    <row r="93" spans="1:12" ht="13.8">
      <c r="A93" s="356">
        <f>ROW()</f>
        <v>93</v>
      </c>
      <c r="B93" s="35" t="str">
        <f>+B53</f>
        <v>CS Sponsorship Fee (Infl' Adj'd)</v>
      </c>
      <c r="C93" s="56">
        <f t="shared" si="14"/>
        <v>-101.35713512480129</v>
      </c>
      <c r="D93" s="56"/>
      <c r="E93" s="442"/>
      <c r="F93" s="107"/>
      <c r="G93" s="107">
        <f>IFERROR(Summary!G15/G$19,0)</f>
        <v>-91.162499999999994</v>
      </c>
      <c r="H93" s="107">
        <f>IFERROR(Summary!H15/H$19,0)</f>
        <v>-102.47538835562499</v>
      </c>
      <c r="I93" s="107">
        <f>IFERROR(Summary!I15/I$19,0)</f>
        <v>-102.7986137372143</v>
      </c>
      <c r="J93" s="107">
        <f>IFERROR(Summary!J15/J$19,0)</f>
        <v>-103.04103277340626</v>
      </c>
      <c r="K93" s="107">
        <f>IFERROR(Summary!K15/K$19,0)</f>
        <v>-104.32658826836364</v>
      </c>
      <c r="L93" s="107">
        <f>IFERROR(Summary!L15/L$19,0)</f>
        <v>-104.33868761419853</v>
      </c>
    </row>
    <row r="94" spans="1:12" ht="13.8">
      <c r="A94" s="356">
        <f>ROW()</f>
        <v>94</v>
      </c>
      <c r="B94" s="35" t="s">
        <v>134</v>
      </c>
      <c r="C94" s="56">
        <f t="shared" si="14"/>
        <v>416.10706487140311</v>
      </c>
      <c r="D94" s="56"/>
      <c r="E94" s="442"/>
      <c r="F94" s="107"/>
      <c r="G94" s="107">
        <f>IFERROR(Summary!G23/G$19,0)</f>
        <v>0</v>
      </c>
      <c r="H94" s="107">
        <f>IFERROR(Summary!H23/H$19,0)</f>
        <v>461.75</v>
      </c>
      <c r="I94" s="107">
        <f>IFERROR(Summary!I23/I$19,0)</f>
        <v>474.94285714285712</v>
      </c>
      <c r="J94" s="107">
        <f>IFERROR(Summary!J23/J$19,0)</f>
        <v>484.83749999999998</v>
      </c>
      <c r="K94" s="107">
        <f>IFERROR(Summary!K23/K$19,0)</f>
        <v>537.30909090909086</v>
      </c>
      <c r="L94" s="107">
        <f>IFERROR(Summary!L23/L$19,0)</f>
        <v>537.80294117647065</v>
      </c>
    </row>
    <row r="95" spans="1:12" ht="13.8">
      <c r="A95" s="356">
        <f>ROW()</f>
        <v>95</v>
      </c>
      <c r="B95" s="35" t="s">
        <v>127</v>
      </c>
      <c r="C95" s="56">
        <f t="shared" si="14"/>
        <v>630</v>
      </c>
      <c r="D95" s="56"/>
      <c r="E95" s="442"/>
      <c r="F95" s="107"/>
      <c r="G95" s="107">
        <f>IFERROR(Summary!G16/G$19,0)</f>
        <v>630</v>
      </c>
      <c r="H95" s="107">
        <f>IFERROR(Summary!H16/H$19,0)</f>
        <v>630.00000000000011</v>
      </c>
      <c r="I95" s="107">
        <f>IFERROR(Summary!I16/I$19,0)</f>
        <v>630</v>
      </c>
      <c r="J95" s="107">
        <f>IFERROR(Summary!J16/J$19,0)</f>
        <v>630</v>
      </c>
      <c r="K95" s="107">
        <f>IFERROR(Summary!K16/K$19,0)</f>
        <v>630</v>
      </c>
      <c r="L95" s="107">
        <f>IFERROR(Summary!L16/L$19,0)</f>
        <v>630</v>
      </c>
    </row>
    <row r="96" spans="1:12" ht="13.8">
      <c r="A96" s="356">
        <f>ROW()</f>
        <v>96</v>
      </c>
      <c r="B96" s="35" t="s">
        <v>128</v>
      </c>
      <c r="C96" s="56">
        <f t="shared" si="14"/>
        <v>70.5</v>
      </c>
      <c r="D96" s="56"/>
      <c r="E96" s="442"/>
      <c r="F96" s="107"/>
      <c r="G96" s="107">
        <f>IFERROR(Summary!G17/G$19,0)</f>
        <v>70.5</v>
      </c>
      <c r="H96" s="107">
        <f>IFERROR(Summary!H17/H$19,0)</f>
        <v>70.5</v>
      </c>
      <c r="I96" s="107">
        <f>IFERROR(Summary!I17/I$19,0)</f>
        <v>70.5</v>
      </c>
      <c r="J96" s="107">
        <f>IFERROR(Summary!J17/J$19,0)</f>
        <v>70.5</v>
      </c>
      <c r="K96" s="107">
        <f>IFERROR(Summary!K17/K$19,0)</f>
        <v>70.5</v>
      </c>
      <c r="L96" s="107">
        <f>IFERROR(Summary!L17/L$19,0)</f>
        <v>70.5</v>
      </c>
    </row>
    <row r="97" spans="1:12" ht="13.8">
      <c r="A97" s="356">
        <f>ROW()</f>
        <v>97</v>
      </c>
      <c r="B97" s="35" t="s">
        <v>129</v>
      </c>
      <c r="C97" s="56">
        <f t="shared" si="14"/>
        <v>15</v>
      </c>
      <c r="D97" s="56"/>
      <c r="E97" s="442"/>
      <c r="F97" s="107"/>
      <c r="G97" s="107">
        <f>IFERROR(Summary!G18/G$19,0)</f>
        <v>15</v>
      </c>
      <c r="H97" s="107">
        <f>IFERROR(Summary!H18/H$19,0)</f>
        <v>15</v>
      </c>
      <c r="I97" s="107">
        <f>IFERROR(Summary!I18/I$19,0)</f>
        <v>15</v>
      </c>
      <c r="J97" s="107">
        <f>IFERROR(Summary!J18/J$19,0)</f>
        <v>15</v>
      </c>
      <c r="K97" s="107">
        <f>IFERROR(Summary!K18/K$19,0)</f>
        <v>15</v>
      </c>
      <c r="L97" s="107">
        <f>IFERROR(Summary!L18/L$19,0)</f>
        <v>15</v>
      </c>
    </row>
    <row r="98" spans="1:12" ht="13.8">
      <c r="A98" s="356">
        <f>ROW()</f>
        <v>98</v>
      </c>
      <c r="B98" s="35" t="s">
        <v>131</v>
      </c>
      <c r="C98" s="56">
        <f t="shared" si="14"/>
        <v>356.40000000000009</v>
      </c>
      <c r="D98" s="56"/>
      <c r="E98" s="442"/>
      <c r="F98" s="107"/>
      <c r="G98" s="107">
        <f>IFERROR(Summary!G20/G$19,0)</f>
        <v>356.40000000000003</v>
      </c>
      <c r="H98" s="107">
        <f>IFERROR(Summary!H20/H$19,0)</f>
        <v>356.40000000000009</v>
      </c>
      <c r="I98" s="107">
        <f>IFERROR(Summary!I20/I$19,0)</f>
        <v>356.40000000000003</v>
      </c>
      <c r="J98" s="107">
        <f>IFERROR(Summary!J20/J$19,0)</f>
        <v>356.40000000000003</v>
      </c>
      <c r="K98" s="107">
        <f>IFERROR(Summary!K20/K$19,0)</f>
        <v>356.40000000000003</v>
      </c>
      <c r="L98" s="107">
        <f>IFERROR(Summary!L20/L$19,0)</f>
        <v>356.40000000000009</v>
      </c>
    </row>
    <row r="99" spans="1:12" ht="13.8">
      <c r="A99" s="356">
        <f>ROW()</f>
        <v>99</v>
      </c>
      <c r="B99" s="35" t="s">
        <v>132</v>
      </c>
      <c r="C99" s="56">
        <f t="shared" si="14"/>
        <v>555.66</v>
      </c>
      <c r="D99" s="56"/>
      <c r="E99" s="442"/>
      <c r="F99" s="107"/>
      <c r="G99" s="107">
        <f>IFERROR(Summary!G21/G$19,0)</f>
        <v>555.66000000000008</v>
      </c>
      <c r="H99" s="107">
        <f>IFERROR(Summary!H21/H$19,0)</f>
        <v>555.66000000000008</v>
      </c>
      <c r="I99" s="107">
        <f>IFERROR(Summary!I21/I$19,0)</f>
        <v>555.66000000000008</v>
      </c>
      <c r="J99" s="107">
        <f>IFERROR(Summary!J21/J$19,0)</f>
        <v>555.66000000000008</v>
      </c>
      <c r="K99" s="107">
        <f>IFERROR(Summary!K21/K$19,0)</f>
        <v>555.66</v>
      </c>
      <c r="L99" s="107">
        <f>IFERROR(Summary!L21/L$19,0)</f>
        <v>555.66</v>
      </c>
    </row>
    <row r="100" spans="1:12" ht="13.8">
      <c r="A100" s="356">
        <f>ROW()</f>
        <v>100</v>
      </c>
      <c r="B100" s="35" t="s">
        <v>133</v>
      </c>
      <c r="C100" s="56">
        <f t="shared" si="14"/>
        <v>159</v>
      </c>
      <c r="D100" s="56"/>
      <c r="E100" s="442"/>
      <c r="F100" s="107"/>
      <c r="G100" s="107">
        <f>IFERROR(Summary!G22/G$19,0)</f>
        <v>159</v>
      </c>
      <c r="H100" s="107">
        <f>IFERROR(Summary!H22/H$19,0)</f>
        <v>159</v>
      </c>
      <c r="I100" s="107">
        <f>IFERROR(Summary!I22/I$19,0)</f>
        <v>158.99999999999997</v>
      </c>
      <c r="J100" s="107">
        <f>IFERROR(Summary!J22/J$19,0)</f>
        <v>159</v>
      </c>
      <c r="K100" s="107">
        <f>IFERROR(Summary!K22/K$19,0)</f>
        <v>159</v>
      </c>
      <c r="L100" s="107">
        <f>IFERROR(Summary!L22/L$19,0)</f>
        <v>159</v>
      </c>
    </row>
    <row r="101" spans="1:12" ht="13.8">
      <c r="A101" s="356">
        <f>ROW()</f>
        <v>101</v>
      </c>
      <c r="B101" s="35" t="s">
        <v>139</v>
      </c>
      <c r="C101" s="56">
        <f t="shared" si="14"/>
        <v>0</v>
      </c>
      <c r="D101" s="56"/>
      <c r="E101" s="442"/>
      <c r="F101" s="107"/>
      <c r="G101" s="107">
        <f>IFERROR(Summary!G29/G$19,0)</f>
        <v>0</v>
      </c>
      <c r="H101" s="107">
        <f>IFERROR(Summary!H29/H$19,0)</f>
        <v>0</v>
      </c>
      <c r="I101" s="107">
        <f>IFERROR(Summary!I29/I$19,0)</f>
        <v>0</v>
      </c>
      <c r="J101" s="107">
        <f>IFERROR(Summary!J29/J$19,0)</f>
        <v>0</v>
      </c>
      <c r="K101" s="107">
        <f>IFERROR(Summary!K29/K$19,0)</f>
        <v>0</v>
      </c>
      <c r="L101" s="107">
        <f>IFERROR(Summary!L29/L$19,0)</f>
        <v>0</v>
      </c>
    </row>
    <row r="102" spans="1:12" ht="13.8">
      <c r="A102" s="356">
        <f>ROW()</f>
        <v>102</v>
      </c>
      <c r="B102" s="35" t="s">
        <v>194</v>
      </c>
      <c r="C102" s="56">
        <f t="shared" si="14"/>
        <v>149.1769547325103</v>
      </c>
      <c r="D102" s="56"/>
      <c r="E102" s="442"/>
      <c r="F102" s="107"/>
      <c r="G102" s="107">
        <f>IFERROR(Summary!G24/G$19,0)</f>
        <v>740.74074074074076</v>
      </c>
      <c r="H102" s="107">
        <f>IFERROR(Summary!H24/H$19,0)</f>
        <v>154.32098765432099</v>
      </c>
      <c r="I102" s="107">
        <f>IFERROR(Summary!I24/I$19,0)</f>
        <v>0</v>
      </c>
      <c r="J102" s="107">
        <f>IFERROR(Summary!J24/J$19,0)</f>
        <v>0</v>
      </c>
      <c r="K102" s="107">
        <f>IFERROR(Summary!K24/K$19,0)</f>
        <v>0</v>
      </c>
      <c r="L102" s="107">
        <f>IFERROR(Summary!L24/L$19,0)</f>
        <v>0</v>
      </c>
    </row>
    <row r="103" spans="1:12" ht="13.8">
      <c r="A103" s="356">
        <f>ROW()</f>
        <v>103</v>
      </c>
      <c r="B103" s="35" t="s">
        <v>195</v>
      </c>
      <c r="C103" s="56">
        <f t="shared" si="14"/>
        <v>0</v>
      </c>
      <c r="D103" s="56"/>
      <c r="E103" s="442"/>
      <c r="F103" s="107"/>
      <c r="G103" s="107">
        <f>IFERROR(Summary!G26/G$19,0)</f>
        <v>0</v>
      </c>
      <c r="H103" s="107">
        <f>IFERROR(Summary!H26/H$19,0)</f>
        <v>0</v>
      </c>
      <c r="I103" s="107">
        <f>IFERROR(Summary!I26/I$19,0)</f>
        <v>0</v>
      </c>
      <c r="J103" s="107">
        <f>IFERROR(Summary!J26/J$19,0)</f>
        <v>0</v>
      </c>
      <c r="K103" s="107">
        <f>IFERROR(Summary!K26/K$19,0)</f>
        <v>0</v>
      </c>
      <c r="L103" s="107">
        <f>IFERROR(Summary!L26/L$19,0)</f>
        <v>0</v>
      </c>
    </row>
    <row r="104" spans="1:12" ht="13.8">
      <c r="A104" s="356">
        <f>ROW()</f>
        <v>104</v>
      </c>
      <c r="B104" s="35" t="s">
        <v>137</v>
      </c>
      <c r="C104" s="56">
        <f t="shared" si="14"/>
        <v>0</v>
      </c>
      <c r="D104" s="56"/>
      <c r="E104" s="442"/>
      <c r="F104" s="107"/>
      <c r="G104" s="107">
        <f>IFERROR(Summary!G27/G$19,0)</f>
        <v>0</v>
      </c>
      <c r="H104" s="107">
        <f>IFERROR(Summary!H27/H$19,0)</f>
        <v>0</v>
      </c>
      <c r="I104" s="107">
        <f>IFERROR(Summary!I27/I$19,0)</f>
        <v>0</v>
      </c>
      <c r="J104" s="107">
        <f>IFERROR(Summary!J27/J$19,0)</f>
        <v>0</v>
      </c>
      <c r="K104" s="107">
        <f>IFERROR(Summary!K27/K$19,0)</f>
        <v>0</v>
      </c>
      <c r="L104" s="107">
        <f>IFERROR(Summary!L27/L$19,0)</f>
        <v>0</v>
      </c>
    </row>
    <row r="105" spans="1:12" ht="13.8">
      <c r="A105" s="356">
        <f>ROW()</f>
        <v>105</v>
      </c>
      <c r="B105" s="35" t="s">
        <v>140</v>
      </c>
      <c r="C105" s="56">
        <f t="shared" si="14"/>
        <v>0</v>
      </c>
      <c r="D105" s="56"/>
      <c r="E105" s="442"/>
      <c r="F105" s="107"/>
      <c r="G105" s="107">
        <f>IFERROR(Summary!G30/G$19,0)</f>
        <v>0</v>
      </c>
      <c r="H105" s="107">
        <f>IFERROR(Summary!H30/H$19,0)</f>
        <v>0</v>
      </c>
      <c r="I105" s="107">
        <f>IFERROR(Summary!I30/I$19,0)</f>
        <v>0</v>
      </c>
      <c r="J105" s="107">
        <f>IFERROR(Summary!J30/J$19,0)</f>
        <v>0</v>
      </c>
      <c r="K105" s="107">
        <f>IFERROR(Summary!K30/K$19,0)</f>
        <v>0</v>
      </c>
      <c r="L105" s="107">
        <f>IFERROR(Summary!L30/L$19,0)</f>
        <v>0</v>
      </c>
    </row>
    <row r="106" spans="1:12" ht="13.8">
      <c r="A106" s="356">
        <f>ROW()</f>
        <v>106</v>
      </c>
      <c r="B106" s="35" t="s">
        <v>141</v>
      </c>
      <c r="C106" s="56">
        <f t="shared" si="14"/>
        <v>0</v>
      </c>
      <c r="D106" s="56"/>
      <c r="E106" s="442"/>
      <c r="F106" s="107"/>
      <c r="G106" s="107">
        <f>IFERROR(Summary!G31/G$19,0)</f>
        <v>0</v>
      </c>
      <c r="H106" s="107">
        <f>IFERROR(Summary!H31/H$19,0)</f>
        <v>0</v>
      </c>
      <c r="I106" s="107">
        <f>IFERROR(Summary!I31/I$19,0)</f>
        <v>0</v>
      </c>
      <c r="J106" s="107">
        <f>IFERROR(Summary!J31/J$19,0)</f>
        <v>0</v>
      </c>
      <c r="K106" s="107">
        <f>IFERROR(Summary!K31/K$19,0)</f>
        <v>0</v>
      </c>
      <c r="L106" s="107">
        <f>IFERROR(Summary!L31/L$19,0)</f>
        <v>0</v>
      </c>
    </row>
    <row r="107" spans="1:12" ht="13.8">
      <c r="A107" s="356">
        <f>ROW()</f>
        <v>107</v>
      </c>
      <c r="B107" s="35" t="s">
        <v>142</v>
      </c>
      <c r="C107" s="56">
        <f t="shared" si="14"/>
        <v>0</v>
      </c>
      <c r="D107" s="56"/>
      <c r="E107" s="442"/>
      <c r="F107" s="107"/>
      <c r="G107" s="107">
        <f>IFERROR(Summary!G32/G$19,0)</f>
        <v>0</v>
      </c>
      <c r="H107" s="107">
        <f>IFERROR(Summary!H32/H$19,0)</f>
        <v>0</v>
      </c>
      <c r="I107" s="107">
        <f>IFERROR(Summary!I32/I$19,0)</f>
        <v>0</v>
      </c>
      <c r="J107" s="107">
        <f>IFERROR(Summary!J32/J$19,0)</f>
        <v>0</v>
      </c>
      <c r="K107" s="107">
        <f>IFERROR(Summary!K32/K$19,0)</f>
        <v>0</v>
      </c>
      <c r="L107" s="107">
        <f>IFERROR(Summary!L32/L$19,0)</f>
        <v>0</v>
      </c>
    </row>
    <row r="108" spans="1:12" ht="13.8">
      <c r="A108" s="356">
        <f>ROW()</f>
        <v>108</v>
      </c>
      <c r="B108" s="35" t="s">
        <v>143</v>
      </c>
      <c r="C108" s="56">
        <f t="shared" si="14"/>
        <v>0</v>
      </c>
      <c r="D108" s="56"/>
      <c r="E108" s="442"/>
      <c r="F108" s="107"/>
      <c r="G108" s="107">
        <f>IFERROR(Summary!#REF!/G$19,0)</f>
        <v>0</v>
      </c>
      <c r="H108" s="107">
        <f>IFERROR(Summary!#REF!/H$19,0)</f>
        <v>0</v>
      </c>
      <c r="I108" s="107">
        <f>IFERROR(Summary!#REF!/I$19,0)</f>
        <v>0</v>
      </c>
      <c r="J108" s="107">
        <f>IFERROR(Summary!#REF!/J$19,0)</f>
        <v>0</v>
      </c>
      <c r="K108" s="107">
        <f>IFERROR(Summary!#REF!/K$19,0)</f>
        <v>0</v>
      </c>
      <c r="L108" s="107">
        <f>IFERROR(Summary!#REF!/L$19,0)</f>
        <v>0</v>
      </c>
    </row>
    <row r="109" spans="1:12" ht="13.8">
      <c r="A109" s="356">
        <f>ROW()</f>
        <v>109</v>
      </c>
      <c r="B109" s="33" t="s">
        <v>1266</v>
      </c>
      <c r="C109" s="745">
        <f t="shared" si="14"/>
        <v>10896.382855775597</v>
      </c>
      <c r="D109" s="745"/>
      <c r="E109" s="745"/>
      <c r="F109" s="1334"/>
      <c r="G109" s="1334">
        <f t="shared" ref="G109:L109" si="15">SUM(G92:G108)</f>
        <v>9729.13824074074</v>
      </c>
      <c r="H109" s="1334">
        <f t="shared" si="15"/>
        <v>11105.428357567695</v>
      </c>
      <c r="I109" s="1334">
        <f t="shared" si="15"/>
        <v>11003.017366196616</v>
      </c>
      <c r="J109" s="1334">
        <f t="shared" si="15"/>
        <v>11041.949863409043</v>
      </c>
      <c r="K109" s="1334">
        <f t="shared" si="15"/>
        <v>11248.410075899199</v>
      </c>
      <c r="L109" s="1334">
        <f t="shared" si="15"/>
        <v>11250.353230840283</v>
      </c>
    </row>
    <row r="110" spans="1:12" ht="13.8">
      <c r="A110" s="356">
        <f>ROW()</f>
        <v>110</v>
      </c>
      <c r="B110" s="35"/>
      <c r="C110" s="60"/>
      <c r="D110" s="60"/>
      <c r="E110" s="60"/>
      <c r="F110" s="533"/>
      <c r="G110" s="533"/>
      <c r="H110" s="533"/>
      <c r="I110" s="533"/>
      <c r="J110" s="533"/>
      <c r="K110" s="533"/>
      <c r="L110" s="533"/>
    </row>
    <row r="111" spans="1:12" ht="13.8">
      <c r="A111" s="356">
        <f>ROW()</f>
        <v>111</v>
      </c>
      <c r="B111" s="1028" t="s">
        <v>1268</v>
      </c>
      <c r="C111" s="1029"/>
      <c r="D111" s="1029"/>
      <c r="E111" s="1029"/>
      <c r="F111" s="1030"/>
      <c r="G111" s="1030"/>
      <c r="H111" s="1030"/>
      <c r="I111" s="1030"/>
      <c r="J111" s="1030"/>
      <c r="K111" s="1030"/>
      <c r="L111" s="1030"/>
    </row>
    <row r="112" spans="1:12" ht="13.8">
      <c r="A112" s="356">
        <f>ROW()</f>
        <v>112</v>
      </c>
      <c r="B112" s="35" t="s">
        <v>146</v>
      </c>
      <c r="C112" s="257">
        <f t="shared" ref="C112:C121" si="16">AVERAGE(G112:L112)</f>
        <v>4527.5901191389521</v>
      </c>
      <c r="D112" s="61"/>
      <c r="E112" s="442"/>
      <c r="F112" s="107"/>
      <c r="G112" s="107">
        <f>IFERROR(Summary!G42/G$19,0)</f>
        <v>4387.1485555555555</v>
      </c>
      <c r="H112" s="107">
        <f>IFERROR(Summary!H42/H$19,0)</f>
        <v>4694.3171141975308</v>
      </c>
      <c r="I112" s="107">
        <f>IFERROR(Summary!I42/I$19,0)</f>
        <v>4704.8895767195763</v>
      </c>
      <c r="J112" s="107">
        <f>IFERROR(Summary!J42/J$19,0)</f>
        <v>4475.3219250000002</v>
      </c>
      <c r="K112" s="107">
        <f>IFERROR(Summary!K42/K$19,0)</f>
        <v>4481.5915870850731</v>
      </c>
      <c r="L112" s="107">
        <f>IFERROR(Summary!L42/L$19,0)</f>
        <v>4422.2719562759739</v>
      </c>
    </row>
    <row r="113" spans="1:12" ht="13.8">
      <c r="A113" s="356">
        <f>ROW()</f>
        <v>113</v>
      </c>
      <c r="B113" s="35" t="s">
        <v>105</v>
      </c>
      <c r="C113" s="56">
        <f t="shared" si="16"/>
        <v>2174.0476631024662</v>
      </c>
      <c r="D113" s="56"/>
      <c r="E113" s="442"/>
      <c r="F113" s="107"/>
      <c r="G113" s="107">
        <f>IFERROR(Summary!G43/G$19,0)</f>
        <v>1367.0351851851851</v>
      </c>
      <c r="H113" s="107">
        <f>IFERROR(Summary!H43/H$19,0)</f>
        <v>2268.7229938271603</v>
      </c>
      <c r="I113" s="107">
        <f>IFERROR(Summary!I43/I$19,0)</f>
        <v>2463.0083068783074</v>
      </c>
      <c r="J113" s="107">
        <f>IFERROR(Summary!J43/J$19,0)</f>
        <v>2332.9365231481479</v>
      </c>
      <c r="K113" s="107">
        <f>IFERROR(Summary!K43/K$19,0)</f>
        <v>2314.5297257912462</v>
      </c>
      <c r="L113" s="107">
        <f>IFERROR(Summary!L43/L$19,0)</f>
        <v>2298.0532437847496</v>
      </c>
    </row>
    <row r="114" spans="1:12" ht="13.8">
      <c r="A114" s="356">
        <f>ROW()</f>
        <v>114</v>
      </c>
      <c r="B114" s="35" t="s">
        <v>147</v>
      </c>
      <c r="C114" s="56">
        <f t="shared" si="16"/>
        <v>2125.2390789217607</v>
      </c>
      <c r="D114" s="56"/>
      <c r="E114" s="442"/>
      <c r="F114" s="107"/>
      <c r="G114" s="107">
        <f>IFERROR(Summary!G44/G$19,0)</f>
        <v>2351.8009074074075</v>
      </c>
      <c r="H114" s="107">
        <f>IFERROR(Summary!H44/H$19,0)</f>
        <v>2120.7967291358023</v>
      </c>
      <c r="I114" s="107">
        <f>IFERROR(Summary!I44/I$19,0)</f>
        <v>2070.7659415632274</v>
      </c>
      <c r="J114" s="107">
        <f>IFERROR(Summary!J44/J$19,0)</f>
        <v>2039.8969180164422</v>
      </c>
      <c r="K114" s="107">
        <f>IFERROR(Summary!K44/K$19,0)</f>
        <v>2063.1375611187068</v>
      </c>
      <c r="L114" s="107">
        <f>IFERROR(Summary!L44/L$19,0)</f>
        <v>2105.0364162889791</v>
      </c>
    </row>
    <row r="115" spans="1:12" ht="13.8">
      <c r="A115" s="356">
        <f>ROW()</f>
        <v>115</v>
      </c>
      <c r="B115" s="35" t="s">
        <v>1240</v>
      </c>
      <c r="C115" s="56">
        <f t="shared" si="16"/>
        <v>0</v>
      </c>
      <c r="D115" s="56"/>
      <c r="E115" s="442"/>
      <c r="F115" s="107"/>
      <c r="G115" s="107">
        <f>IFERROR(Summary!G45/G$19,0)</f>
        <v>0</v>
      </c>
      <c r="H115" s="107">
        <f>IFERROR(Summary!H45/H$19,0)</f>
        <v>0</v>
      </c>
      <c r="I115" s="107">
        <f>IFERROR(Summary!I45/I$19,0)</f>
        <v>0</v>
      </c>
      <c r="J115" s="107">
        <f>IFERROR(Summary!J45/J$19,0)</f>
        <v>0</v>
      </c>
      <c r="K115" s="107">
        <f>IFERROR(Summary!K45/K$19,0)</f>
        <v>0</v>
      </c>
      <c r="L115" s="107">
        <f>IFERROR(Summary!L45/L$19,0)</f>
        <v>0</v>
      </c>
    </row>
    <row r="116" spans="1:12" ht="13.8">
      <c r="A116" s="356">
        <f>ROW()</f>
        <v>116</v>
      </c>
      <c r="B116" s="35" t="s">
        <v>110</v>
      </c>
      <c r="C116" s="56">
        <f t="shared" si="16"/>
        <v>31.852282158654706</v>
      </c>
      <c r="D116" s="56"/>
      <c r="E116" s="442"/>
      <c r="F116" s="107"/>
      <c r="G116" s="107">
        <f>IFERROR(Summary!G46/G$19,0)</f>
        <v>46.296296296296298</v>
      </c>
      <c r="H116" s="107">
        <f>IFERROR(Summary!H46/H$19,0)</f>
        <v>38.580246913580247</v>
      </c>
      <c r="I116" s="107">
        <f>IFERROR(Summary!I46/I$19,0)</f>
        <v>33.06878306878307</v>
      </c>
      <c r="J116" s="107">
        <f>IFERROR(Summary!J46/J$19,0)</f>
        <v>28.935185185185187</v>
      </c>
      <c r="K116" s="107">
        <f>IFERROR(Summary!K46/K$19,0)</f>
        <v>22.446689113355781</v>
      </c>
      <c r="L116" s="107">
        <f>IFERROR(Summary!L46/L$19,0)</f>
        <v>21.786492374727668</v>
      </c>
    </row>
    <row r="117" spans="1:12" ht="13.8">
      <c r="A117" s="356">
        <f>ROW()</f>
        <v>117</v>
      </c>
      <c r="B117" s="35" t="s">
        <v>107</v>
      </c>
      <c r="C117" s="56">
        <f t="shared" si="16"/>
        <v>363.9148763275478</v>
      </c>
      <c r="D117" s="56"/>
      <c r="E117" s="442"/>
      <c r="F117" s="107"/>
      <c r="G117" s="107">
        <f>IFERROR(Summary!G47/G$19,0)</f>
        <v>717.12714296887555</v>
      </c>
      <c r="H117" s="107">
        <f>IFERROR(Summary!H47/H$19,0)</f>
        <v>323.35903889381609</v>
      </c>
      <c r="I117" s="107">
        <f>IFERROR(Summary!I47/I$19,0)</f>
        <v>285.4585412740646</v>
      </c>
      <c r="J117" s="107">
        <f>IFERROR(Summary!J47/J$19,0)</f>
        <v>257.03316805925095</v>
      </c>
      <c r="K117" s="107">
        <f>IFERROR(Summary!K47/K$19,0)</f>
        <v>191.76953670392012</v>
      </c>
      <c r="L117" s="107">
        <f>IFERROR(Summary!L47/L$19,0)</f>
        <v>408.74183006535947</v>
      </c>
    </row>
    <row r="118" spans="1:12" ht="13.8">
      <c r="A118" s="356">
        <f>ROW()</f>
        <v>118</v>
      </c>
      <c r="B118" s="35" t="s">
        <v>139</v>
      </c>
      <c r="C118" s="56">
        <f t="shared" si="16"/>
        <v>0</v>
      </c>
      <c r="D118" s="56"/>
      <c r="E118" s="442"/>
      <c r="F118" s="107"/>
      <c r="G118" s="107">
        <f>IFERROR(Summary!G48/G$19,0)</f>
        <v>0</v>
      </c>
      <c r="H118" s="107">
        <f>IFERROR(Summary!H48/H$19,0)</f>
        <v>0</v>
      </c>
      <c r="I118" s="107">
        <f>IFERROR(Summary!I48/I$19,0)</f>
        <v>0</v>
      </c>
      <c r="J118" s="107">
        <f>IFERROR(Summary!J48/J$19,0)</f>
        <v>0</v>
      </c>
      <c r="K118" s="107">
        <f>IFERROR(Summary!K48/K$19,0)</f>
        <v>0</v>
      </c>
      <c r="L118" s="107">
        <f>IFERROR(Summary!L48/L$19,0)</f>
        <v>0</v>
      </c>
    </row>
    <row r="119" spans="1:12" ht="13.8">
      <c r="A119" s="356">
        <f>ROW()</f>
        <v>119</v>
      </c>
      <c r="B119" s="35" t="s">
        <v>149</v>
      </c>
      <c r="C119" s="56">
        <f t="shared" si="16"/>
        <v>77.988204210288131</v>
      </c>
      <c r="D119" s="56"/>
      <c r="E119" s="442"/>
      <c r="F119" s="107"/>
      <c r="G119" s="107">
        <f>IFERROR(Summary!G49/G$19,0)</f>
        <v>102.57384444444445</v>
      </c>
      <c r="H119" s="107">
        <f>IFERROR(Summary!H49/H$19,0)</f>
        <v>87.187767777777779</v>
      </c>
      <c r="I119" s="107">
        <f>IFERROR(Summary!I49/I$19,0)</f>
        <v>76.227019828571429</v>
      </c>
      <c r="J119" s="107">
        <f>IFERROR(Summary!J49/J$19,0)</f>
        <v>68.032615196999998</v>
      </c>
      <c r="K119" s="107">
        <f>IFERROR(Summary!K49/K$19,0)</f>
        <v>67.290441213032736</v>
      </c>
      <c r="L119" s="107">
        <f>IFERROR(Summary!L49/L$19,0)</f>
        <v>66.617536800902414</v>
      </c>
    </row>
    <row r="120" spans="1:12" ht="13.8">
      <c r="A120" s="356">
        <f>ROW()</f>
        <v>120</v>
      </c>
      <c r="B120" s="35" t="s">
        <v>197</v>
      </c>
      <c r="C120" s="56">
        <f t="shared" si="16"/>
        <v>0</v>
      </c>
      <c r="D120" s="56"/>
      <c r="E120" s="442"/>
      <c r="F120" s="107"/>
      <c r="G120" s="107">
        <f>IFERROR(Summary!#REF!/G$19,0)</f>
        <v>0</v>
      </c>
      <c r="H120" s="107">
        <f>IFERROR(Summary!#REF!/H$19,0)</f>
        <v>0</v>
      </c>
      <c r="I120" s="107">
        <f>IFERROR(Summary!#REF!/I$19,0)</f>
        <v>0</v>
      </c>
      <c r="J120" s="107">
        <f>IFERROR(Summary!#REF!/J$19,0)</f>
        <v>0</v>
      </c>
      <c r="K120" s="107">
        <f>IFERROR(Summary!#REF!/K$19,0)</f>
        <v>0</v>
      </c>
      <c r="L120" s="107">
        <f>IFERROR(Summary!#REF!/L$19,0)</f>
        <v>0</v>
      </c>
    </row>
    <row r="121" spans="1:12" ht="13.8">
      <c r="A121" s="356">
        <f>ROW()</f>
        <v>121</v>
      </c>
      <c r="B121" s="33" t="s">
        <v>1269</v>
      </c>
      <c r="C121" s="745">
        <f t="shared" si="16"/>
        <v>9300.6322238596695</v>
      </c>
      <c r="D121" s="745"/>
      <c r="E121" s="745"/>
      <c r="F121" s="1334"/>
      <c r="G121" s="1334">
        <f t="shared" ref="G121:L121" si="17">SUM(G112:G120)</f>
        <v>8971.9819318577647</v>
      </c>
      <c r="H121" s="1334">
        <f t="shared" si="17"/>
        <v>9532.9638907456665</v>
      </c>
      <c r="I121" s="1334">
        <f t="shared" si="17"/>
        <v>9633.4181693325318</v>
      </c>
      <c r="J121" s="1334">
        <f t="shared" si="17"/>
        <v>9202.1563346060266</v>
      </c>
      <c r="K121" s="1334">
        <f t="shared" si="17"/>
        <v>9140.7655410253337</v>
      </c>
      <c r="L121" s="1334">
        <f t="shared" si="17"/>
        <v>9322.5074755906917</v>
      </c>
    </row>
    <row r="122" spans="1:12" ht="14.4" thickBot="1">
      <c r="A122" s="356">
        <f>ROW()</f>
        <v>122</v>
      </c>
      <c r="B122" s="33"/>
      <c r="C122" s="444"/>
      <c r="D122" s="444"/>
      <c r="E122" s="443"/>
      <c r="F122" s="670"/>
      <c r="G122" s="670"/>
      <c r="H122" s="670"/>
      <c r="I122" s="670"/>
      <c r="J122" s="670"/>
      <c r="K122" s="670"/>
      <c r="L122" s="670"/>
    </row>
    <row r="123" spans="1:12" ht="14.4" thickBot="1">
      <c r="A123" s="356">
        <f>ROW()</f>
        <v>123</v>
      </c>
      <c r="B123" s="445" t="s">
        <v>202</v>
      </c>
      <c r="C123" s="748">
        <f>C109-C121</f>
        <v>1595.7506319159274</v>
      </c>
      <c r="D123" s="460"/>
      <c r="E123" s="460"/>
      <c r="F123" s="684"/>
      <c r="G123" s="1502">
        <f t="shared" ref="G123:L123" si="18">G109-G121</f>
        <v>757.15630888297528</v>
      </c>
      <c r="H123" s="1502">
        <f t="shared" si="18"/>
        <v>1572.464466822028</v>
      </c>
      <c r="I123" s="1502">
        <f t="shared" si="18"/>
        <v>1369.5991968640847</v>
      </c>
      <c r="J123" s="1502">
        <f t="shared" si="18"/>
        <v>1839.7935288030167</v>
      </c>
      <c r="K123" s="1502">
        <f t="shared" si="18"/>
        <v>2107.6445348738653</v>
      </c>
      <c r="L123" s="1502">
        <f t="shared" si="18"/>
        <v>1927.8457552495911</v>
      </c>
    </row>
    <row r="124" spans="1:12" ht="14.4">
      <c r="A124" s="356">
        <f>ROW()</f>
        <v>124</v>
      </c>
      <c r="B124" s="192" t="s">
        <v>1270</v>
      </c>
      <c r="C124" s="447"/>
      <c r="D124" s="447"/>
      <c r="E124" s="447"/>
      <c r="F124" s="683"/>
      <c r="G124" s="142">
        <f t="shared" ref="G124:L124" si="19">G123/G19</f>
        <v>1.4021413127462505</v>
      </c>
      <c r="H124" s="142">
        <f t="shared" si="19"/>
        <v>2.4266426957130061</v>
      </c>
      <c r="I124" s="142">
        <f t="shared" si="19"/>
        <v>1.8116391492911172</v>
      </c>
      <c r="J124" s="142">
        <f t="shared" si="19"/>
        <v>2.1293906583368249</v>
      </c>
      <c r="K124" s="142">
        <f t="shared" si="19"/>
        <v>2.36548208178885</v>
      </c>
      <c r="L124" s="142">
        <f t="shared" si="19"/>
        <v>2.100049842319816</v>
      </c>
    </row>
    <row r="125" spans="1:12" ht="14.4">
      <c r="A125" s="356">
        <f>ROW()</f>
        <v>125</v>
      </c>
      <c r="B125" s="461" t="s">
        <v>1271</v>
      </c>
      <c r="C125" s="462"/>
      <c r="D125" s="462"/>
      <c r="E125" s="462"/>
      <c r="F125" s="685"/>
      <c r="G125" s="747">
        <f t="shared" ref="G125:L125" si="20">IFERROR(+G123/G109,0)</f>
        <v>7.7823573902196727E-2</v>
      </c>
      <c r="H125" s="747">
        <f t="shared" si="20"/>
        <v>0.14159422006900674</v>
      </c>
      <c r="I125" s="747">
        <f t="shared" si="20"/>
        <v>0.12447487368980772</v>
      </c>
      <c r="J125" s="747">
        <f t="shared" si="20"/>
        <v>0.16661853672237259</v>
      </c>
      <c r="K125" s="747">
        <f t="shared" si="20"/>
        <v>0.18737266161639116</v>
      </c>
      <c r="L125" s="747">
        <f t="shared" si="20"/>
        <v>0.17135868676237123</v>
      </c>
    </row>
  </sheetData>
  <sheetProtection algorithmName="SHA-512" hashValue="jF/VXUDyGusxQnZVzhDZ9oBmpWj2N0g84IHrVLX7BIwFJ1ukxzags34u7MG97Y3Wlz2Ri98QUgR/AS0ugz6A+A==" saltValue="7CvESaHsb1W205KgnGMjkw==" spinCount="100000" sheet="1" objects="1" scenarios="1"/>
  <conditionalFormatting sqref="L1">
    <cfRule type="expression" dxfId="651" priority="19" stopIfTrue="1">
      <formula>MOD(ROW(),2)=0</formula>
    </cfRule>
  </conditionalFormatting>
  <conditionalFormatting sqref="C1">
    <cfRule type="expression" dxfId="650" priority="18" stopIfTrue="1">
      <formula>MOD(ROW(),2)=0</formula>
    </cfRule>
  </conditionalFormatting>
  <conditionalFormatting sqref="F52:L67">
    <cfRule type="cellIs" dxfId="649" priority="9" stopIfTrue="1" operator="equal">
      <formula>0</formula>
    </cfRule>
  </conditionalFormatting>
  <conditionalFormatting sqref="C52:C67">
    <cfRule type="cellIs" dxfId="648" priority="10" stopIfTrue="1" operator="equal">
      <formula>0</formula>
    </cfRule>
  </conditionalFormatting>
  <conditionalFormatting sqref="F75:L83">
    <cfRule type="cellIs" dxfId="647" priority="11" stopIfTrue="1" operator="equal">
      <formula>0</formula>
    </cfRule>
  </conditionalFormatting>
  <conditionalFormatting sqref="C75:C83">
    <cfRule type="cellIs" dxfId="646" priority="12" stopIfTrue="1" operator="equal">
      <formula>0</formula>
    </cfRule>
  </conditionalFormatting>
  <conditionalFormatting sqref="G92:L108">
    <cfRule type="cellIs" dxfId="645" priority="13" stopIfTrue="1" operator="equal">
      <formula>0</formula>
    </cfRule>
  </conditionalFormatting>
  <conditionalFormatting sqref="C98:C109">
    <cfRule type="cellIs" dxfId="644" priority="14" stopIfTrue="1" operator="equal">
      <formula>0</formula>
    </cfRule>
  </conditionalFormatting>
  <conditionalFormatting sqref="C112:C120">
    <cfRule type="cellIs" dxfId="643" priority="15" stopIfTrue="1" operator="equal">
      <formula>0</formula>
    </cfRule>
  </conditionalFormatting>
  <conditionalFormatting sqref="G112:L120">
    <cfRule type="cellIs" dxfId="642" priority="16" stopIfTrue="1" operator="equal">
      <formula>0</formula>
    </cfRule>
  </conditionalFormatting>
  <conditionalFormatting sqref="C92:C97">
    <cfRule type="cellIs" dxfId="641" priority="17" stopIfTrue="1" operator="equal">
      <formula>0</formula>
    </cfRule>
  </conditionalFormatting>
  <conditionalFormatting sqref="F68:L68">
    <cfRule type="cellIs" dxfId="640" priority="7" stopIfTrue="1" operator="equal">
      <formula>0</formula>
    </cfRule>
  </conditionalFormatting>
  <conditionalFormatting sqref="C68">
    <cfRule type="cellIs" dxfId="639" priority="8" stopIfTrue="1" operator="equal">
      <formula>0</formula>
    </cfRule>
  </conditionalFormatting>
  <conditionalFormatting sqref="F69:L69">
    <cfRule type="cellIs" dxfId="638" priority="5" stopIfTrue="1" operator="equal">
      <formula>0</formula>
    </cfRule>
  </conditionalFormatting>
  <conditionalFormatting sqref="C69">
    <cfRule type="cellIs" dxfId="637" priority="6" stopIfTrue="1" operator="equal">
      <formula>0</formula>
    </cfRule>
  </conditionalFormatting>
  <conditionalFormatting sqref="F70:L70">
    <cfRule type="cellIs" dxfId="636" priority="3" stopIfTrue="1" operator="equal">
      <formula>0</formula>
    </cfRule>
  </conditionalFormatting>
  <conditionalFormatting sqref="C70">
    <cfRule type="cellIs" dxfId="635" priority="4" stopIfTrue="1" operator="equal">
      <formula>0</formula>
    </cfRule>
  </conditionalFormatting>
  <conditionalFormatting sqref="F71:L71">
    <cfRule type="cellIs" dxfId="634" priority="1" stopIfTrue="1" operator="equal">
      <formula>0</formula>
    </cfRule>
  </conditionalFormatting>
  <conditionalFormatting sqref="C71">
    <cfRule type="cellIs" dxfId="633" priority="2" stopIfTrue="1" operator="equal">
      <formula>0</formula>
    </cfRule>
  </conditionalFormatting>
  <hyperlinks>
    <hyperlink ref="C1" location="HypLink1" display="HypLink1" xr:uid="{D6F51B04-7C22-4E55-BE4A-DB65D4CC86A9}"/>
  </hyperlinks>
  <pageMargins left="0.25" right="0.25" top="0.5" bottom="0.44999999999999996" header="0.25" footer="0.25"/>
  <pageSetup scale="79" orientation="landscape" r:id="rId1"/>
  <headerFooter alignWithMargins="0">
    <oddHeader xml:space="preserve">&amp;L &amp;C &amp;R </oddHeader>
    <oddFooter>&amp;L&amp;7&amp;D  at &amp;T Mike 702.486.8879&amp;C&amp;7&amp;F  &amp;A&amp;R&amp;7Page &amp;P of &amp;N</oddFooter>
  </headerFooter>
  <rowBreaks count="2" manualBreakCount="2">
    <brk id="48" max="11" man="1"/>
    <brk id="89" max="1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E0E6-1535-4408-B35B-A573593C164E}">
  <sheetPr codeName="Sheet11">
    <tabColor rgb="FF92D050"/>
  </sheetPr>
  <dimension ref="A1:W84"/>
  <sheetViews>
    <sheetView workbookViewId="0">
      <selection activeCell="H27" sqref="H27"/>
    </sheetView>
  </sheetViews>
  <sheetFormatPr defaultColWidth="8.88671875" defaultRowHeight="13.8"/>
  <cols>
    <col min="1" max="1" width="6.6640625" style="35" bestFit="1" customWidth="1"/>
    <col min="2" max="2" width="21" style="35" customWidth="1"/>
    <col min="3" max="3" width="17.33203125" style="35" customWidth="1"/>
    <col min="4" max="4" width="11.44140625" style="35" customWidth="1"/>
    <col min="5" max="6" width="11" style="35" customWidth="1"/>
    <col min="7" max="7" width="11.5546875" style="35" customWidth="1"/>
    <col min="8" max="8" width="11.88671875" style="35" customWidth="1"/>
    <col min="9" max="9" width="9.6640625" style="35" customWidth="1"/>
    <col min="10" max="10" width="9.88671875" style="35" customWidth="1"/>
    <col min="11" max="11" width="1.88671875" style="35" customWidth="1"/>
    <col min="12" max="12" width="61.33203125" style="317" customWidth="1"/>
    <col min="13" max="14" width="4.5546875" style="35" customWidth="1"/>
    <col min="15" max="15" width="7.109375" style="35" customWidth="1"/>
    <col min="16" max="19" width="4.5546875" style="35" customWidth="1"/>
    <col min="20" max="16384" width="8.88671875" style="35"/>
  </cols>
  <sheetData>
    <row r="1" spans="1:23" ht="17.399999999999999">
      <c r="A1" s="130" t="s">
        <v>818</v>
      </c>
      <c r="B1" s="37"/>
      <c r="C1" s="37"/>
      <c r="D1" s="438" t="s">
        <v>2</v>
      </c>
      <c r="E1" s="179" t="s">
        <v>203</v>
      </c>
      <c r="F1" s="179"/>
      <c r="G1" s="179"/>
      <c r="H1" s="65"/>
      <c r="I1" s="65"/>
      <c r="L1" s="1621"/>
      <c r="M1" s="481"/>
      <c r="N1" s="481"/>
      <c r="O1" s="481"/>
      <c r="P1" s="481"/>
      <c r="Q1" s="33"/>
    </row>
    <row r="2" spans="1:23" ht="15.6">
      <c r="A2" s="121" t="str">
        <f>SchoolName</f>
        <v>Eagle Charter Schools of Nevada</v>
      </c>
      <c r="B2" s="40"/>
      <c r="C2" s="40"/>
      <c r="E2" s="35" t="s">
        <v>204</v>
      </c>
      <c r="F2" s="169" t="str">
        <f>+Facilities!G2</f>
        <v>2025 E. Sahara  Las Vegas, NV  89104</v>
      </c>
      <c r="G2" s="165"/>
      <c r="H2" s="165"/>
      <c r="I2" s="165"/>
      <c r="J2" s="165"/>
      <c r="K2" s="204"/>
      <c r="L2" s="1615" t="s">
        <v>95</v>
      </c>
      <c r="M2" s="481"/>
      <c r="N2" s="481"/>
      <c r="O2" s="481"/>
      <c r="P2" s="481"/>
      <c r="Q2" s="481"/>
      <c r="R2" s="481"/>
      <c r="S2" s="481"/>
      <c r="T2" s="481"/>
      <c r="U2" s="481"/>
      <c r="V2" s="481"/>
    </row>
    <row r="3" spans="1:23">
      <c r="A3" s="41" t="s">
        <v>72</v>
      </c>
      <c r="E3" s="35" t="s">
        <v>83</v>
      </c>
      <c r="F3" s="170" t="str">
        <f>+Facilities!G3</f>
        <v>N/A</v>
      </c>
      <c r="G3" s="166"/>
      <c r="H3" s="166"/>
      <c r="I3" s="166"/>
      <c r="J3" s="166"/>
      <c r="K3" s="204"/>
      <c r="L3" s="491"/>
      <c r="M3" s="481"/>
      <c r="N3" s="481"/>
      <c r="O3" s="481"/>
      <c r="P3" s="481"/>
      <c r="Q3" s="481"/>
      <c r="R3" s="481"/>
      <c r="S3" s="481"/>
      <c r="T3" s="481"/>
      <c r="U3" s="481"/>
      <c r="V3" s="481"/>
    </row>
    <row r="4" spans="1:23">
      <c r="A4" s="42" t="s">
        <v>73</v>
      </c>
      <c r="F4" s="82" t="s">
        <v>205</v>
      </c>
      <c r="L4" s="353"/>
      <c r="M4" s="481"/>
      <c r="N4" s="481"/>
      <c r="O4" s="481"/>
      <c r="P4" s="481"/>
      <c r="Q4" s="481"/>
      <c r="R4" s="481"/>
      <c r="S4" s="481"/>
      <c r="T4" s="481"/>
      <c r="U4" s="481"/>
      <c r="V4" s="481"/>
    </row>
    <row r="5" spans="1:23">
      <c r="A5" s="32" t="str">
        <f ca="1">CELL("filename")</f>
        <v>C:\Users\Nicho\Desktop\[Attachment 2.  Eagle NV RFA 12.16.22.xlsx]CF Y1 Mo</v>
      </c>
      <c r="L5" s="353"/>
      <c r="M5" s="481"/>
      <c r="N5" s="481"/>
      <c r="O5" s="481"/>
      <c r="P5" s="481"/>
      <c r="Q5" s="481"/>
      <c r="R5" s="481"/>
      <c r="S5" s="481"/>
      <c r="T5" s="481"/>
      <c r="U5" s="481"/>
      <c r="V5" s="481"/>
    </row>
    <row r="6" spans="1:23">
      <c r="A6" s="66"/>
      <c r="B6" s="101"/>
      <c r="C6" s="101"/>
      <c r="D6" s="101"/>
      <c r="E6" s="34"/>
      <c r="L6" s="353"/>
      <c r="M6" s="481"/>
      <c r="N6" s="481"/>
      <c r="O6" s="481"/>
      <c r="P6" s="481"/>
      <c r="Q6" s="481"/>
      <c r="R6" s="481"/>
      <c r="S6" s="481"/>
      <c r="T6" s="481"/>
      <c r="U6" s="481"/>
      <c r="V6" s="481"/>
    </row>
    <row r="7" spans="1:23">
      <c r="A7" s="356"/>
      <c r="D7" s="926" t="s">
        <v>206</v>
      </c>
      <c r="E7" s="927">
        <v>1</v>
      </c>
      <c r="F7" s="927">
        <v>2</v>
      </c>
      <c r="G7" s="927">
        <v>3</v>
      </c>
      <c r="H7" s="927">
        <v>4</v>
      </c>
      <c r="I7" s="927">
        <v>5</v>
      </c>
      <c r="J7" s="928">
        <v>6</v>
      </c>
      <c r="K7" s="34"/>
      <c r="L7" s="353" t="s">
        <v>207</v>
      </c>
      <c r="M7" s="481"/>
      <c r="N7" s="481"/>
      <c r="O7" s="481"/>
      <c r="P7" s="481"/>
      <c r="Q7" s="481"/>
      <c r="R7" s="481"/>
      <c r="S7" s="481"/>
      <c r="T7" s="481"/>
      <c r="U7" s="481"/>
      <c r="V7" s="481"/>
    </row>
    <row r="8" spans="1:23" ht="15.6">
      <c r="A8" s="356"/>
      <c r="D8" s="926">
        <f>' Enrol &amp; Rev'!F10</f>
        <v>2022</v>
      </c>
      <c r="E8" s="929">
        <f>' Enrol &amp; Rev'!G10</f>
        <v>2023</v>
      </c>
      <c r="F8" s="929">
        <f>+E9</f>
        <v>2024</v>
      </c>
      <c r="G8" s="929">
        <f>+F9</f>
        <v>2025</v>
      </c>
      <c r="H8" s="929">
        <f>+G9</f>
        <v>2026</v>
      </c>
      <c r="I8" s="929">
        <f>+H9</f>
        <v>2027</v>
      </c>
      <c r="J8" s="930">
        <f>+I9</f>
        <v>2028</v>
      </c>
      <c r="K8" s="302"/>
      <c r="L8" s="353"/>
      <c r="M8" s="481"/>
      <c r="N8" s="481"/>
      <c r="O8" s="481"/>
      <c r="P8" s="481"/>
      <c r="Q8" s="481"/>
      <c r="R8" s="481"/>
      <c r="S8" s="481"/>
      <c r="T8" s="481"/>
      <c r="U8" s="481"/>
      <c r="V8" s="481"/>
    </row>
    <row r="9" spans="1:23" ht="15.6">
      <c r="A9" s="356"/>
      <c r="D9" s="764">
        <f>+D8+1</f>
        <v>2023</v>
      </c>
      <c r="E9" s="765">
        <f t="shared" ref="E9:J9" si="0">+E8+1</f>
        <v>2024</v>
      </c>
      <c r="F9" s="765">
        <f t="shared" si="0"/>
        <v>2025</v>
      </c>
      <c r="G9" s="765">
        <f t="shared" si="0"/>
        <v>2026</v>
      </c>
      <c r="H9" s="765">
        <f t="shared" si="0"/>
        <v>2027</v>
      </c>
      <c r="I9" s="765">
        <f t="shared" si="0"/>
        <v>2028</v>
      </c>
      <c r="J9" s="766">
        <f t="shared" si="0"/>
        <v>2029</v>
      </c>
      <c r="K9" s="303"/>
      <c r="L9" s="353"/>
      <c r="M9" s="481"/>
      <c r="N9" s="481"/>
      <c r="O9" s="481"/>
      <c r="P9" s="481"/>
      <c r="Q9" s="481"/>
      <c r="R9" s="481"/>
      <c r="S9" s="481"/>
      <c r="T9" s="481"/>
      <c r="U9" s="481"/>
      <c r="V9" s="481"/>
    </row>
    <row r="10" spans="1:23" ht="15.6">
      <c r="A10" s="356">
        <f>ROW()</f>
        <v>10</v>
      </c>
      <c r="B10" s="757" t="s">
        <v>208</v>
      </c>
      <c r="C10" s="757"/>
      <c r="D10" s="33"/>
      <c r="E10" s="256"/>
      <c r="F10" s="256"/>
      <c r="G10" s="256"/>
      <c r="H10" s="256"/>
      <c r="I10" s="256"/>
      <c r="J10" s="256"/>
      <c r="K10" s="302"/>
      <c r="L10" s="353"/>
      <c r="M10" s="481"/>
      <c r="N10" s="481"/>
      <c r="O10" s="481"/>
      <c r="P10" s="481"/>
      <c r="Q10" s="481"/>
      <c r="R10" s="481"/>
      <c r="S10" s="481"/>
      <c r="T10" s="481"/>
      <c r="U10" s="481"/>
      <c r="V10" s="481"/>
    </row>
    <row r="11" spans="1:23">
      <c r="A11" s="356">
        <f>ROW()</f>
        <v>11</v>
      </c>
      <c r="B11" s="758" t="s">
        <v>209</v>
      </c>
      <c r="C11" s="758"/>
      <c r="D11" s="300">
        <f t="shared" ref="D11:J11" si="1">COUNTIF(D14:D26,"&gt;0")</f>
        <v>0</v>
      </c>
      <c r="E11" s="300">
        <f t="shared" si="1"/>
        <v>6</v>
      </c>
      <c r="F11" s="294">
        <f t="shared" si="1"/>
        <v>7</v>
      </c>
      <c r="G11" s="294">
        <f t="shared" si="1"/>
        <v>8</v>
      </c>
      <c r="H11" s="294">
        <f t="shared" si="1"/>
        <v>9</v>
      </c>
      <c r="I11" s="294">
        <f t="shared" si="1"/>
        <v>9</v>
      </c>
      <c r="J11" s="295">
        <f t="shared" si="1"/>
        <v>9</v>
      </c>
      <c r="K11" s="304"/>
      <c r="L11" s="353"/>
      <c r="M11" s="481"/>
      <c r="N11" s="481"/>
      <c r="O11" s="481"/>
      <c r="P11" s="481"/>
      <c r="Q11" s="481"/>
      <c r="R11" s="481"/>
      <c r="S11" s="481"/>
      <c r="T11" s="481"/>
      <c r="U11" s="481"/>
      <c r="V11" s="481"/>
    </row>
    <row r="12" spans="1:23">
      <c r="A12" s="356">
        <f>ROW()</f>
        <v>12</v>
      </c>
      <c r="B12" s="64" t="s">
        <v>210</v>
      </c>
      <c r="C12" s="64"/>
      <c r="D12" s="301">
        <f>+' Enrol &amp; Rev'!F18</f>
        <v>0</v>
      </c>
      <c r="E12" s="305">
        <f>+' Enrol &amp; Rev'!G18</f>
        <v>20</v>
      </c>
      <c r="F12" s="306">
        <f>+' Enrol &amp; Rev'!H18</f>
        <v>24</v>
      </c>
      <c r="G12" s="306">
        <f>+' Enrol &amp; Rev'!I18</f>
        <v>28</v>
      </c>
      <c r="H12" s="306">
        <f>+' Enrol &amp; Rev'!J18</f>
        <v>32</v>
      </c>
      <c r="I12" s="306">
        <f>+' Enrol &amp; Rev'!K18</f>
        <v>33</v>
      </c>
      <c r="J12" s="307">
        <f>+' Enrol &amp; Rev'!L18</f>
        <v>34</v>
      </c>
      <c r="K12" s="304"/>
      <c r="L12" s="353"/>
      <c r="M12" s="481"/>
      <c r="N12" s="481"/>
      <c r="O12" s="481"/>
      <c r="P12" s="481"/>
      <c r="Q12" s="481"/>
      <c r="R12" s="481"/>
      <c r="S12" s="481"/>
      <c r="T12" s="481"/>
      <c r="U12" s="481"/>
      <c r="V12" s="481"/>
    </row>
    <row r="13" spans="1:23">
      <c r="A13" s="356">
        <f>ROW()</f>
        <v>13</v>
      </c>
      <c r="B13" s="43"/>
      <c r="C13" s="43"/>
      <c r="D13" s="639"/>
      <c r="E13" s="639"/>
      <c r="F13" s="639"/>
      <c r="G13" s="639"/>
      <c r="H13" s="639"/>
      <c r="I13" s="639"/>
      <c r="J13" s="639"/>
      <c r="K13" s="260"/>
      <c r="L13" s="353"/>
      <c r="M13" s="481"/>
      <c r="N13" s="481"/>
      <c r="O13" s="481"/>
      <c r="P13" s="481"/>
      <c r="Q13" s="481"/>
      <c r="R13" s="481"/>
      <c r="S13" s="481"/>
      <c r="T13" s="481"/>
      <c r="U13" s="481"/>
      <c r="V13" s="481"/>
      <c r="W13" s="481"/>
    </row>
    <row r="14" spans="1:23">
      <c r="A14" s="356">
        <f>ROW()</f>
        <v>14</v>
      </c>
      <c r="B14" s="697" t="s">
        <v>211</v>
      </c>
      <c r="C14" s="907"/>
      <c r="D14" s="641">
        <f>' Enrol &amp; Rev'!F22</f>
        <v>0</v>
      </c>
      <c r="E14" s="641">
        <f>' Enrol &amp; Rev'!G22</f>
        <v>108</v>
      </c>
      <c r="F14" s="641">
        <f>' Enrol &amp; Rev'!H22</f>
        <v>108</v>
      </c>
      <c r="G14" s="641">
        <f>' Enrol &amp; Rev'!I22</f>
        <v>108</v>
      </c>
      <c r="H14" s="641">
        <f>' Enrol &amp; Rev'!J22</f>
        <v>108</v>
      </c>
      <c r="I14" s="641">
        <f>' Enrol &amp; Rev'!K22</f>
        <v>108</v>
      </c>
      <c r="J14" s="641">
        <f>' Enrol &amp; Rev'!L22</f>
        <v>108</v>
      </c>
      <c r="K14" s="56"/>
      <c r="L14" s="353"/>
      <c r="M14" s="481"/>
      <c r="N14" s="481"/>
      <c r="O14" s="481"/>
      <c r="P14" s="481"/>
      <c r="Q14" s="481"/>
      <c r="R14" s="481"/>
      <c r="S14" s="481"/>
      <c r="T14" s="481"/>
      <c r="U14" s="481"/>
      <c r="V14" s="481"/>
      <c r="W14" s="481"/>
    </row>
    <row r="15" spans="1:23">
      <c r="A15" s="356">
        <f>ROW()</f>
        <v>15</v>
      </c>
      <c r="B15" s="72" t="s">
        <v>212</v>
      </c>
      <c r="C15" s="339"/>
      <c r="D15" s="640">
        <f>' Enrol &amp; Rev'!F23</f>
        <v>0</v>
      </c>
      <c r="E15" s="640">
        <f>' Enrol &amp; Rev'!G23</f>
        <v>108</v>
      </c>
      <c r="F15" s="640">
        <f>' Enrol &amp; Rev'!H23</f>
        <v>108</v>
      </c>
      <c r="G15" s="640">
        <f>' Enrol &amp; Rev'!I23</f>
        <v>108</v>
      </c>
      <c r="H15" s="640">
        <f>' Enrol &amp; Rev'!J23</f>
        <v>108</v>
      </c>
      <c r="I15" s="640">
        <f>' Enrol &amp; Rev'!K23</f>
        <v>108</v>
      </c>
      <c r="J15" s="640">
        <f>' Enrol &amp; Rev'!L23</f>
        <v>108</v>
      </c>
      <c r="K15" s="56"/>
      <c r="L15" s="353"/>
      <c r="M15" s="481"/>
      <c r="N15" s="481"/>
      <c r="O15" s="481"/>
      <c r="P15" s="481"/>
      <c r="Q15" s="481"/>
      <c r="R15" s="481"/>
      <c r="S15" s="481"/>
      <c r="T15" s="481"/>
      <c r="U15" s="481"/>
      <c r="V15" s="481"/>
      <c r="W15" s="481"/>
    </row>
    <row r="16" spans="1:23">
      <c r="A16" s="356">
        <f>ROW()</f>
        <v>16</v>
      </c>
      <c r="B16" s="72" t="s">
        <v>213</v>
      </c>
      <c r="C16" s="339"/>
      <c r="D16" s="640">
        <f>' Enrol &amp; Rev'!F24</f>
        <v>0</v>
      </c>
      <c r="E16" s="640">
        <f>' Enrol &amp; Rev'!G24</f>
        <v>81</v>
      </c>
      <c r="F16" s="640">
        <f>' Enrol &amp; Rev'!H24</f>
        <v>108</v>
      </c>
      <c r="G16" s="640">
        <f>' Enrol &amp; Rev'!I24</f>
        <v>108</v>
      </c>
      <c r="H16" s="640">
        <f>' Enrol &amp; Rev'!J24</f>
        <v>108</v>
      </c>
      <c r="I16" s="640">
        <f>' Enrol &amp; Rev'!K24</f>
        <v>108</v>
      </c>
      <c r="J16" s="640">
        <f>' Enrol &amp; Rev'!L24</f>
        <v>108</v>
      </c>
      <c r="K16" s="56"/>
      <c r="L16" s="353"/>
      <c r="M16" s="481"/>
      <c r="N16" s="481"/>
      <c r="O16" s="481"/>
      <c r="P16" s="481"/>
      <c r="Q16" s="481"/>
      <c r="R16" s="481"/>
      <c r="S16" s="481"/>
      <c r="T16" s="481"/>
      <c r="U16" s="481"/>
      <c r="V16" s="481"/>
      <c r="W16" s="481"/>
    </row>
    <row r="17" spans="1:23">
      <c r="A17" s="356">
        <f>ROW()</f>
        <v>17</v>
      </c>
      <c r="B17" s="72" t="s">
        <v>214</v>
      </c>
      <c r="C17" s="339"/>
      <c r="D17" s="640">
        <f>' Enrol &amp; Rev'!F25</f>
        <v>0</v>
      </c>
      <c r="E17" s="640">
        <f>' Enrol &amp; Rev'!G25</f>
        <v>81</v>
      </c>
      <c r="F17" s="640">
        <f>' Enrol &amp; Rev'!H25</f>
        <v>81</v>
      </c>
      <c r="G17" s="640">
        <f>' Enrol &amp; Rev'!I25</f>
        <v>108</v>
      </c>
      <c r="H17" s="640">
        <f>' Enrol &amp; Rev'!J25</f>
        <v>108</v>
      </c>
      <c r="I17" s="640">
        <f>' Enrol &amp; Rev'!K25</f>
        <v>108</v>
      </c>
      <c r="J17" s="640">
        <f>' Enrol &amp; Rev'!L25</f>
        <v>108</v>
      </c>
      <c r="K17" s="56"/>
      <c r="L17" s="353"/>
      <c r="M17" s="481"/>
      <c r="N17" s="481"/>
      <c r="O17" s="481"/>
      <c r="P17" s="481"/>
      <c r="Q17" s="481"/>
      <c r="R17" s="481"/>
      <c r="S17" s="481"/>
      <c r="T17" s="481"/>
      <c r="U17" s="481"/>
      <c r="V17" s="481"/>
      <c r="W17" s="481"/>
    </row>
    <row r="18" spans="1:23">
      <c r="A18" s="356">
        <f>ROW()</f>
        <v>18</v>
      </c>
      <c r="B18" s="72" t="s">
        <v>215</v>
      </c>
      <c r="C18" s="339"/>
      <c r="D18" s="640">
        <f>' Enrol &amp; Rev'!F26</f>
        <v>0</v>
      </c>
      <c r="E18" s="640">
        <f>' Enrol &amp; Rev'!G26</f>
        <v>81</v>
      </c>
      <c r="F18" s="640">
        <f>' Enrol &amp; Rev'!H26</f>
        <v>81</v>
      </c>
      <c r="G18" s="640">
        <f>' Enrol &amp; Rev'!I26</f>
        <v>81</v>
      </c>
      <c r="H18" s="640">
        <f>' Enrol &amp; Rev'!J26</f>
        <v>108</v>
      </c>
      <c r="I18" s="640">
        <f>' Enrol &amp; Rev'!K26</f>
        <v>108</v>
      </c>
      <c r="J18" s="640">
        <f>' Enrol &amp; Rev'!L26</f>
        <v>108</v>
      </c>
      <c r="K18" s="56"/>
      <c r="L18" s="353"/>
      <c r="M18" s="481"/>
      <c r="N18" s="481"/>
      <c r="O18" s="481"/>
      <c r="P18" s="481"/>
      <c r="Q18" s="481"/>
      <c r="R18" s="481"/>
      <c r="S18" s="481"/>
      <c r="T18" s="481"/>
      <c r="U18" s="481"/>
      <c r="V18" s="481"/>
      <c r="W18" s="481"/>
    </row>
    <row r="19" spans="1:23">
      <c r="A19" s="356">
        <f>ROW()</f>
        <v>19</v>
      </c>
      <c r="B19" s="72" t="s">
        <v>216</v>
      </c>
      <c r="C19" s="339"/>
      <c r="D19" s="640">
        <f>' Enrol &amp; Rev'!F27</f>
        <v>0</v>
      </c>
      <c r="E19" s="640">
        <f>' Enrol &amp; Rev'!G27</f>
        <v>81</v>
      </c>
      <c r="F19" s="640">
        <f>' Enrol &amp; Rev'!H27</f>
        <v>81</v>
      </c>
      <c r="G19" s="640">
        <f>' Enrol &amp; Rev'!I27</f>
        <v>81</v>
      </c>
      <c r="H19" s="640">
        <f>' Enrol &amp; Rev'!J27</f>
        <v>81</v>
      </c>
      <c r="I19" s="640">
        <f>' Enrol &amp; Rev'!K27</f>
        <v>108</v>
      </c>
      <c r="J19" s="640">
        <f>' Enrol &amp; Rev'!L27</f>
        <v>108</v>
      </c>
      <c r="K19" s="56"/>
      <c r="L19" s="353"/>
      <c r="M19" s="481"/>
      <c r="N19" s="481"/>
      <c r="O19" s="481"/>
      <c r="P19" s="481"/>
      <c r="Q19" s="481"/>
      <c r="R19" s="481"/>
      <c r="S19" s="481"/>
      <c r="T19" s="481"/>
      <c r="U19" s="481"/>
      <c r="V19" s="481"/>
      <c r="W19" s="481"/>
    </row>
    <row r="20" spans="1:23">
      <c r="A20" s="356">
        <f>ROW()</f>
        <v>20</v>
      </c>
      <c r="B20" s="72" t="s">
        <v>217</v>
      </c>
      <c r="C20" s="339"/>
      <c r="D20" s="640">
        <f>' Enrol &amp; Rev'!F28</f>
        <v>0</v>
      </c>
      <c r="E20" s="640">
        <f>' Enrol &amp; Rev'!G28</f>
        <v>0</v>
      </c>
      <c r="F20" s="640">
        <f>' Enrol &amp; Rev'!H28</f>
        <v>81</v>
      </c>
      <c r="G20" s="640">
        <f>' Enrol &amp; Rev'!I28</f>
        <v>81</v>
      </c>
      <c r="H20" s="640">
        <f>' Enrol &amp; Rev'!J28</f>
        <v>81</v>
      </c>
      <c r="I20" s="640">
        <f>' Enrol &amp; Rev'!K28</f>
        <v>81</v>
      </c>
      <c r="J20" s="640">
        <f>' Enrol &amp; Rev'!L28</f>
        <v>108</v>
      </c>
      <c r="K20" s="56"/>
      <c r="L20" s="353"/>
      <c r="M20" s="481"/>
      <c r="N20" s="481"/>
      <c r="O20" s="481"/>
      <c r="P20" s="481"/>
      <c r="Q20" s="481"/>
      <c r="R20" s="481"/>
      <c r="S20" s="481"/>
      <c r="T20" s="481"/>
      <c r="U20" s="481"/>
      <c r="V20" s="481"/>
      <c r="W20" s="481"/>
    </row>
    <row r="21" spans="1:23">
      <c r="A21" s="356">
        <f>ROW()</f>
        <v>21</v>
      </c>
      <c r="B21" s="72" t="s">
        <v>218</v>
      </c>
      <c r="C21" s="339"/>
      <c r="D21" s="640">
        <f>' Enrol &amp; Rev'!F29</f>
        <v>0</v>
      </c>
      <c r="E21" s="640">
        <f>' Enrol &amp; Rev'!G29</f>
        <v>0</v>
      </c>
      <c r="F21" s="640">
        <f>' Enrol &amp; Rev'!H29</f>
        <v>0</v>
      </c>
      <c r="G21" s="640">
        <f>' Enrol &amp; Rev'!I29</f>
        <v>81</v>
      </c>
      <c r="H21" s="640">
        <f>' Enrol &amp; Rev'!J29</f>
        <v>81</v>
      </c>
      <c r="I21" s="640">
        <f>' Enrol &amp; Rev'!K29</f>
        <v>81</v>
      </c>
      <c r="J21" s="640">
        <f>' Enrol &amp; Rev'!L29</f>
        <v>81</v>
      </c>
      <c r="K21" s="56"/>
      <c r="L21" s="353"/>
      <c r="M21" s="481"/>
      <c r="N21" s="481"/>
      <c r="O21" s="481"/>
      <c r="P21" s="481"/>
      <c r="Q21" s="481"/>
      <c r="R21" s="481"/>
      <c r="S21" s="481"/>
      <c r="T21" s="481"/>
      <c r="U21" s="481"/>
      <c r="V21" s="481"/>
    </row>
    <row r="22" spans="1:23">
      <c r="A22" s="356">
        <f>ROW()</f>
        <v>22</v>
      </c>
      <c r="B22" s="72" t="s">
        <v>219</v>
      </c>
      <c r="C22" s="339"/>
      <c r="D22" s="640">
        <f>' Enrol &amp; Rev'!F30</f>
        <v>0</v>
      </c>
      <c r="E22" s="640">
        <f>' Enrol &amp; Rev'!G30</f>
        <v>0</v>
      </c>
      <c r="F22" s="640">
        <f>' Enrol &amp; Rev'!H30</f>
        <v>0</v>
      </c>
      <c r="G22" s="640">
        <f>' Enrol &amp; Rev'!I30</f>
        <v>0</v>
      </c>
      <c r="H22" s="640">
        <f>' Enrol &amp; Rev'!J30</f>
        <v>81</v>
      </c>
      <c r="I22" s="640">
        <f>' Enrol &amp; Rev'!K30</f>
        <v>81</v>
      </c>
      <c r="J22" s="640">
        <f>' Enrol &amp; Rev'!L30</f>
        <v>81</v>
      </c>
      <c r="K22" s="56"/>
      <c r="L22" s="353"/>
      <c r="M22" s="481"/>
      <c r="N22" s="481"/>
      <c r="O22" s="481"/>
      <c r="P22" s="481"/>
      <c r="Q22" s="481"/>
      <c r="R22" s="481"/>
      <c r="S22" s="481"/>
      <c r="T22" s="481"/>
      <c r="U22" s="481"/>
      <c r="V22" s="481"/>
    </row>
    <row r="23" spans="1:23">
      <c r="A23" s="356">
        <f>ROW()</f>
        <v>23</v>
      </c>
      <c r="B23" s="72" t="s">
        <v>220</v>
      </c>
      <c r="C23" s="339"/>
      <c r="D23" s="640">
        <f>' Enrol &amp; Rev'!F31</f>
        <v>0</v>
      </c>
      <c r="E23" s="640">
        <f>' Enrol &amp; Rev'!G31</f>
        <v>0</v>
      </c>
      <c r="F23" s="640">
        <f>' Enrol &amp; Rev'!H31</f>
        <v>0</v>
      </c>
      <c r="G23" s="640">
        <f>' Enrol &amp; Rev'!I31</f>
        <v>0</v>
      </c>
      <c r="H23" s="640">
        <f>' Enrol &amp; Rev'!J31</f>
        <v>0</v>
      </c>
      <c r="I23" s="640">
        <f>' Enrol &amp; Rev'!K31</f>
        <v>0</v>
      </c>
      <c r="J23" s="640">
        <f>' Enrol &amp; Rev'!L31</f>
        <v>0</v>
      </c>
      <c r="K23" s="56"/>
      <c r="L23" s="353"/>
      <c r="M23" s="481"/>
      <c r="N23" s="481"/>
      <c r="O23" s="481"/>
      <c r="P23" s="481"/>
      <c r="Q23" s="481"/>
      <c r="R23" s="481"/>
      <c r="S23" s="481"/>
      <c r="T23" s="481"/>
      <c r="U23" s="481"/>
      <c r="V23" s="481"/>
    </row>
    <row r="24" spans="1:23">
      <c r="A24" s="356">
        <f>ROW()</f>
        <v>24</v>
      </c>
      <c r="B24" s="72" t="s">
        <v>221</v>
      </c>
      <c r="C24" s="339"/>
      <c r="D24" s="640">
        <f>' Enrol &amp; Rev'!F32</f>
        <v>0</v>
      </c>
      <c r="E24" s="640">
        <f>' Enrol &amp; Rev'!G32</f>
        <v>0</v>
      </c>
      <c r="F24" s="640">
        <f>' Enrol &amp; Rev'!H32</f>
        <v>0</v>
      </c>
      <c r="G24" s="640">
        <f>' Enrol &amp; Rev'!I32</f>
        <v>0</v>
      </c>
      <c r="H24" s="640">
        <f>' Enrol &amp; Rev'!J32</f>
        <v>0</v>
      </c>
      <c r="I24" s="640">
        <f>' Enrol &amp; Rev'!K32</f>
        <v>0</v>
      </c>
      <c r="J24" s="640">
        <f>' Enrol &amp; Rev'!L32</f>
        <v>0</v>
      </c>
      <c r="K24" s="56"/>
      <c r="L24" s="353"/>
      <c r="M24" s="481"/>
      <c r="N24" s="481"/>
      <c r="O24" s="481"/>
      <c r="P24" s="481"/>
      <c r="Q24" s="481"/>
      <c r="R24" s="481"/>
      <c r="S24" s="481"/>
      <c r="T24" s="481"/>
      <c r="U24" s="481"/>
      <c r="V24" s="481"/>
    </row>
    <row r="25" spans="1:23">
      <c r="A25" s="356">
        <f>ROW()</f>
        <v>25</v>
      </c>
      <c r="B25" s="72" t="s">
        <v>222</v>
      </c>
      <c r="C25" s="339"/>
      <c r="D25" s="640">
        <f>' Enrol &amp; Rev'!F33</f>
        <v>0</v>
      </c>
      <c r="E25" s="640">
        <f>' Enrol &amp; Rev'!G33</f>
        <v>0</v>
      </c>
      <c r="F25" s="640">
        <f>' Enrol &amp; Rev'!H33</f>
        <v>0</v>
      </c>
      <c r="G25" s="640">
        <f>' Enrol &amp; Rev'!I33</f>
        <v>0</v>
      </c>
      <c r="H25" s="640">
        <f>' Enrol &amp; Rev'!J33</f>
        <v>0</v>
      </c>
      <c r="I25" s="640">
        <f>' Enrol &amp; Rev'!K33</f>
        <v>0</v>
      </c>
      <c r="J25" s="640">
        <f>' Enrol &amp; Rev'!L33</f>
        <v>0</v>
      </c>
      <c r="K25" s="56"/>
      <c r="L25" s="353"/>
      <c r="M25" s="481"/>
      <c r="N25" s="481"/>
      <c r="O25" s="481"/>
      <c r="P25" s="481"/>
      <c r="Q25" s="481"/>
      <c r="R25" s="481"/>
      <c r="S25" s="481"/>
      <c r="T25" s="481"/>
      <c r="U25" s="481"/>
      <c r="V25" s="481"/>
    </row>
    <row r="26" spans="1:23">
      <c r="A26" s="356">
        <f>ROW()</f>
        <v>26</v>
      </c>
      <c r="B26" s="696" t="s">
        <v>223</v>
      </c>
      <c r="C26" s="908"/>
      <c r="D26" s="642">
        <f>' Enrol &amp; Rev'!F34</f>
        <v>0</v>
      </c>
      <c r="E26" s="642">
        <f>' Enrol &amp; Rev'!G34</f>
        <v>0</v>
      </c>
      <c r="F26" s="642">
        <f>' Enrol &amp; Rev'!H34</f>
        <v>0</v>
      </c>
      <c r="G26" s="642">
        <f>' Enrol &amp; Rev'!I34</f>
        <v>0</v>
      </c>
      <c r="H26" s="642">
        <f>' Enrol &amp; Rev'!J34</f>
        <v>0</v>
      </c>
      <c r="I26" s="642">
        <f>' Enrol &amp; Rev'!K34</f>
        <v>0</v>
      </c>
      <c r="J26" s="642">
        <f>' Enrol &amp; Rev'!L34</f>
        <v>0</v>
      </c>
      <c r="K26" s="56"/>
      <c r="L26" s="353"/>
      <c r="M26" s="481"/>
      <c r="N26" s="481"/>
      <c r="O26" s="481"/>
      <c r="P26" s="481"/>
      <c r="Q26" s="481"/>
      <c r="R26" s="481"/>
      <c r="S26" s="481"/>
      <c r="T26" s="481"/>
      <c r="U26" s="481"/>
      <c r="V26" s="481"/>
    </row>
    <row r="27" spans="1:23">
      <c r="A27" s="356">
        <f>ROW()</f>
        <v>27</v>
      </c>
      <c r="B27" s="178" t="s">
        <v>224</v>
      </c>
      <c r="C27" s="178"/>
      <c r="D27" s="190">
        <f t="shared" ref="D27:J27" si="2">SUM(D14:D26)</f>
        <v>0</v>
      </c>
      <c r="E27" s="190">
        <f t="shared" si="2"/>
        <v>540</v>
      </c>
      <c r="F27" s="190">
        <f t="shared" si="2"/>
        <v>648</v>
      </c>
      <c r="G27" s="190">
        <f t="shared" si="2"/>
        <v>756</v>
      </c>
      <c r="H27" s="190">
        <f t="shared" si="2"/>
        <v>864</v>
      </c>
      <c r="I27" s="190">
        <f t="shared" si="2"/>
        <v>891</v>
      </c>
      <c r="J27" s="190">
        <f t="shared" si="2"/>
        <v>918</v>
      </c>
      <c r="K27" s="190"/>
      <c r="L27" s="353"/>
      <c r="M27" s="481"/>
      <c r="N27" s="481"/>
      <c r="O27" s="481"/>
      <c r="P27" s="481"/>
      <c r="Q27" s="481"/>
      <c r="R27" s="481"/>
      <c r="S27" s="481"/>
      <c r="T27" s="481"/>
      <c r="U27" s="481"/>
      <c r="V27" s="481"/>
    </row>
    <row r="28" spans="1:23">
      <c r="A28" s="356">
        <f>ROW()</f>
        <v>28</v>
      </c>
      <c r="B28" s="43" t="s">
        <v>225</v>
      </c>
      <c r="C28" s="43"/>
      <c r="D28" s="131"/>
      <c r="E28" s="131">
        <f>IFERROR(E27/E12,0)</f>
        <v>27</v>
      </c>
      <c r="F28" s="131">
        <f t="shared" ref="F28:J28" si="3">IFERROR(F27/F12,0)</f>
        <v>27</v>
      </c>
      <c r="G28" s="131">
        <f t="shared" si="3"/>
        <v>27</v>
      </c>
      <c r="H28" s="131">
        <f t="shared" si="3"/>
        <v>27</v>
      </c>
      <c r="I28" s="131">
        <f t="shared" si="3"/>
        <v>27</v>
      </c>
      <c r="J28" s="131">
        <f t="shared" si="3"/>
        <v>27</v>
      </c>
      <c r="K28" s="131"/>
      <c r="L28" s="353"/>
      <c r="M28" s="481"/>
      <c r="N28" s="481"/>
      <c r="O28" s="481"/>
      <c r="P28" s="481"/>
      <c r="Q28" s="481"/>
      <c r="R28" s="481"/>
      <c r="S28" s="481"/>
      <c r="T28" s="481"/>
      <c r="U28" s="481"/>
      <c r="V28" s="481"/>
    </row>
    <row r="29" spans="1:23">
      <c r="A29" s="356">
        <f>ROW()</f>
        <v>29</v>
      </c>
      <c r="B29" s="43" t="s">
        <v>226</v>
      </c>
      <c r="C29" s="43"/>
      <c r="D29" s="131"/>
      <c r="E29" s="380">
        <f t="shared" ref="E29:J29" si="4">IFERROR(IF(AND(E27,$G$51)&gt;0,E27/$G51,0),0)</f>
        <v>0</v>
      </c>
      <c r="F29" s="381">
        <f t="shared" si="4"/>
        <v>0</v>
      </c>
      <c r="G29" s="381">
        <f t="shared" si="4"/>
        <v>0</v>
      </c>
      <c r="H29" s="381">
        <f t="shared" si="4"/>
        <v>0</v>
      </c>
      <c r="I29" s="381">
        <f t="shared" si="4"/>
        <v>0</v>
      </c>
      <c r="J29" s="381">
        <f t="shared" si="4"/>
        <v>0</v>
      </c>
      <c r="K29" s="131"/>
      <c r="L29" s="353"/>
      <c r="M29" s="481"/>
      <c r="N29" s="481"/>
      <c r="O29" s="481"/>
      <c r="P29" s="481"/>
      <c r="Q29" s="481"/>
      <c r="R29" s="481"/>
      <c r="S29" s="481"/>
      <c r="T29" s="481"/>
      <c r="U29" s="481"/>
      <c r="V29" s="481"/>
    </row>
    <row r="30" spans="1:23">
      <c r="A30" s="356">
        <f>ROW()</f>
        <v>30</v>
      </c>
      <c r="B30" s="43" t="s">
        <v>227</v>
      </c>
      <c r="C30" s="43"/>
      <c r="D30" s="131"/>
      <c r="E30" s="380">
        <f t="shared" ref="E30:J30" si="5">IFERROR(IF(AND(E27,$H$70)&gt;0,E27/$H70,0),0)</f>
        <v>0</v>
      </c>
      <c r="F30" s="380">
        <f t="shared" si="5"/>
        <v>0</v>
      </c>
      <c r="G30" s="380">
        <f t="shared" si="5"/>
        <v>0</v>
      </c>
      <c r="H30" s="380">
        <f t="shared" si="5"/>
        <v>0</v>
      </c>
      <c r="I30" s="380">
        <f t="shared" si="5"/>
        <v>0</v>
      </c>
      <c r="J30" s="380">
        <f t="shared" si="5"/>
        <v>0</v>
      </c>
      <c r="K30" s="131"/>
      <c r="L30" s="353"/>
      <c r="M30" s="481"/>
      <c r="N30" s="481"/>
      <c r="O30" s="481"/>
      <c r="P30" s="481"/>
      <c r="Q30" s="481"/>
      <c r="R30" s="481"/>
      <c r="S30" s="481"/>
      <c r="T30" s="481"/>
      <c r="U30" s="481"/>
      <c r="V30" s="481"/>
    </row>
    <row r="31" spans="1:23">
      <c r="A31" s="356">
        <f>ROW()</f>
        <v>31</v>
      </c>
      <c r="B31" s="168" t="s">
        <v>228</v>
      </c>
      <c r="C31" s="43"/>
      <c r="D31" s="131"/>
      <c r="E31" s="380"/>
      <c r="F31" s="381"/>
      <c r="G31" s="381"/>
      <c r="H31" s="381"/>
      <c r="I31" s="381"/>
      <c r="J31" s="381"/>
      <c r="K31" s="131"/>
      <c r="L31" s="353"/>
      <c r="M31" s="481"/>
      <c r="N31" s="481"/>
      <c r="O31" s="481"/>
      <c r="P31" s="481"/>
      <c r="Q31" s="481"/>
      <c r="R31" s="481"/>
      <c r="S31" s="481"/>
      <c r="T31" s="481"/>
      <c r="U31" s="481"/>
      <c r="V31" s="481"/>
    </row>
    <row r="32" spans="1:23">
      <c r="A32" s="356"/>
      <c r="B32" s="48"/>
      <c r="C32" s="48"/>
      <c r="D32" s="48"/>
      <c r="E32" s="43"/>
      <c r="F32" s="75"/>
      <c r="G32" s="76"/>
      <c r="H32" s="76"/>
      <c r="I32" s="76"/>
      <c r="J32" s="76"/>
      <c r="K32" s="76"/>
      <c r="L32" s="353"/>
      <c r="M32" s="481"/>
      <c r="N32" s="481"/>
      <c r="O32" s="481"/>
      <c r="P32" s="481"/>
      <c r="Q32" s="481"/>
      <c r="R32" s="481"/>
      <c r="S32" s="481"/>
      <c r="T32" s="481"/>
      <c r="U32" s="481"/>
      <c r="V32" s="481"/>
    </row>
    <row r="33" spans="1:22" ht="15.6">
      <c r="A33" s="206" t="s">
        <v>1259</v>
      </c>
      <c r="B33" s="48"/>
      <c r="C33" s="48"/>
      <c r="D33" s="48"/>
      <c r="F33" s="75"/>
      <c r="G33" s="76"/>
      <c r="H33" s="76"/>
      <c r="L33" s="353"/>
      <c r="M33" s="481"/>
      <c r="N33" s="481"/>
      <c r="O33" s="481"/>
      <c r="P33" s="481"/>
      <c r="Q33" s="481"/>
      <c r="R33" s="481"/>
      <c r="S33" s="481"/>
      <c r="T33" s="481"/>
      <c r="U33" s="481"/>
      <c r="V33" s="481"/>
    </row>
    <row r="34" spans="1:22" ht="30" customHeight="1">
      <c r="A34" s="909"/>
      <c r="B34" s="2203" t="s">
        <v>1442</v>
      </c>
      <c r="C34" s="2203"/>
      <c r="D34" s="1409"/>
      <c r="E34" s="911" t="s">
        <v>1300</v>
      </c>
      <c r="F34" s="910" t="s">
        <v>229</v>
      </c>
      <c r="G34" s="911" t="s">
        <v>230</v>
      </c>
      <c r="H34" s="911" t="s">
        <v>231</v>
      </c>
      <c r="I34" s="756" t="s">
        <v>232</v>
      </c>
      <c r="K34" s="50"/>
      <c r="L34" s="993" t="s">
        <v>233</v>
      </c>
      <c r="M34" s="481"/>
      <c r="N34" s="481"/>
      <c r="O34" s="481"/>
      <c r="P34" s="481"/>
      <c r="Q34" s="481"/>
      <c r="R34" s="481"/>
      <c r="S34" s="481"/>
      <c r="T34" s="481"/>
      <c r="U34" s="481"/>
      <c r="V34" s="481"/>
    </row>
    <row r="35" spans="1:22">
      <c r="A35" s="912">
        <f>ROW()</f>
        <v>35</v>
      </c>
      <c r="B35" s="2205" t="s">
        <v>234</v>
      </c>
      <c r="C35" s="2205"/>
      <c r="D35" s="2205"/>
      <c r="E35" s="913"/>
      <c r="F35" s="913"/>
      <c r="G35" s="914"/>
      <c r="H35" s="915">
        <v>0</v>
      </c>
      <c r="I35" s="916">
        <v>0</v>
      </c>
      <c r="K35" s="50"/>
      <c r="L35" s="353" t="s">
        <v>235</v>
      </c>
      <c r="M35" s="481"/>
      <c r="N35" s="481"/>
      <c r="O35" s="481"/>
      <c r="P35" s="481"/>
      <c r="Q35" s="481"/>
      <c r="R35" s="481"/>
      <c r="S35" s="481"/>
      <c r="T35" s="481"/>
      <c r="U35" s="481"/>
      <c r="V35" s="481"/>
    </row>
    <row r="36" spans="1:22">
      <c r="A36" s="643">
        <f>ROW()</f>
        <v>36</v>
      </c>
      <c r="B36" s="2206" t="s">
        <v>236</v>
      </c>
      <c r="C36" s="2206"/>
      <c r="D36" s="2206"/>
      <c r="E36" s="308"/>
      <c r="F36" s="308"/>
      <c r="G36" s="309"/>
      <c r="H36" s="266">
        <v>0</v>
      </c>
      <c r="I36" s="917">
        <v>0</v>
      </c>
      <c r="K36" s="50"/>
      <c r="L36" s="353"/>
      <c r="M36" s="481"/>
      <c r="N36" s="481"/>
      <c r="O36" s="481"/>
      <c r="P36" s="481"/>
      <c r="Q36" s="481"/>
      <c r="R36" s="481"/>
      <c r="S36" s="481"/>
      <c r="T36" s="481"/>
      <c r="U36" s="481"/>
      <c r="V36" s="481"/>
    </row>
    <row r="37" spans="1:22">
      <c r="A37" s="643">
        <f>ROW()</f>
        <v>37</v>
      </c>
      <c r="B37" s="2206" t="s">
        <v>237</v>
      </c>
      <c r="C37" s="2206"/>
      <c r="D37" s="2206"/>
      <c r="E37" s="308"/>
      <c r="F37" s="308"/>
      <c r="G37" s="309"/>
      <c r="H37" s="266">
        <v>0</v>
      </c>
      <c r="I37" s="917">
        <v>0</v>
      </c>
      <c r="K37" s="50"/>
      <c r="L37" s="353"/>
      <c r="M37" s="481"/>
      <c r="N37" s="481"/>
      <c r="O37" s="481"/>
      <c r="P37" s="481"/>
      <c r="Q37" s="481"/>
      <c r="R37" s="481"/>
      <c r="S37" s="481"/>
      <c r="T37" s="481"/>
      <c r="U37" s="481"/>
      <c r="V37" s="481"/>
    </row>
    <row r="38" spans="1:22">
      <c r="A38" s="643">
        <f>ROW()</f>
        <v>38</v>
      </c>
      <c r="B38" s="2206"/>
      <c r="C38" s="2206"/>
      <c r="D38" s="2206"/>
      <c r="E38" s="308"/>
      <c r="F38" s="308"/>
      <c r="G38" s="309"/>
      <c r="H38" s="266">
        <v>0</v>
      </c>
      <c r="I38" s="917">
        <v>0</v>
      </c>
      <c r="K38" s="50"/>
      <c r="L38" s="353"/>
      <c r="M38" s="481"/>
      <c r="N38" s="481"/>
      <c r="O38" s="481"/>
      <c r="P38" s="481"/>
      <c r="Q38" s="481"/>
      <c r="R38" s="481"/>
      <c r="S38" s="481"/>
      <c r="T38" s="481"/>
      <c r="U38" s="481"/>
      <c r="V38" s="481"/>
    </row>
    <row r="39" spans="1:22">
      <c r="A39" s="643">
        <f>ROW()</f>
        <v>39</v>
      </c>
      <c r="B39" s="2206"/>
      <c r="C39" s="2206"/>
      <c r="D39" s="2206"/>
      <c r="E39" s="308"/>
      <c r="F39" s="308"/>
      <c r="G39" s="309"/>
      <c r="H39" s="266">
        <v>0</v>
      </c>
      <c r="I39" s="917">
        <v>0</v>
      </c>
      <c r="K39" s="50"/>
      <c r="L39" s="353"/>
      <c r="M39" s="481"/>
      <c r="N39" s="481"/>
      <c r="O39" s="481"/>
      <c r="P39" s="481"/>
      <c r="Q39" s="481"/>
      <c r="R39" s="481"/>
      <c r="S39" s="481"/>
      <c r="T39" s="481"/>
      <c r="U39" s="481"/>
      <c r="V39" s="481"/>
    </row>
    <row r="40" spans="1:22">
      <c r="A40" s="643">
        <f>ROW()</f>
        <v>40</v>
      </c>
      <c r="B40" s="2206"/>
      <c r="C40" s="2206"/>
      <c r="D40" s="2206"/>
      <c r="E40" s="308"/>
      <c r="F40" s="308"/>
      <c r="G40" s="309"/>
      <c r="H40" s="266">
        <v>0</v>
      </c>
      <c r="I40" s="917">
        <v>0</v>
      </c>
      <c r="K40" s="50"/>
      <c r="L40" s="353"/>
      <c r="M40" s="481"/>
      <c r="N40" s="481"/>
      <c r="O40" s="481"/>
      <c r="P40" s="481"/>
      <c r="Q40" s="481"/>
      <c r="R40" s="481"/>
      <c r="S40" s="481"/>
      <c r="T40" s="481"/>
      <c r="U40" s="481"/>
      <c r="V40" s="481"/>
    </row>
    <row r="41" spans="1:22">
      <c r="A41" s="643">
        <f>ROW()</f>
        <v>41</v>
      </c>
      <c r="B41" s="2206"/>
      <c r="C41" s="2206"/>
      <c r="D41" s="2206"/>
      <c r="E41" s="308"/>
      <c r="F41" s="308"/>
      <c r="G41" s="309"/>
      <c r="H41" s="266">
        <v>0</v>
      </c>
      <c r="I41" s="917">
        <v>0</v>
      </c>
      <c r="K41" s="50"/>
      <c r="L41" s="353"/>
      <c r="M41" s="481"/>
      <c r="N41" s="481"/>
      <c r="O41" s="481"/>
      <c r="P41" s="481"/>
      <c r="Q41" s="481"/>
      <c r="R41" s="481"/>
      <c r="S41" s="481"/>
      <c r="T41" s="481"/>
      <c r="U41" s="481"/>
      <c r="V41" s="481"/>
    </row>
    <row r="42" spans="1:22">
      <c r="A42" s="643">
        <f>ROW()</f>
        <v>42</v>
      </c>
      <c r="B42" s="2206"/>
      <c r="C42" s="2206"/>
      <c r="D42" s="2206"/>
      <c r="E42" s="308"/>
      <c r="F42" s="308"/>
      <c r="G42" s="309"/>
      <c r="H42" s="266">
        <v>0</v>
      </c>
      <c r="I42" s="917">
        <v>0</v>
      </c>
      <c r="K42" s="50"/>
      <c r="L42" s="353"/>
      <c r="M42" s="481"/>
      <c r="N42" s="481"/>
      <c r="O42" s="481"/>
      <c r="P42" s="481"/>
      <c r="Q42" s="481"/>
      <c r="R42" s="481"/>
      <c r="S42" s="481"/>
      <c r="T42" s="481"/>
      <c r="U42" s="481"/>
      <c r="V42" s="481"/>
    </row>
    <row r="43" spans="1:22">
      <c r="A43" s="643">
        <f>ROW()</f>
        <v>43</v>
      </c>
      <c r="B43" s="1330"/>
      <c r="C43" s="1330"/>
      <c r="D43" s="1330"/>
      <c r="E43" s="308"/>
      <c r="F43" s="308"/>
      <c r="G43" s="309"/>
      <c r="H43" s="266"/>
      <c r="I43" s="917"/>
      <c r="K43" s="50"/>
      <c r="L43" s="353"/>
      <c r="M43" s="481"/>
      <c r="N43" s="481"/>
      <c r="O43" s="481"/>
      <c r="P43" s="481"/>
      <c r="Q43" s="481"/>
      <c r="R43" s="481"/>
      <c r="S43" s="481"/>
      <c r="T43" s="481"/>
      <c r="U43" s="481"/>
      <c r="V43" s="481"/>
    </row>
    <row r="44" spans="1:22">
      <c r="A44" s="643">
        <f>ROW()</f>
        <v>44</v>
      </c>
      <c r="B44" s="1330"/>
      <c r="C44" s="1330"/>
      <c r="D44" s="1330"/>
      <c r="E44" s="308"/>
      <c r="F44" s="308"/>
      <c r="G44" s="309"/>
      <c r="H44" s="266"/>
      <c r="I44" s="917"/>
      <c r="K44" s="50"/>
      <c r="L44" s="353"/>
      <c r="M44" s="481"/>
      <c r="N44" s="481"/>
      <c r="O44" s="481"/>
      <c r="P44" s="481"/>
      <c r="Q44" s="481"/>
      <c r="R44" s="481"/>
      <c r="S44" s="481"/>
      <c r="T44" s="481"/>
      <c r="U44" s="481"/>
      <c r="V44" s="481"/>
    </row>
    <row r="45" spans="1:22">
      <c r="A45" s="643">
        <f>ROW()</f>
        <v>45</v>
      </c>
      <c r="B45" s="2206"/>
      <c r="C45" s="2206"/>
      <c r="D45" s="2206"/>
      <c r="E45" s="308"/>
      <c r="F45" s="308"/>
      <c r="G45" s="309"/>
      <c r="H45" s="266">
        <v>0</v>
      </c>
      <c r="I45" s="917">
        <v>0</v>
      </c>
      <c r="K45" s="50"/>
      <c r="L45" s="353"/>
      <c r="M45" s="481"/>
      <c r="N45" s="481"/>
      <c r="O45" s="481"/>
      <c r="P45" s="481"/>
      <c r="Q45" s="481"/>
      <c r="R45" s="481"/>
      <c r="S45" s="481"/>
      <c r="T45" s="481"/>
      <c r="U45" s="481"/>
      <c r="V45" s="481"/>
    </row>
    <row r="46" spans="1:22">
      <c r="A46" s="1071">
        <f>ROW()</f>
        <v>46</v>
      </c>
      <c r="B46" s="1331"/>
      <c r="C46" s="1331"/>
      <c r="D46" s="1331"/>
      <c r="E46" s="987"/>
      <c r="F46" s="987"/>
      <c r="G46" s="988"/>
      <c r="H46" s="268"/>
      <c r="I46" s="989"/>
      <c r="K46" s="50"/>
      <c r="L46" s="353"/>
      <c r="M46" s="481"/>
      <c r="N46" s="481"/>
      <c r="O46" s="481"/>
      <c r="P46" s="481"/>
      <c r="Q46" s="481"/>
      <c r="R46" s="481"/>
      <c r="S46" s="481"/>
      <c r="T46" s="481"/>
      <c r="U46" s="481"/>
      <c r="V46" s="481"/>
    </row>
    <row r="47" spans="1:22">
      <c r="A47" s="1071">
        <f>ROW()</f>
        <v>47</v>
      </c>
      <c r="B47" s="1331"/>
      <c r="C47" s="1331"/>
      <c r="D47" s="1331"/>
      <c r="E47" s="987"/>
      <c r="F47" s="987"/>
      <c r="G47" s="988"/>
      <c r="H47" s="268"/>
      <c r="I47" s="989"/>
      <c r="K47" s="50"/>
      <c r="L47" s="353"/>
      <c r="M47" s="481"/>
      <c r="N47" s="481"/>
      <c r="O47" s="481"/>
      <c r="P47" s="481"/>
      <c r="Q47" s="481"/>
      <c r="R47" s="481"/>
      <c r="S47" s="481"/>
      <c r="T47" s="481"/>
      <c r="U47" s="481"/>
      <c r="V47" s="481"/>
    </row>
    <row r="48" spans="1:22">
      <c r="A48" s="1071">
        <f>ROW()</f>
        <v>48</v>
      </c>
      <c r="B48" s="1331"/>
      <c r="C48" s="1331"/>
      <c r="D48" s="1331"/>
      <c r="E48" s="987"/>
      <c r="F48" s="987"/>
      <c r="G48" s="988"/>
      <c r="H48" s="268"/>
      <c r="I48" s="989"/>
      <c r="K48" s="50"/>
      <c r="L48" s="353"/>
      <c r="M48" s="481"/>
      <c r="N48" s="481"/>
      <c r="O48" s="481"/>
      <c r="P48" s="481"/>
      <c r="Q48" s="481"/>
      <c r="R48" s="481"/>
      <c r="S48" s="481"/>
      <c r="T48" s="481"/>
      <c r="U48" s="481"/>
      <c r="V48" s="481"/>
    </row>
    <row r="49" spans="1:22">
      <c r="A49" s="1071">
        <f>ROW()</f>
        <v>49</v>
      </c>
      <c r="B49" s="1331"/>
      <c r="C49" s="1331"/>
      <c r="D49" s="1331"/>
      <c r="E49" s="987"/>
      <c r="F49" s="987"/>
      <c r="G49" s="988"/>
      <c r="H49" s="268"/>
      <c r="I49" s="989"/>
      <c r="K49" s="50"/>
      <c r="L49" s="353"/>
      <c r="M49" s="481"/>
      <c r="N49" s="481"/>
      <c r="O49" s="481"/>
      <c r="P49" s="481"/>
      <c r="Q49" s="481"/>
      <c r="R49" s="481"/>
      <c r="S49" s="481"/>
      <c r="T49" s="481"/>
      <c r="U49" s="481"/>
      <c r="V49" s="481"/>
    </row>
    <row r="50" spans="1:22">
      <c r="A50" s="992">
        <f>ROW()</f>
        <v>50</v>
      </c>
      <c r="B50" s="1331"/>
      <c r="C50" s="1331"/>
      <c r="D50" s="1331"/>
      <c r="E50" s="987"/>
      <c r="F50" s="987"/>
      <c r="G50" s="988"/>
      <c r="H50" s="268">
        <v>0</v>
      </c>
      <c r="I50" s="1583">
        <v>0</v>
      </c>
      <c r="K50" s="50"/>
      <c r="L50" s="353"/>
      <c r="M50" s="481"/>
      <c r="N50" s="481"/>
      <c r="O50" s="481"/>
      <c r="P50" s="481"/>
      <c r="Q50" s="481"/>
      <c r="R50" s="481"/>
      <c r="S50" s="481"/>
      <c r="T50" s="481"/>
      <c r="U50" s="481"/>
      <c r="V50" s="481"/>
    </row>
    <row r="51" spans="1:22">
      <c r="A51" s="66"/>
      <c r="B51" s="1622"/>
      <c r="C51" s="1622"/>
      <c r="D51" s="1622"/>
      <c r="E51" s="1622"/>
      <c r="F51" s="1623"/>
      <c r="G51" s="1623">
        <f>SUM(H35:H50)</f>
        <v>0</v>
      </c>
      <c r="H51" s="1624">
        <f>IFERROR(SUMPRODUCT(H35:H50,I35:I50)/G51,0)</f>
        <v>0</v>
      </c>
      <c r="I51" s="1625"/>
      <c r="K51" s="327"/>
      <c r="L51" s="353"/>
      <c r="M51" s="481"/>
      <c r="N51" s="481"/>
      <c r="O51" s="481"/>
      <c r="P51" s="481"/>
      <c r="Q51" s="481"/>
      <c r="R51" s="481"/>
      <c r="S51" s="481"/>
      <c r="T51" s="481"/>
      <c r="U51" s="481"/>
      <c r="V51" s="481"/>
    </row>
    <row r="52" spans="1:22">
      <c r="A52" s="66"/>
      <c r="B52" s="1626" t="s">
        <v>1477</v>
      </c>
      <c r="C52" s="1627"/>
      <c r="D52" s="1627"/>
      <c r="E52" s="1628"/>
      <c r="F52" s="1629"/>
      <c r="G52" s="1629"/>
      <c r="H52" s="1630"/>
      <c r="I52" s="1625"/>
      <c r="K52" s="327"/>
      <c r="L52" s="353"/>
      <c r="M52" s="481"/>
      <c r="N52" s="481"/>
      <c r="O52" s="481"/>
      <c r="P52" s="481"/>
      <c r="Q52" s="481"/>
      <c r="R52" s="481"/>
      <c r="S52" s="481"/>
      <c r="T52" s="481"/>
      <c r="U52" s="481"/>
      <c r="V52" s="481"/>
    </row>
    <row r="53" spans="1:22">
      <c r="A53" s="66"/>
      <c r="B53" s="168" t="s">
        <v>1478</v>
      </c>
      <c r="C53" s="43"/>
      <c r="D53" s="43"/>
      <c r="E53" s="43"/>
      <c r="F53" s="164"/>
      <c r="G53" s="164"/>
      <c r="H53" s="328"/>
      <c r="I53" s="52"/>
      <c r="K53" s="327"/>
      <c r="L53" s="353"/>
      <c r="M53" s="481"/>
      <c r="N53" s="481"/>
      <c r="O53" s="481"/>
      <c r="P53" s="481"/>
      <c r="Q53" s="481"/>
      <c r="R53" s="481"/>
      <c r="S53" s="481"/>
      <c r="T53" s="481"/>
      <c r="U53" s="481"/>
      <c r="V53" s="481"/>
    </row>
    <row r="54" spans="1:22">
      <c r="A54" s="66"/>
      <c r="B54" s="43"/>
      <c r="C54" s="43"/>
      <c r="D54" s="43"/>
      <c r="E54" s="43"/>
      <c r="F54" s="164"/>
      <c r="G54" s="164"/>
      <c r="H54" s="328"/>
      <c r="I54" s="52"/>
      <c r="K54" s="327"/>
      <c r="L54" s="353"/>
      <c r="M54" s="481"/>
      <c r="N54" s="481"/>
      <c r="O54" s="481"/>
      <c r="P54" s="481"/>
      <c r="Q54" s="481"/>
      <c r="R54" s="481"/>
      <c r="S54" s="481"/>
      <c r="T54" s="481"/>
      <c r="U54" s="481"/>
      <c r="V54" s="481"/>
    </row>
    <row r="55" spans="1:22">
      <c r="A55" s="66"/>
      <c r="B55" s="43" t="s">
        <v>238</v>
      </c>
      <c r="C55" s="43"/>
      <c r="D55" s="43"/>
      <c r="E55" s="43"/>
      <c r="F55" s="164"/>
      <c r="G55" s="164"/>
      <c r="H55" s="328"/>
      <c r="I55" s="52"/>
      <c r="K55" s="327"/>
      <c r="L55" s="353"/>
      <c r="M55" s="481"/>
      <c r="N55" s="481"/>
      <c r="O55" s="481"/>
      <c r="P55" s="481"/>
      <c r="Q55" s="481"/>
      <c r="R55" s="481"/>
      <c r="S55" s="481"/>
      <c r="T55" s="481"/>
      <c r="U55" s="481"/>
      <c r="V55" s="481"/>
    </row>
    <row r="56" spans="1:22">
      <c r="A56" s="66"/>
      <c r="B56" s="168" t="s">
        <v>239</v>
      </c>
      <c r="C56" s="43"/>
      <c r="D56" s="43"/>
      <c r="E56" s="43"/>
      <c r="F56" s="164"/>
      <c r="G56" s="164"/>
      <c r="H56" s="328"/>
      <c r="I56" s="52"/>
      <c r="K56" s="327"/>
      <c r="L56" s="353"/>
      <c r="M56" s="481"/>
      <c r="N56" s="481"/>
      <c r="O56" s="481"/>
      <c r="P56" s="481"/>
      <c r="Q56" s="481"/>
      <c r="R56" s="481"/>
      <c r="S56" s="481"/>
      <c r="T56" s="481"/>
      <c r="U56" s="481"/>
      <c r="V56" s="481"/>
    </row>
    <row r="57" spans="1:22">
      <c r="A57" s="66"/>
      <c r="B57" s="43"/>
      <c r="C57" s="43"/>
      <c r="D57" s="43"/>
      <c r="E57" s="43"/>
      <c r="F57" s="164"/>
      <c r="G57" s="164"/>
      <c r="H57" s="328"/>
      <c r="I57" s="52"/>
      <c r="K57" s="327"/>
      <c r="L57" s="353"/>
      <c r="M57" s="481"/>
      <c r="N57" s="481"/>
      <c r="O57" s="481"/>
      <c r="P57" s="481"/>
      <c r="Q57" s="481"/>
      <c r="R57" s="481"/>
      <c r="S57" s="481"/>
      <c r="T57" s="481"/>
      <c r="U57" s="481"/>
      <c r="V57" s="481"/>
    </row>
    <row r="58" spans="1:22" ht="15.6">
      <c r="A58" s="206" t="s">
        <v>1260</v>
      </c>
      <c r="B58" s="493"/>
      <c r="C58" s="493"/>
      <c r="D58" s="493"/>
      <c r="E58" s="71"/>
      <c r="F58" s="743"/>
      <c r="G58" s="744"/>
      <c r="H58" s="744"/>
      <c r="I58" s="52"/>
      <c r="L58" s="353"/>
      <c r="M58" s="481"/>
      <c r="N58" s="481"/>
      <c r="O58" s="481"/>
      <c r="P58" s="481"/>
      <c r="Q58" s="481"/>
      <c r="R58" s="481"/>
      <c r="S58" s="481"/>
      <c r="T58" s="481"/>
      <c r="U58" s="481"/>
      <c r="V58" s="481"/>
    </row>
    <row r="59" spans="1:22" ht="35.25" customHeight="1">
      <c r="A59" s="205"/>
      <c r="B59" s="2204" t="s">
        <v>1258</v>
      </c>
      <c r="C59" s="2204"/>
      <c r="D59" s="1410"/>
      <c r="E59" s="1620" t="s">
        <v>1300</v>
      </c>
      <c r="F59" s="754" t="s">
        <v>229</v>
      </c>
      <c r="G59" s="755" t="s">
        <v>230</v>
      </c>
      <c r="H59" s="755" t="s">
        <v>231</v>
      </c>
      <c r="I59" s="756" t="s">
        <v>232</v>
      </c>
      <c r="L59" s="993" t="s">
        <v>240</v>
      </c>
      <c r="M59" s="481"/>
      <c r="N59" s="481"/>
      <c r="O59" s="481"/>
      <c r="P59" s="481"/>
      <c r="Q59" s="481"/>
      <c r="R59" s="481"/>
      <c r="S59" s="481"/>
      <c r="T59" s="481"/>
      <c r="U59" s="481"/>
      <c r="V59" s="481"/>
    </row>
    <row r="60" spans="1:22">
      <c r="A60" s="644">
        <f>ROW()</f>
        <v>60</v>
      </c>
      <c r="B60" s="2205" t="s">
        <v>81</v>
      </c>
      <c r="C60" s="2205"/>
      <c r="D60" s="2205"/>
      <c r="E60" s="308"/>
      <c r="F60" s="308"/>
      <c r="G60" s="309"/>
      <c r="H60" s="266">
        <v>0</v>
      </c>
      <c r="I60" s="916">
        <v>1</v>
      </c>
      <c r="L60" s="353"/>
      <c r="M60" s="481"/>
      <c r="N60" s="481"/>
      <c r="O60" s="481"/>
      <c r="P60" s="481"/>
      <c r="Q60" s="481"/>
      <c r="R60" s="481"/>
      <c r="S60" s="481"/>
      <c r="T60" s="481"/>
      <c r="U60" s="481"/>
      <c r="V60" s="481"/>
    </row>
    <row r="61" spans="1:22">
      <c r="A61" s="643">
        <f>ROW()</f>
        <v>61</v>
      </c>
      <c r="B61" s="2206"/>
      <c r="C61" s="2206"/>
      <c r="D61" s="2206"/>
      <c r="E61" s="308"/>
      <c r="F61" s="308"/>
      <c r="G61" s="309"/>
      <c r="H61" s="266">
        <v>0</v>
      </c>
      <c r="I61" s="917">
        <v>0</v>
      </c>
      <c r="L61" s="353"/>
      <c r="M61" s="481"/>
      <c r="N61" s="481"/>
      <c r="O61" s="481"/>
      <c r="P61" s="481"/>
      <c r="Q61" s="481"/>
      <c r="R61" s="481"/>
      <c r="S61" s="481"/>
      <c r="T61" s="481"/>
      <c r="U61" s="481"/>
      <c r="V61" s="481"/>
    </row>
    <row r="62" spans="1:22">
      <c r="A62" s="643">
        <f>ROW()</f>
        <v>62</v>
      </c>
      <c r="B62" s="2206"/>
      <c r="C62" s="2206"/>
      <c r="D62" s="2206"/>
      <c r="E62" s="308"/>
      <c r="F62" s="308"/>
      <c r="G62" s="309"/>
      <c r="H62" s="266">
        <v>0</v>
      </c>
      <c r="I62" s="917">
        <v>0</v>
      </c>
      <c r="L62" s="353"/>
      <c r="M62" s="481"/>
      <c r="N62" s="481"/>
      <c r="O62" s="481"/>
      <c r="P62" s="481"/>
      <c r="Q62" s="481"/>
      <c r="R62" s="481"/>
      <c r="S62" s="481"/>
      <c r="T62" s="481"/>
      <c r="U62" s="481"/>
      <c r="V62" s="481"/>
    </row>
    <row r="63" spans="1:22">
      <c r="A63" s="643">
        <f>ROW()</f>
        <v>63</v>
      </c>
      <c r="B63" s="2206"/>
      <c r="C63" s="2206"/>
      <c r="D63" s="2206"/>
      <c r="E63" s="308"/>
      <c r="F63" s="308"/>
      <c r="G63" s="309"/>
      <c r="H63" s="266">
        <v>0</v>
      </c>
      <c r="I63" s="917">
        <v>0</v>
      </c>
      <c r="L63" s="353"/>
      <c r="M63" s="481"/>
      <c r="N63" s="481"/>
      <c r="O63" s="481"/>
      <c r="P63" s="481"/>
      <c r="Q63" s="481"/>
      <c r="R63" s="481"/>
      <c r="S63" s="481"/>
      <c r="T63" s="481"/>
      <c r="U63" s="481"/>
      <c r="V63" s="481"/>
    </row>
    <row r="64" spans="1:22">
      <c r="A64" s="643">
        <f>ROW()</f>
        <v>64</v>
      </c>
      <c r="B64" s="2206"/>
      <c r="C64" s="2206"/>
      <c r="D64" s="2206"/>
      <c r="E64" s="308"/>
      <c r="F64" s="308"/>
      <c r="G64" s="309"/>
      <c r="H64" s="266">
        <v>0</v>
      </c>
      <c r="I64" s="917">
        <v>0</v>
      </c>
      <c r="L64" s="353"/>
      <c r="M64" s="481"/>
      <c r="N64" s="481"/>
      <c r="O64" s="481"/>
      <c r="P64" s="481"/>
      <c r="Q64" s="481"/>
      <c r="R64" s="481"/>
      <c r="S64" s="481"/>
      <c r="T64" s="481"/>
      <c r="U64" s="481"/>
      <c r="V64" s="481"/>
    </row>
    <row r="65" spans="1:22">
      <c r="A65" s="643">
        <f>ROW()</f>
        <v>65</v>
      </c>
      <c r="B65" s="1330"/>
      <c r="C65" s="1330"/>
      <c r="D65" s="1330"/>
      <c r="E65" s="308"/>
      <c r="F65" s="308"/>
      <c r="G65" s="309"/>
      <c r="H65" s="266">
        <v>0</v>
      </c>
      <c r="I65" s="917">
        <v>0</v>
      </c>
      <c r="L65" s="353"/>
      <c r="M65" s="481"/>
      <c r="N65" s="481"/>
      <c r="O65" s="481"/>
      <c r="P65" s="481"/>
      <c r="Q65" s="481"/>
      <c r="R65" s="481"/>
      <c r="S65" s="481"/>
      <c r="T65" s="481"/>
      <c r="U65" s="481"/>
      <c r="V65" s="481"/>
    </row>
    <row r="66" spans="1:22">
      <c r="A66" s="643">
        <f>ROW()</f>
        <v>66</v>
      </c>
      <c r="B66" s="1330"/>
      <c r="C66" s="1330"/>
      <c r="D66" s="1330"/>
      <c r="E66" s="308"/>
      <c r="F66" s="308"/>
      <c r="G66" s="309"/>
      <c r="H66" s="266">
        <v>0</v>
      </c>
      <c r="I66" s="917">
        <v>0</v>
      </c>
      <c r="L66" s="353"/>
      <c r="M66" s="481"/>
      <c r="N66" s="481"/>
      <c r="O66" s="481"/>
      <c r="P66" s="481"/>
      <c r="Q66" s="481"/>
      <c r="R66" s="481"/>
      <c r="S66" s="481"/>
      <c r="T66" s="481"/>
      <c r="U66" s="481"/>
      <c r="V66" s="481"/>
    </row>
    <row r="67" spans="1:22">
      <c r="A67" s="643">
        <f>ROW()</f>
        <v>67</v>
      </c>
      <c r="B67" s="1330"/>
      <c r="C67" s="1330"/>
      <c r="D67" s="1330"/>
      <c r="E67" s="308"/>
      <c r="F67" s="308"/>
      <c r="G67" s="309"/>
      <c r="H67" s="266">
        <v>0</v>
      </c>
      <c r="I67" s="917">
        <v>0</v>
      </c>
      <c r="L67" s="353"/>
      <c r="M67" s="481"/>
      <c r="N67" s="481"/>
      <c r="O67" s="481"/>
      <c r="P67" s="481"/>
      <c r="Q67" s="481"/>
      <c r="R67" s="481"/>
      <c r="S67" s="481"/>
      <c r="T67" s="481"/>
      <c r="U67" s="481"/>
      <c r="V67" s="481"/>
    </row>
    <row r="68" spans="1:22">
      <c r="A68" s="643">
        <f>ROW()</f>
        <v>68</v>
      </c>
      <c r="B68" s="1330"/>
      <c r="C68" s="1330"/>
      <c r="D68" s="1330"/>
      <c r="E68" s="308"/>
      <c r="F68" s="308"/>
      <c r="G68" s="309"/>
      <c r="H68" s="266">
        <v>0</v>
      </c>
      <c r="I68" s="917">
        <v>0</v>
      </c>
      <c r="L68" s="353"/>
      <c r="M68" s="481"/>
      <c r="N68" s="481"/>
      <c r="O68" s="481"/>
      <c r="P68" s="481"/>
      <c r="Q68" s="481"/>
      <c r="R68" s="481"/>
      <c r="S68" s="481"/>
      <c r="T68" s="481"/>
      <c r="U68" s="481"/>
      <c r="V68" s="481"/>
    </row>
    <row r="69" spans="1:22">
      <c r="A69" s="992">
        <f>ROW()</f>
        <v>69</v>
      </c>
      <c r="B69" s="2207"/>
      <c r="C69" s="2207"/>
      <c r="D69" s="2207"/>
      <c r="E69" s="987"/>
      <c r="F69" s="987"/>
      <c r="G69" s="988"/>
      <c r="H69" s="268">
        <v>0</v>
      </c>
      <c r="I69" s="989">
        <v>0</v>
      </c>
      <c r="L69" s="353"/>
      <c r="M69" s="481"/>
      <c r="N69" s="481"/>
      <c r="O69" s="481"/>
      <c r="P69" s="481"/>
      <c r="Q69" s="481"/>
      <c r="R69" s="481"/>
      <c r="S69" s="481"/>
      <c r="T69" s="481"/>
      <c r="U69" s="481"/>
      <c r="V69" s="481"/>
    </row>
    <row r="70" spans="1:22" ht="13.5" customHeight="1">
      <c r="A70" s="66"/>
      <c r="B70" s="151"/>
      <c r="C70" s="151"/>
      <c r="D70" s="151"/>
      <c r="E70" s="151"/>
      <c r="F70" s="151"/>
      <c r="G70" s="990"/>
      <c r="H70" s="990">
        <f>SUM(H60:H69)</f>
        <v>0</v>
      </c>
      <c r="I70" s="991">
        <f>IFERROR(SUMPRODUCT(H60:H69,I60:I69)/H70,0)</f>
        <v>0</v>
      </c>
      <c r="K70" s="164"/>
      <c r="L70" s="353"/>
      <c r="M70" s="481"/>
      <c r="N70" s="481"/>
      <c r="O70" s="481"/>
      <c r="P70" s="481"/>
      <c r="Q70" s="481"/>
      <c r="R70" s="481"/>
      <c r="S70" s="481"/>
      <c r="T70" s="481"/>
      <c r="U70" s="481"/>
      <c r="V70" s="481"/>
    </row>
    <row r="71" spans="1:22">
      <c r="A71" s="66"/>
      <c r="B71" s="48"/>
      <c r="C71" s="48"/>
      <c r="D71" s="48"/>
      <c r="E71" s="43"/>
      <c r="F71" s="75"/>
      <c r="G71" s="76"/>
      <c r="H71" s="76"/>
      <c r="I71" s="52"/>
      <c r="K71" s="164"/>
      <c r="L71" s="353"/>
      <c r="M71" s="481"/>
      <c r="N71" s="481"/>
      <c r="O71" s="481"/>
      <c r="P71" s="481"/>
      <c r="Q71" s="481"/>
      <c r="R71" s="481"/>
      <c r="S71" s="481"/>
      <c r="T71" s="481"/>
      <c r="U71" s="481"/>
      <c r="V71" s="481"/>
    </row>
    <row r="72" spans="1:22">
      <c r="I72" s="52"/>
      <c r="M72" s="481"/>
      <c r="N72" s="481"/>
      <c r="O72" s="481"/>
      <c r="P72" s="481"/>
      <c r="Q72" s="481"/>
      <c r="R72" s="481"/>
      <c r="S72" s="481"/>
      <c r="T72" s="481"/>
      <c r="U72" s="481"/>
      <c r="V72" s="481"/>
    </row>
    <row r="73" spans="1:22">
      <c r="M73" s="481"/>
      <c r="N73" s="481"/>
      <c r="O73" s="481"/>
      <c r="P73" s="481"/>
      <c r="Q73" s="481"/>
      <c r="R73" s="481"/>
      <c r="S73" s="481"/>
      <c r="T73" s="481"/>
      <c r="U73" s="481"/>
      <c r="V73" s="481"/>
    </row>
    <row r="74" spans="1:22">
      <c r="M74" s="481"/>
      <c r="N74" s="481"/>
      <c r="O74" s="481"/>
      <c r="P74" s="481"/>
      <c r="Q74" s="481"/>
      <c r="R74" s="481"/>
      <c r="S74" s="481"/>
      <c r="T74" s="481"/>
      <c r="U74" s="481"/>
      <c r="V74" s="481"/>
    </row>
    <row r="75" spans="1:22">
      <c r="M75" s="481"/>
      <c r="N75" s="481"/>
      <c r="O75" s="481"/>
      <c r="P75" s="481"/>
      <c r="Q75" s="481"/>
      <c r="R75" s="481"/>
      <c r="S75" s="481"/>
      <c r="T75" s="481"/>
      <c r="U75" s="481"/>
      <c r="V75" s="481"/>
    </row>
    <row r="76" spans="1:22">
      <c r="M76" s="481"/>
      <c r="N76" s="481"/>
      <c r="O76" s="481"/>
      <c r="P76" s="481"/>
      <c r="Q76" s="481"/>
      <c r="R76" s="481"/>
      <c r="S76" s="481"/>
      <c r="T76" s="481"/>
      <c r="U76" s="481"/>
      <c r="V76" s="481"/>
    </row>
    <row r="77" spans="1:22">
      <c r="M77" s="481"/>
      <c r="N77" s="481"/>
      <c r="O77" s="481"/>
      <c r="P77" s="481"/>
      <c r="Q77" s="481"/>
      <c r="R77" s="481"/>
      <c r="S77" s="481"/>
      <c r="T77" s="481"/>
      <c r="U77" s="481"/>
      <c r="V77" s="481"/>
    </row>
    <row r="78" spans="1:22">
      <c r="M78" s="481"/>
      <c r="N78" s="481"/>
      <c r="O78" s="481"/>
      <c r="P78" s="481"/>
      <c r="Q78" s="481"/>
      <c r="R78" s="481"/>
      <c r="S78" s="481"/>
      <c r="T78" s="481"/>
      <c r="U78" s="481"/>
      <c r="V78" s="481"/>
    </row>
    <row r="79" spans="1:22">
      <c r="M79" s="481"/>
      <c r="N79" s="481"/>
      <c r="O79" s="481"/>
      <c r="P79" s="481"/>
      <c r="Q79" s="481"/>
      <c r="R79" s="481"/>
      <c r="S79" s="481"/>
      <c r="T79" s="481"/>
      <c r="U79" s="481"/>
      <c r="V79" s="481"/>
    </row>
    <row r="80" spans="1:22">
      <c r="M80" s="481"/>
      <c r="N80" s="481"/>
      <c r="O80" s="481"/>
      <c r="P80" s="481"/>
      <c r="Q80" s="481"/>
      <c r="R80" s="481"/>
      <c r="S80" s="481"/>
      <c r="T80" s="481"/>
      <c r="U80" s="481"/>
      <c r="V80" s="481"/>
    </row>
    <row r="81" spans="13:22">
      <c r="M81" s="481"/>
      <c r="N81" s="481"/>
      <c r="O81" s="481"/>
      <c r="P81" s="481"/>
      <c r="Q81" s="481"/>
      <c r="R81" s="481"/>
      <c r="S81" s="481"/>
      <c r="T81" s="481"/>
      <c r="U81" s="481"/>
      <c r="V81" s="481"/>
    </row>
    <row r="82" spans="13:22">
      <c r="M82" s="481"/>
      <c r="N82" s="481"/>
      <c r="O82" s="481"/>
      <c r="P82" s="481"/>
      <c r="Q82" s="481"/>
      <c r="R82" s="481"/>
      <c r="S82" s="481"/>
      <c r="T82" s="481"/>
      <c r="U82" s="481"/>
      <c r="V82" s="481"/>
    </row>
    <row r="83" spans="13:22">
      <c r="M83" s="481"/>
      <c r="N83" s="481"/>
      <c r="O83" s="481"/>
      <c r="P83" s="481"/>
      <c r="Q83" s="481"/>
      <c r="R83" s="481"/>
      <c r="S83" s="481"/>
      <c r="T83" s="481"/>
      <c r="U83" s="481"/>
      <c r="V83" s="481"/>
    </row>
    <row r="84" spans="13:22">
      <c r="M84" s="481"/>
      <c r="N84" s="481"/>
      <c r="O84" s="481"/>
      <c r="P84" s="481"/>
      <c r="Q84" s="481"/>
      <c r="R84" s="481"/>
      <c r="S84" s="481"/>
      <c r="T84" s="481"/>
      <c r="U84" s="481"/>
      <c r="V84" s="481"/>
    </row>
  </sheetData>
  <sheetProtection algorithmName="SHA-512" hashValue="AhuTn5oK79qD/1RV1M4Pn+Ev8gRfIx9W2+tUdYm0FRiqkiHEMj5PoM+FdR/0klbKaZhjPH0qB2v208mtIhKIKA==" saltValue="ueBQ1gwN/vM9UXCjCg+ARg==" spinCount="100000" sheet="1" objects="1" scenarios="1"/>
  <mergeCells count="17">
    <mergeCell ref="B69:D69"/>
    <mergeCell ref="B60:D60"/>
    <mergeCell ref="B61:D61"/>
    <mergeCell ref="B62:D62"/>
    <mergeCell ref="B63:D63"/>
    <mergeCell ref="B64:D64"/>
    <mergeCell ref="B34:C34"/>
    <mergeCell ref="B59:C59"/>
    <mergeCell ref="B35:D35"/>
    <mergeCell ref="B36:D36"/>
    <mergeCell ref="B37:D37"/>
    <mergeCell ref="B38:D38"/>
    <mergeCell ref="B39:D39"/>
    <mergeCell ref="B40:D40"/>
    <mergeCell ref="B41:D41"/>
    <mergeCell ref="B42:D42"/>
    <mergeCell ref="B45:D45"/>
  </mergeCells>
  <conditionalFormatting sqref="B14:C26">
    <cfRule type="expression" dxfId="632" priority="66" stopIfTrue="1">
      <formula>MOD(ROW(),2)=0</formula>
    </cfRule>
  </conditionalFormatting>
  <conditionalFormatting sqref="D14:J26">
    <cfRule type="cellIs" dxfId="631" priority="67" stopIfTrue="1" operator="equal">
      <formula>0</formula>
    </cfRule>
  </conditionalFormatting>
  <conditionalFormatting sqref="D11:D12">
    <cfRule type="cellIs" dxfId="630" priority="68" stopIfTrue="1" operator="equal">
      <formula>0</formula>
    </cfRule>
  </conditionalFormatting>
  <conditionalFormatting sqref="E11:J12">
    <cfRule type="cellIs" dxfId="629" priority="69" stopIfTrue="1" operator="equal">
      <formula>0</formula>
    </cfRule>
  </conditionalFormatting>
  <conditionalFormatting sqref="D1">
    <cfRule type="expression" dxfId="628" priority="7" stopIfTrue="1">
      <formula>MOD(ROW(),2)=0</formula>
    </cfRule>
  </conditionalFormatting>
  <hyperlinks>
    <hyperlink ref="D1" location="HypLink1" display="HypLink1" xr:uid="{A10A35EE-80B5-4044-9D6A-1FACE9E32D18}"/>
  </hyperlinks>
  <pageMargins left="0.25" right="0.25" top="0.5" bottom="0.45" header="0.25" footer="0.25"/>
  <pageSetup scale="89" fitToHeight="4" orientation="landscape" r:id="rId1"/>
  <headerFooter>
    <oddHeader xml:space="preserve">&amp;L &amp;C &amp;R </oddHeader>
    <oddFooter>&amp;L&amp;7&amp;D  at &amp;T Mike 702.854.0691&amp;C&amp;7&amp;F  &amp;A&amp;R&amp;7Page &amp;P of &amp;N</oddFooter>
  </headerFooter>
  <rowBreaks count="1" manualBreakCount="1">
    <brk id="32" max="1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00B050"/>
  </sheetPr>
  <dimension ref="A1:N146"/>
  <sheetViews>
    <sheetView showGridLines="0" topLeftCell="A108" zoomScaleNormal="100" workbookViewId="0">
      <selection activeCell="G130" sqref="G130"/>
    </sheetView>
  </sheetViews>
  <sheetFormatPr defaultColWidth="8.88671875" defaultRowHeight="13.8" outlineLevelRow="1"/>
  <cols>
    <col min="1" max="1" width="5.5546875" style="35" customWidth="1"/>
    <col min="2" max="2" width="44.109375" style="35" customWidth="1"/>
    <col min="3" max="3" width="17.6640625" style="35" customWidth="1"/>
    <col min="4" max="4" width="8.88671875" style="35" customWidth="1"/>
    <col min="5" max="5" width="11" style="35" customWidth="1"/>
    <col min="6" max="6" width="15.33203125" style="35" customWidth="1"/>
    <col min="7" max="7" width="16.109375" style="35" customWidth="1"/>
    <col min="8" max="9" width="21" style="35" customWidth="1"/>
    <col min="10" max="12" width="17" style="35" customWidth="1"/>
    <col min="13" max="13" width="1.109375" style="35" customWidth="1"/>
    <col min="14" max="14" width="88.5546875" style="317" customWidth="1"/>
    <col min="15" max="24" width="12.33203125" style="35" customWidth="1"/>
    <col min="25" max="16384" width="8.88671875" style="35"/>
  </cols>
  <sheetData>
    <row r="1" spans="1:14" ht="17.399999999999999">
      <c r="A1" s="130" t="s">
        <v>241</v>
      </c>
      <c r="B1" s="37"/>
      <c r="D1" s="438" t="s">
        <v>2</v>
      </c>
      <c r="E1" s="438"/>
    </row>
    <row r="2" spans="1:14" ht="15.6">
      <c r="A2" s="121" t="str">
        <f>SchoolName</f>
        <v>Eagle Charter Schools of Nevada</v>
      </c>
      <c r="B2" s="40"/>
    </row>
    <row r="3" spans="1:14">
      <c r="A3" s="41" t="s">
        <v>72</v>
      </c>
      <c r="K3" s="33"/>
    </row>
    <row r="4" spans="1:14">
      <c r="A4" s="42" t="s">
        <v>73</v>
      </c>
    </row>
    <row r="5" spans="1:14">
      <c r="A5" s="32" t="str">
        <f ca="1">CELL("filename")</f>
        <v>C:\Users\Nicho\Desktop\[Attachment 2.  Eagle NV RFA 12.16.22.xlsx]CF Y1 Mo</v>
      </c>
    </row>
    <row r="6" spans="1:14" ht="15.6">
      <c r="A6" s="66"/>
      <c r="D6" s="67" t="s">
        <v>242</v>
      </c>
      <c r="E6" s="67"/>
      <c r="G6" s="270"/>
      <c r="J6" s="67"/>
    </row>
    <row r="7" spans="1:14">
      <c r="A7" s="66"/>
      <c r="D7" s="34" t="s">
        <v>243</v>
      </c>
      <c r="E7" s="34"/>
      <c r="G7" s="34"/>
      <c r="J7" s="34"/>
    </row>
    <row r="8" spans="1:14">
      <c r="A8" s="66"/>
      <c r="F8" s="34"/>
      <c r="G8" s="33"/>
    </row>
    <row r="9" spans="1:14">
      <c r="A9" s="66"/>
      <c r="B9" s="33"/>
      <c r="F9" s="759" t="s">
        <v>206</v>
      </c>
      <c r="G9" s="760">
        <v>1</v>
      </c>
      <c r="H9" s="760">
        <f>1+G9</f>
        <v>2</v>
      </c>
      <c r="I9" s="760">
        <f>1+H9</f>
        <v>3</v>
      </c>
      <c r="J9" s="760">
        <f>1+I9</f>
        <v>4</v>
      </c>
      <c r="K9" s="760">
        <f>1+J9</f>
        <v>5</v>
      </c>
      <c r="L9" s="1333">
        <f>1+K9</f>
        <v>6</v>
      </c>
    </row>
    <row r="10" spans="1:14">
      <c r="A10" s="356"/>
      <c r="B10" s="68"/>
      <c r="F10" s="761">
        <f>+G10-1</f>
        <v>2022</v>
      </c>
      <c r="G10" s="762">
        <f>Cover!E11</f>
        <v>2023</v>
      </c>
      <c r="H10" s="762">
        <f>+G11</f>
        <v>2024</v>
      </c>
      <c r="I10" s="762">
        <f>+H11</f>
        <v>2025</v>
      </c>
      <c r="J10" s="762">
        <f>+I11</f>
        <v>2026</v>
      </c>
      <c r="K10" s="762">
        <f>+J11</f>
        <v>2027</v>
      </c>
      <c r="L10" s="763">
        <f>+K11</f>
        <v>2028</v>
      </c>
    </row>
    <row r="11" spans="1:14" ht="17.399999999999999">
      <c r="A11" s="356">
        <f>ROW()</f>
        <v>11</v>
      </c>
      <c r="B11" s="767" t="s">
        <v>241</v>
      </c>
      <c r="C11" s="768" t="s">
        <v>244</v>
      </c>
      <c r="D11" s="769"/>
      <c r="E11" s="1318"/>
      <c r="F11" s="764">
        <f>+G11-1</f>
        <v>2023</v>
      </c>
      <c r="G11" s="765">
        <f t="shared" ref="G11:L11" si="0">+G10+1</f>
        <v>2024</v>
      </c>
      <c r="H11" s="765">
        <f t="shared" si="0"/>
        <v>2025</v>
      </c>
      <c r="I11" s="765">
        <f t="shared" si="0"/>
        <v>2026</v>
      </c>
      <c r="J11" s="765">
        <f t="shared" si="0"/>
        <v>2027</v>
      </c>
      <c r="K11" s="765">
        <f t="shared" si="0"/>
        <v>2028</v>
      </c>
      <c r="L11" s="766">
        <f t="shared" si="0"/>
        <v>2029</v>
      </c>
    </row>
    <row r="12" spans="1:14" ht="15.6">
      <c r="A12" s="356">
        <f>ROW()</f>
        <v>12</v>
      </c>
      <c r="B12" s="82" t="s">
        <v>245</v>
      </c>
      <c r="D12" s="667"/>
      <c r="E12" s="667"/>
      <c r="F12" s="255"/>
      <c r="G12" s="1344"/>
      <c r="H12" s="1344"/>
      <c r="I12" s="1344"/>
      <c r="J12" s="1344"/>
      <c r="K12" s="1344"/>
      <c r="L12" s="1344"/>
    </row>
    <row r="13" spans="1:14" ht="15.6">
      <c r="A13" s="356">
        <f>ROW()</f>
        <v>13</v>
      </c>
      <c r="B13" s="918" t="s">
        <v>122</v>
      </c>
      <c r="C13" s="919"/>
      <c r="D13" s="919"/>
      <c r="E13" s="919"/>
      <c r="F13" s="769"/>
      <c r="G13" s="768"/>
      <c r="H13" s="768"/>
      <c r="I13" s="768"/>
      <c r="J13" s="768"/>
      <c r="K13" s="768"/>
      <c r="L13" s="768"/>
      <c r="N13" s="1615" t="s">
        <v>95</v>
      </c>
    </row>
    <row r="14" spans="1:14" ht="15.6">
      <c r="A14" s="356">
        <f>ROW()</f>
        <v>14</v>
      </c>
      <c r="B14" s="33"/>
      <c r="F14" s="293"/>
      <c r="G14" s="302"/>
      <c r="H14" s="302"/>
      <c r="I14" s="302"/>
      <c r="J14" s="302"/>
      <c r="K14" s="302"/>
      <c r="L14" s="302"/>
      <c r="N14" s="1479"/>
    </row>
    <row r="15" spans="1:14" ht="15.6">
      <c r="A15" s="356">
        <f>ROW()</f>
        <v>15</v>
      </c>
      <c r="B15" s="757" t="s">
        <v>1248</v>
      </c>
      <c r="C15" s="758"/>
      <c r="D15" s="758"/>
      <c r="E15" s="758"/>
      <c r="F15" s="1494"/>
      <c r="G15" s="1495"/>
      <c r="H15" s="1495"/>
      <c r="I15" s="1495"/>
      <c r="J15" s="1495"/>
      <c r="K15" s="1495"/>
      <c r="L15" s="1495"/>
      <c r="N15" s="491"/>
    </row>
    <row r="16" spans="1:14">
      <c r="A16" s="356">
        <f>ROW()</f>
        <v>16</v>
      </c>
      <c r="B16" s="697" t="s">
        <v>209</v>
      </c>
      <c r="C16" s="554"/>
      <c r="D16" s="554"/>
      <c r="E16" s="554"/>
      <c r="F16" s="698"/>
      <c r="G16" s="865">
        <f t="shared" ref="G16:L16" si="1">COUNTIF(G22:G34,"&gt;0")</f>
        <v>6</v>
      </c>
      <c r="H16" s="865">
        <f t="shared" si="1"/>
        <v>7</v>
      </c>
      <c r="I16" s="865">
        <f t="shared" si="1"/>
        <v>8</v>
      </c>
      <c r="J16" s="865">
        <f t="shared" si="1"/>
        <v>9</v>
      </c>
      <c r="K16" s="865">
        <f t="shared" si="1"/>
        <v>9</v>
      </c>
      <c r="L16" s="865">
        <f t="shared" si="1"/>
        <v>9</v>
      </c>
      <c r="N16" s="353"/>
    </row>
    <row r="17" spans="1:14">
      <c r="A17" s="356">
        <f>ROW()</f>
        <v>17</v>
      </c>
      <c r="B17" s="72" t="s">
        <v>246</v>
      </c>
      <c r="C17" s="74"/>
      <c r="D17" s="74"/>
      <c r="E17" s="74"/>
      <c r="F17" s="522"/>
      <c r="G17" s="661">
        <v>27</v>
      </c>
      <c r="H17" s="661">
        <v>27</v>
      </c>
      <c r="I17" s="661">
        <v>27</v>
      </c>
      <c r="J17" s="661">
        <v>27</v>
      </c>
      <c r="K17" s="661">
        <v>27</v>
      </c>
      <c r="L17" s="661">
        <v>27</v>
      </c>
      <c r="N17" s="353"/>
    </row>
    <row r="18" spans="1:14">
      <c r="A18" s="356">
        <f>ROW()</f>
        <v>18</v>
      </c>
      <c r="B18" s="72" t="s">
        <v>247</v>
      </c>
      <c r="C18" s="74"/>
      <c r="D18" s="74"/>
      <c r="E18" s="74"/>
      <c r="F18" s="522"/>
      <c r="G18" s="866">
        <f>IFERROR(+G35/G17,0)</f>
        <v>20</v>
      </c>
      <c r="H18" s="866">
        <f t="shared" ref="H18:L18" si="2">IFERROR(+H35/H17,0)</f>
        <v>24</v>
      </c>
      <c r="I18" s="866">
        <f t="shared" si="2"/>
        <v>28</v>
      </c>
      <c r="J18" s="866">
        <f t="shared" si="2"/>
        <v>32</v>
      </c>
      <c r="K18" s="866">
        <f t="shared" si="2"/>
        <v>33</v>
      </c>
      <c r="L18" s="866">
        <f t="shared" si="2"/>
        <v>34</v>
      </c>
      <c r="N18" s="353"/>
    </row>
    <row r="19" spans="1:14">
      <c r="A19" s="356">
        <f>ROW()</f>
        <v>19</v>
      </c>
      <c r="B19" s="72" t="s">
        <v>248</v>
      </c>
      <c r="C19" s="74"/>
      <c r="D19" s="74"/>
      <c r="E19" s="74"/>
      <c r="F19" s="522"/>
      <c r="G19" s="867">
        <v>0</v>
      </c>
      <c r="H19" s="868">
        <v>0</v>
      </c>
      <c r="I19" s="868">
        <v>0</v>
      </c>
      <c r="J19" s="868">
        <v>0</v>
      </c>
      <c r="K19" s="868">
        <v>0</v>
      </c>
      <c r="L19" s="868"/>
      <c r="N19" s="353"/>
    </row>
    <row r="20" spans="1:14">
      <c r="A20" s="356">
        <f>ROW()</f>
        <v>20</v>
      </c>
      <c r="B20" s="696" t="s">
        <v>249</v>
      </c>
      <c r="C20" s="712"/>
      <c r="D20" s="712"/>
      <c r="E20" s="712"/>
      <c r="F20" s="713"/>
      <c r="G20" s="869">
        <f>IFERROR(G35/G19,0)</f>
        <v>0</v>
      </c>
      <c r="H20" s="869">
        <f t="shared" ref="H20:L20" si="3">IFERROR(H35/H19,0)</f>
        <v>0</v>
      </c>
      <c r="I20" s="869">
        <f t="shared" si="3"/>
        <v>0</v>
      </c>
      <c r="J20" s="869">
        <f t="shared" si="3"/>
        <v>0</v>
      </c>
      <c r="K20" s="869">
        <f t="shared" si="3"/>
        <v>0</v>
      </c>
      <c r="L20" s="869">
        <f t="shared" si="3"/>
        <v>0</v>
      </c>
      <c r="N20" s="353"/>
    </row>
    <row r="21" spans="1:14">
      <c r="A21" s="356">
        <f>ROW()</f>
        <v>21</v>
      </c>
      <c r="B21" s="43"/>
      <c r="C21" s="43"/>
      <c r="D21" s="43"/>
      <c r="E21" s="43"/>
      <c r="F21" s="260"/>
      <c r="G21" s="260"/>
      <c r="H21" s="260"/>
      <c r="I21" s="260"/>
      <c r="J21" s="260"/>
      <c r="K21" s="260"/>
      <c r="L21" s="260"/>
      <c r="N21" s="353"/>
    </row>
    <row r="22" spans="1:14">
      <c r="A22" s="356">
        <f>ROW()</f>
        <v>22</v>
      </c>
      <c r="B22" s="151" t="s">
        <v>211</v>
      </c>
      <c r="C22" s="132"/>
      <c r="D22" s="132"/>
      <c r="E22" s="132"/>
      <c r="F22" s="711"/>
      <c r="G22" s="870">
        <f t="shared" ref="G22:L23" si="4">27*4</f>
        <v>108</v>
      </c>
      <c r="H22" s="870">
        <f t="shared" si="4"/>
        <v>108</v>
      </c>
      <c r="I22" s="870">
        <f t="shared" si="4"/>
        <v>108</v>
      </c>
      <c r="J22" s="870">
        <f t="shared" si="4"/>
        <v>108</v>
      </c>
      <c r="K22" s="870">
        <f t="shared" si="4"/>
        <v>108</v>
      </c>
      <c r="L22" s="870">
        <f t="shared" si="4"/>
        <v>108</v>
      </c>
      <c r="N22" s="353"/>
    </row>
    <row r="23" spans="1:14">
      <c r="A23" s="356">
        <f>ROW()</f>
        <v>23</v>
      </c>
      <c r="B23" s="72" t="s">
        <v>212</v>
      </c>
      <c r="C23" s="74"/>
      <c r="D23" s="74"/>
      <c r="E23" s="74"/>
      <c r="F23" s="520"/>
      <c r="G23" s="870">
        <f t="shared" si="4"/>
        <v>108</v>
      </c>
      <c r="H23" s="870">
        <f t="shared" si="4"/>
        <v>108</v>
      </c>
      <c r="I23" s="870">
        <f t="shared" si="4"/>
        <v>108</v>
      </c>
      <c r="J23" s="870">
        <f t="shared" si="4"/>
        <v>108</v>
      </c>
      <c r="K23" s="870">
        <f t="shared" si="4"/>
        <v>108</v>
      </c>
      <c r="L23" s="870">
        <f t="shared" si="4"/>
        <v>108</v>
      </c>
      <c r="N23" s="353"/>
    </row>
    <row r="24" spans="1:14">
      <c r="A24" s="356">
        <f>ROW()</f>
        <v>24</v>
      </c>
      <c r="B24" s="72" t="s">
        <v>213</v>
      </c>
      <c r="C24" s="74"/>
      <c r="D24" s="74"/>
      <c r="E24" s="74"/>
      <c r="F24" s="520"/>
      <c r="G24" s="870">
        <f>27*3</f>
        <v>81</v>
      </c>
      <c r="H24" s="870">
        <f>27*4</f>
        <v>108</v>
      </c>
      <c r="I24" s="870">
        <f>27*4</f>
        <v>108</v>
      </c>
      <c r="J24" s="870">
        <f>27*4</f>
        <v>108</v>
      </c>
      <c r="K24" s="870">
        <f>27*4</f>
        <v>108</v>
      </c>
      <c r="L24" s="870">
        <f>27*4</f>
        <v>108</v>
      </c>
      <c r="N24" s="353"/>
    </row>
    <row r="25" spans="1:14">
      <c r="A25" s="356">
        <f>ROW()</f>
        <v>25</v>
      </c>
      <c r="B25" s="72" t="s">
        <v>214</v>
      </c>
      <c r="C25" s="74"/>
      <c r="D25" s="74"/>
      <c r="E25" s="74"/>
      <c r="F25" s="520"/>
      <c r="G25" s="870">
        <f>27*3</f>
        <v>81</v>
      </c>
      <c r="H25" s="870">
        <f>27*3</f>
        <v>81</v>
      </c>
      <c r="I25" s="870">
        <f>27*4</f>
        <v>108</v>
      </c>
      <c r="J25" s="870">
        <f>27*4</f>
        <v>108</v>
      </c>
      <c r="K25" s="870">
        <f>27*4</f>
        <v>108</v>
      </c>
      <c r="L25" s="870">
        <f>27*4</f>
        <v>108</v>
      </c>
      <c r="N25" s="353"/>
    </row>
    <row r="26" spans="1:14">
      <c r="A26" s="356">
        <f>ROW()</f>
        <v>26</v>
      </c>
      <c r="B26" s="72" t="s">
        <v>215</v>
      </c>
      <c r="C26" s="74"/>
      <c r="D26" s="74"/>
      <c r="E26" s="74"/>
      <c r="F26" s="520"/>
      <c r="G26" s="870">
        <f>27*3</f>
        <v>81</v>
      </c>
      <c r="H26" s="870">
        <f>27*3</f>
        <v>81</v>
      </c>
      <c r="I26" s="870">
        <f>27*3</f>
        <v>81</v>
      </c>
      <c r="J26" s="870">
        <f>27*4</f>
        <v>108</v>
      </c>
      <c r="K26" s="870">
        <f>27*4</f>
        <v>108</v>
      </c>
      <c r="L26" s="870">
        <f>27*4</f>
        <v>108</v>
      </c>
      <c r="N26" s="353"/>
    </row>
    <row r="27" spans="1:14">
      <c r="A27" s="356">
        <f>ROW()</f>
        <v>27</v>
      </c>
      <c r="B27" s="72" t="s">
        <v>216</v>
      </c>
      <c r="C27" s="74"/>
      <c r="D27" s="74"/>
      <c r="E27" s="74"/>
      <c r="F27" s="521"/>
      <c r="G27" s="870">
        <f>27*3</f>
        <v>81</v>
      </c>
      <c r="H27" s="870">
        <f>27*3</f>
        <v>81</v>
      </c>
      <c r="I27" s="870">
        <f>27*3</f>
        <v>81</v>
      </c>
      <c r="J27" s="870">
        <f>27*3</f>
        <v>81</v>
      </c>
      <c r="K27" s="870">
        <f>27*4</f>
        <v>108</v>
      </c>
      <c r="L27" s="870">
        <f>27*4</f>
        <v>108</v>
      </c>
      <c r="N27" s="353"/>
    </row>
    <row r="28" spans="1:14">
      <c r="A28" s="356">
        <f>ROW()</f>
        <v>28</v>
      </c>
      <c r="B28" s="72" t="s">
        <v>217</v>
      </c>
      <c r="C28" s="74"/>
      <c r="D28" s="74"/>
      <c r="E28" s="74"/>
      <c r="F28" s="521"/>
      <c r="G28" s="662">
        <v>0</v>
      </c>
      <c r="H28" s="870">
        <f>27*3</f>
        <v>81</v>
      </c>
      <c r="I28" s="870">
        <f>27*3</f>
        <v>81</v>
      </c>
      <c r="J28" s="870">
        <f>27*3</f>
        <v>81</v>
      </c>
      <c r="K28" s="870">
        <f>27*3</f>
        <v>81</v>
      </c>
      <c r="L28" s="870">
        <f>27*4</f>
        <v>108</v>
      </c>
      <c r="N28" s="353"/>
    </row>
    <row r="29" spans="1:14">
      <c r="A29" s="356">
        <f>ROW()</f>
        <v>29</v>
      </c>
      <c r="B29" s="72" t="s">
        <v>218</v>
      </c>
      <c r="C29" s="74"/>
      <c r="D29" s="74"/>
      <c r="E29" s="74"/>
      <c r="F29" s="521"/>
      <c r="G29" s="662">
        <v>0</v>
      </c>
      <c r="H29" s="662">
        <v>0</v>
      </c>
      <c r="I29" s="870">
        <f>27*3</f>
        <v>81</v>
      </c>
      <c r="J29" s="870">
        <f>27*3</f>
        <v>81</v>
      </c>
      <c r="K29" s="870">
        <f>27*3</f>
        <v>81</v>
      </c>
      <c r="L29" s="870">
        <f>27*3</f>
        <v>81</v>
      </c>
      <c r="N29" s="353"/>
    </row>
    <row r="30" spans="1:14">
      <c r="A30" s="356">
        <f>ROW()</f>
        <v>30</v>
      </c>
      <c r="B30" s="72" t="s">
        <v>219</v>
      </c>
      <c r="C30" s="74"/>
      <c r="D30" s="74"/>
      <c r="E30" s="74"/>
      <c r="F30" s="521"/>
      <c r="G30" s="662">
        <v>0</v>
      </c>
      <c r="H30" s="662">
        <v>0</v>
      </c>
      <c r="I30" s="662">
        <v>0</v>
      </c>
      <c r="J30" s="870">
        <f>27*3</f>
        <v>81</v>
      </c>
      <c r="K30" s="870">
        <f>27*3</f>
        <v>81</v>
      </c>
      <c r="L30" s="870">
        <f>27*3</f>
        <v>81</v>
      </c>
      <c r="N30" s="353"/>
    </row>
    <row r="31" spans="1:14">
      <c r="A31" s="356">
        <f>ROW()</f>
        <v>31</v>
      </c>
      <c r="B31" s="72" t="s">
        <v>220</v>
      </c>
      <c r="C31" s="74"/>
      <c r="D31" s="74"/>
      <c r="E31" s="74"/>
      <c r="F31" s="521"/>
      <c r="G31" s="662">
        <v>0</v>
      </c>
      <c r="H31" s="662">
        <v>0</v>
      </c>
      <c r="I31" s="662">
        <v>0</v>
      </c>
      <c r="J31" s="662">
        <v>0</v>
      </c>
      <c r="K31" s="870"/>
      <c r="L31" s="662">
        <v>0</v>
      </c>
      <c r="N31" s="353"/>
    </row>
    <row r="32" spans="1:14">
      <c r="A32" s="356">
        <f>ROW()</f>
        <v>32</v>
      </c>
      <c r="B32" s="72" t="s">
        <v>221</v>
      </c>
      <c r="C32" s="74"/>
      <c r="D32" s="74"/>
      <c r="E32" s="74"/>
      <c r="F32" s="521"/>
      <c r="G32" s="662">
        <v>0</v>
      </c>
      <c r="H32" s="662">
        <v>0</v>
      </c>
      <c r="I32" s="662">
        <v>0</v>
      </c>
      <c r="J32" s="662">
        <v>0</v>
      </c>
      <c r="K32" s="662">
        <v>0</v>
      </c>
      <c r="L32" s="662">
        <v>0</v>
      </c>
      <c r="N32" s="353"/>
    </row>
    <row r="33" spans="1:14">
      <c r="A33" s="356">
        <f>ROW()</f>
        <v>33</v>
      </c>
      <c r="B33" s="72" t="s">
        <v>222</v>
      </c>
      <c r="C33" s="74"/>
      <c r="D33" s="74"/>
      <c r="E33" s="74"/>
      <c r="F33" s="521"/>
      <c r="G33" s="662">
        <v>0</v>
      </c>
      <c r="H33" s="662">
        <v>0</v>
      </c>
      <c r="I33" s="662">
        <v>0</v>
      </c>
      <c r="J33" s="662">
        <v>0</v>
      </c>
      <c r="K33" s="662">
        <v>0</v>
      </c>
      <c r="L33" s="662">
        <v>0</v>
      </c>
      <c r="N33" s="353"/>
    </row>
    <row r="34" spans="1:14">
      <c r="A34" s="356">
        <f>ROW()</f>
        <v>34</v>
      </c>
      <c r="B34" s="72" t="s">
        <v>223</v>
      </c>
      <c r="F34" s="873"/>
      <c r="G34" s="663">
        <v>0</v>
      </c>
      <c r="H34" s="663">
        <v>0</v>
      </c>
      <c r="I34" s="663">
        <v>0</v>
      </c>
      <c r="J34" s="663">
        <v>0</v>
      </c>
      <c r="K34" s="663">
        <v>0</v>
      </c>
      <c r="L34" s="663">
        <v>0</v>
      </c>
      <c r="N34" s="353"/>
    </row>
    <row r="35" spans="1:14">
      <c r="A35" s="356">
        <f>ROW()</f>
        <v>35</v>
      </c>
      <c r="B35" s="151" t="s">
        <v>224</v>
      </c>
      <c r="C35" s="132"/>
      <c r="D35" s="132"/>
      <c r="E35" s="132"/>
      <c r="F35" s="133"/>
      <c r="G35" s="1345">
        <f t="shared" ref="G35:L35" si="5">SUM(G22:G34)</f>
        <v>540</v>
      </c>
      <c r="H35" s="1345">
        <f t="shared" si="5"/>
        <v>648</v>
      </c>
      <c r="I35" s="1345">
        <f t="shared" si="5"/>
        <v>756</v>
      </c>
      <c r="J35" s="1345">
        <f t="shared" si="5"/>
        <v>864</v>
      </c>
      <c r="K35" s="1345">
        <f t="shared" si="5"/>
        <v>891</v>
      </c>
      <c r="L35" s="1345">
        <f t="shared" si="5"/>
        <v>918</v>
      </c>
      <c r="N35" s="353"/>
    </row>
    <row r="36" spans="1:14">
      <c r="A36" s="356">
        <f>ROW()</f>
        <v>36</v>
      </c>
      <c r="B36" s="82" t="s">
        <v>1391</v>
      </c>
      <c r="G36" s="1575">
        <v>425</v>
      </c>
      <c r="N36" s="353"/>
    </row>
    <row r="37" spans="1:14" ht="14.4">
      <c r="A37" s="356">
        <f>ROW()</f>
        <v>37</v>
      </c>
      <c r="B37" s="129" t="s">
        <v>250</v>
      </c>
      <c r="F37" s="524"/>
      <c r="G37" s="871">
        <v>0.8</v>
      </c>
      <c r="H37" s="871">
        <v>0.8</v>
      </c>
      <c r="I37" s="871">
        <v>0.8</v>
      </c>
      <c r="J37" s="871">
        <v>0.8</v>
      </c>
      <c r="K37" s="871">
        <v>0.8</v>
      </c>
      <c r="L37" s="871">
        <v>0.8</v>
      </c>
      <c r="N37" s="353"/>
    </row>
    <row r="38" spans="1:14" ht="14.4">
      <c r="A38" s="356">
        <f>ROW()</f>
        <v>38</v>
      </c>
      <c r="B38" s="129" t="s">
        <v>251</v>
      </c>
      <c r="F38" s="76"/>
      <c r="G38" s="872">
        <f t="shared" ref="G38:L38" si="6">+G35*(1-G37)</f>
        <v>107.99999999999997</v>
      </c>
      <c r="H38" s="872">
        <f t="shared" si="6"/>
        <v>129.59999999999997</v>
      </c>
      <c r="I38" s="872">
        <f t="shared" si="6"/>
        <v>151.19999999999996</v>
      </c>
      <c r="J38" s="872">
        <f t="shared" si="6"/>
        <v>172.79999999999995</v>
      </c>
      <c r="K38" s="872">
        <f t="shared" si="6"/>
        <v>178.19999999999996</v>
      </c>
      <c r="L38" s="872">
        <f t="shared" si="6"/>
        <v>183.59999999999997</v>
      </c>
      <c r="N38" s="353"/>
    </row>
    <row r="39" spans="1:14" ht="14.4">
      <c r="A39" s="356">
        <f>ROW()</f>
        <v>39</v>
      </c>
      <c r="B39" s="129"/>
      <c r="F39" s="76"/>
      <c r="G39" s="872"/>
      <c r="H39" s="872"/>
      <c r="I39" s="872"/>
      <c r="J39" s="872"/>
      <c r="K39" s="872"/>
      <c r="L39" s="872"/>
      <c r="N39" s="353"/>
    </row>
    <row r="40" spans="1:14">
      <c r="A40" s="356">
        <f>ROW()</f>
        <v>40</v>
      </c>
      <c r="B40" s="1556" t="s">
        <v>1372</v>
      </c>
      <c r="C40" s="1481"/>
      <c r="D40" s="1481"/>
      <c r="E40" s="1481"/>
      <c r="F40" s="1482"/>
      <c r="G40" s="1483"/>
      <c r="H40" s="1482"/>
      <c r="I40" s="1482"/>
      <c r="J40" s="1482"/>
      <c r="K40" s="1482"/>
      <c r="L40" s="1482"/>
      <c r="N40" s="353"/>
    </row>
    <row r="41" spans="1:14">
      <c r="A41" s="356">
        <f>ROW()</f>
        <v>41</v>
      </c>
      <c r="B41" s="1479"/>
      <c r="C41" s="1320"/>
      <c r="D41" s="1303" t="s">
        <v>1249</v>
      </c>
      <c r="E41" s="1303"/>
      <c r="F41" s="317"/>
      <c r="G41" s="317"/>
      <c r="H41" s="317"/>
      <c r="I41" s="317"/>
      <c r="J41" s="317"/>
      <c r="K41" s="317"/>
      <c r="L41" s="317"/>
      <c r="N41" s="353"/>
    </row>
    <row r="42" spans="1:14">
      <c r="A42" s="356">
        <f>ROW()</f>
        <v>42</v>
      </c>
      <c r="B42" s="317"/>
      <c r="C42" s="1303"/>
      <c r="D42" s="1303" t="s">
        <v>1244</v>
      </c>
      <c r="E42" s="1303"/>
      <c r="F42" s="317"/>
      <c r="G42" s="317"/>
      <c r="H42" s="317"/>
      <c r="I42" s="317"/>
      <c r="J42" s="317"/>
      <c r="K42" s="317"/>
      <c r="L42" s="317"/>
      <c r="N42" s="353"/>
    </row>
    <row r="43" spans="1:14">
      <c r="A43" s="356">
        <f>ROW()</f>
        <v>43</v>
      </c>
      <c r="B43" s="1305"/>
      <c r="C43" s="1304"/>
      <c r="D43" s="1305"/>
      <c r="E43" s="1306"/>
      <c r="F43" s="1478"/>
      <c r="G43" s="1478"/>
      <c r="H43" s="1478"/>
      <c r="I43" s="1478"/>
      <c r="J43" s="1478"/>
      <c r="K43" s="1478"/>
      <c r="L43" s="1478"/>
      <c r="N43" s="353"/>
    </row>
    <row r="44" spans="1:14" ht="14.4">
      <c r="A44" s="356">
        <f>ROW()</f>
        <v>44</v>
      </c>
      <c r="B44" s="1641" t="s">
        <v>1460</v>
      </c>
      <c r="C44" s="1465"/>
      <c r="D44" s="1496">
        <v>0.15</v>
      </c>
      <c r="E44" s="1465"/>
      <c r="F44" s="1548"/>
      <c r="G44" s="1553">
        <f t="shared" ref="G44:L47" si="7">+$D44*G$35</f>
        <v>81</v>
      </c>
      <c r="H44" s="1553">
        <f t="shared" si="7"/>
        <v>97.2</v>
      </c>
      <c r="I44" s="1553">
        <f t="shared" si="7"/>
        <v>113.39999999999999</v>
      </c>
      <c r="J44" s="1553">
        <f t="shared" si="7"/>
        <v>129.6</v>
      </c>
      <c r="K44" s="1553">
        <f t="shared" si="7"/>
        <v>133.65</v>
      </c>
      <c r="L44" s="1553">
        <f t="shared" si="7"/>
        <v>137.69999999999999</v>
      </c>
      <c r="N44" s="353"/>
    </row>
    <row r="45" spans="1:14">
      <c r="A45" s="356">
        <f>ROW()</f>
        <v>45</v>
      </c>
      <c r="B45" s="1321" t="s">
        <v>1254</v>
      </c>
      <c r="C45" s="1465"/>
      <c r="D45" s="1496">
        <v>0.3</v>
      </c>
      <c r="E45" s="1465"/>
      <c r="F45" s="1549"/>
      <c r="G45" s="1553">
        <f t="shared" si="7"/>
        <v>162</v>
      </c>
      <c r="H45" s="1553">
        <f t="shared" si="7"/>
        <v>194.4</v>
      </c>
      <c r="I45" s="1553">
        <f t="shared" si="7"/>
        <v>226.79999999999998</v>
      </c>
      <c r="J45" s="1553">
        <f t="shared" si="7"/>
        <v>259.2</v>
      </c>
      <c r="K45" s="1553">
        <f t="shared" si="7"/>
        <v>267.3</v>
      </c>
      <c r="L45" s="1553">
        <f t="shared" si="7"/>
        <v>275.39999999999998</v>
      </c>
      <c r="N45" s="353"/>
    </row>
    <row r="46" spans="1:14" ht="14.4">
      <c r="A46" s="356">
        <f>ROW()</f>
        <v>46</v>
      </c>
      <c r="B46" s="1321" t="s">
        <v>254</v>
      </c>
      <c r="C46" s="1465"/>
      <c r="D46" s="1496">
        <v>0</v>
      </c>
      <c r="E46" s="1466"/>
      <c r="F46" s="1550"/>
      <c r="G46" s="1553">
        <f t="shared" si="7"/>
        <v>0</v>
      </c>
      <c r="H46" s="1553">
        <f t="shared" si="7"/>
        <v>0</v>
      </c>
      <c r="I46" s="1553">
        <f t="shared" si="7"/>
        <v>0</v>
      </c>
      <c r="J46" s="1553">
        <f t="shared" si="7"/>
        <v>0</v>
      </c>
      <c r="K46" s="1553">
        <f t="shared" si="7"/>
        <v>0</v>
      </c>
      <c r="L46" s="1553">
        <f t="shared" si="7"/>
        <v>0</v>
      </c>
      <c r="N46" s="353"/>
    </row>
    <row r="47" spans="1:14" ht="14.4">
      <c r="A47" s="356">
        <f>ROW()</f>
        <v>47</v>
      </c>
      <c r="B47" s="1321" t="s">
        <v>1303</v>
      </c>
      <c r="C47" s="1465"/>
      <c r="D47" s="1496">
        <v>0.9</v>
      </c>
      <c r="E47" s="1465"/>
      <c r="F47" s="1550"/>
      <c r="G47" s="1553">
        <f t="shared" si="7"/>
        <v>486</v>
      </c>
      <c r="H47" s="1553">
        <f t="shared" si="7"/>
        <v>583.20000000000005</v>
      </c>
      <c r="I47" s="1553">
        <f t="shared" si="7"/>
        <v>680.4</v>
      </c>
      <c r="J47" s="1553">
        <f t="shared" si="7"/>
        <v>777.6</v>
      </c>
      <c r="K47" s="1553">
        <f t="shared" si="7"/>
        <v>801.9</v>
      </c>
      <c r="L47" s="1553">
        <f t="shared" si="7"/>
        <v>826.2</v>
      </c>
      <c r="N47" s="353"/>
    </row>
    <row r="48" spans="1:14" ht="14.4">
      <c r="A48" s="356">
        <f>ROW()</f>
        <v>48</v>
      </c>
      <c r="B48" s="1322"/>
      <c r="C48" s="1308"/>
      <c r="D48" s="1467"/>
      <c r="E48" s="1467"/>
      <c r="F48" s="1551"/>
      <c r="G48" s="1552"/>
      <c r="H48" s="1552"/>
      <c r="I48" s="1552"/>
      <c r="J48" s="1552"/>
      <c r="K48" s="1552"/>
      <c r="L48" s="1552"/>
      <c r="N48" s="353"/>
    </row>
    <row r="49" spans="1:14">
      <c r="A49" s="356">
        <f>ROW()</f>
        <v>49</v>
      </c>
      <c r="B49" s="1323" t="s">
        <v>1426</v>
      </c>
      <c r="C49" s="317"/>
      <c r="D49" s="1414">
        <f>SUM(D44:D48)</f>
        <v>1.35</v>
      </c>
      <c r="E49" s="1415"/>
      <c r="F49" s="1546" t="s">
        <v>1369</v>
      </c>
      <c r="G49" s="1547">
        <f>SUM(G44:G48)</f>
        <v>729</v>
      </c>
      <c r="H49" s="1547">
        <f t="shared" ref="H49:L49" si="8">SUM(H44:H48)</f>
        <v>874.80000000000007</v>
      </c>
      <c r="I49" s="1547">
        <f t="shared" si="8"/>
        <v>1020.5999999999999</v>
      </c>
      <c r="J49" s="1547">
        <f t="shared" si="8"/>
        <v>1166.4000000000001</v>
      </c>
      <c r="K49" s="1547">
        <f t="shared" si="8"/>
        <v>1202.8499999999999</v>
      </c>
      <c r="L49" s="1547">
        <f t="shared" si="8"/>
        <v>1239.3</v>
      </c>
      <c r="N49" s="353"/>
    </row>
    <row r="50" spans="1:14">
      <c r="A50" s="356">
        <f>ROW()</f>
        <v>50</v>
      </c>
      <c r="B50" s="1323"/>
      <c r="C50" s="317"/>
      <c r="D50" s="317"/>
      <c r="E50" s="317"/>
      <c r="F50" s="1325"/>
      <c r="G50" s="1326"/>
      <c r="H50" s="1326"/>
      <c r="I50" s="1326"/>
      <c r="J50" s="1326"/>
      <c r="K50" s="1326"/>
      <c r="L50" s="1326"/>
      <c r="N50" s="353"/>
    </row>
    <row r="51" spans="1:14" ht="14.4">
      <c r="A51" s="356">
        <f>ROW()</f>
        <v>51</v>
      </c>
      <c r="B51" s="192"/>
      <c r="F51" s="76"/>
      <c r="G51" s="872"/>
      <c r="H51" s="872"/>
      <c r="I51" s="872"/>
      <c r="J51" s="872"/>
      <c r="K51" s="872"/>
      <c r="L51" s="872"/>
      <c r="N51" s="353"/>
    </row>
    <row r="52" spans="1:14">
      <c r="A52" s="356">
        <f>ROW()</f>
        <v>52</v>
      </c>
      <c r="B52" s="1480" t="s">
        <v>1462</v>
      </c>
      <c r="C52" s="1481"/>
      <c r="D52" s="1481"/>
      <c r="E52" s="1481"/>
      <c r="F52" s="1482"/>
      <c r="G52" s="1483"/>
      <c r="H52" s="1482"/>
      <c r="I52" s="1482"/>
      <c r="J52" s="1482"/>
      <c r="K52" s="1482"/>
      <c r="L52" s="1482"/>
      <c r="N52" s="353"/>
    </row>
    <row r="53" spans="1:14">
      <c r="A53" s="356">
        <f>ROW()</f>
        <v>53</v>
      </c>
      <c r="B53" s="1631" t="s">
        <v>1463</v>
      </c>
      <c r="C53" s="104"/>
      <c r="D53" s="104"/>
      <c r="E53" s="104"/>
      <c r="F53" s="1632"/>
      <c r="G53" s="1632"/>
      <c r="H53" s="1632"/>
      <c r="I53" s="1632"/>
      <c r="J53" s="1632"/>
      <c r="K53" s="1632"/>
      <c r="L53" s="1632"/>
      <c r="N53" s="353"/>
    </row>
    <row r="54" spans="1:14">
      <c r="A54" s="356">
        <f>ROW()</f>
        <v>54</v>
      </c>
      <c r="B54" s="1631" t="s">
        <v>1444</v>
      </c>
      <c r="C54" s="1632"/>
      <c r="D54" s="1631"/>
      <c r="E54" s="1632"/>
      <c r="F54" s="1632"/>
      <c r="G54" s="1632"/>
      <c r="H54" s="1632"/>
      <c r="I54" s="1632"/>
      <c r="J54" s="1632"/>
      <c r="K54" s="1632"/>
      <c r="L54" s="1632"/>
      <c r="N54" s="353"/>
    </row>
    <row r="55" spans="1:14">
      <c r="A55" s="356">
        <f>ROW()</f>
        <v>55</v>
      </c>
      <c r="B55" s="1631" t="s">
        <v>1447</v>
      </c>
      <c r="C55" s="1632"/>
      <c r="D55" s="1631"/>
      <c r="E55" s="1632"/>
      <c r="F55" s="1632"/>
      <c r="G55" s="1632"/>
      <c r="H55" s="1632"/>
      <c r="I55" s="1632"/>
      <c r="J55" s="1632"/>
      <c r="K55" s="1632"/>
      <c r="L55" s="1632"/>
      <c r="N55" s="353"/>
    </row>
    <row r="56" spans="1:14">
      <c r="A56" s="356">
        <f>ROW()</f>
        <v>56</v>
      </c>
      <c r="B56" s="1631" t="s">
        <v>1464</v>
      </c>
      <c r="C56" s="1632"/>
      <c r="D56" s="1631"/>
      <c r="E56" s="1632"/>
      <c r="F56" s="1632"/>
      <c r="G56" s="1632"/>
      <c r="H56" s="1632"/>
      <c r="I56" s="1632"/>
      <c r="J56" s="1632"/>
      <c r="K56" s="1632"/>
      <c r="L56" s="1632"/>
      <c r="N56" s="353"/>
    </row>
    <row r="57" spans="1:14">
      <c r="A57" s="356">
        <f>ROW()</f>
        <v>57</v>
      </c>
      <c r="B57" s="1631"/>
      <c r="C57" s="1632"/>
      <c r="D57" s="1631"/>
      <c r="E57" s="1632"/>
      <c r="F57" s="1632"/>
      <c r="G57" s="1632"/>
      <c r="H57" s="1632"/>
      <c r="I57" s="1632"/>
      <c r="J57" s="1632"/>
      <c r="K57" s="1632"/>
      <c r="L57" s="1632"/>
      <c r="N57" s="353"/>
    </row>
    <row r="58" spans="1:14">
      <c r="A58" s="356">
        <f>ROW()</f>
        <v>58</v>
      </c>
      <c r="B58" s="1320"/>
      <c r="C58" s="1303" t="s">
        <v>1446</v>
      </c>
      <c r="D58" s="1320" t="s">
        <v>1367</v>
      </c>
      <c r="E58" s="1303" t="s">
        <v>1250</v>
      </c>
      <c r="F58" s="317"/>
      <c r="G58" s="317"/>
      <c r="H58" s="317"/>
      <c r="I58" s="317"/>
      <c r="J58" s="317"/>
      <c r="K58" s="317"/>
      <c r="L58" s="317"/>
      <c r="N58" s="353"/>
    </row>
    <row r="59" spans="1:14">
      <c r="A59" s="356">
        <f>ROW()</f>
        <v>59</v>
      </c>
      <c r="B59" s="317"/>
      <c r="C59" s="1303" t="s">
        <v>1445</v>
      </c>
      <c r="D59" s="1303" t="s">
        <v>1368</v>
      </c>
      <c r="E59" s="1303" t="s">
        <v>1445</v>
      </c>
      <c r="F59" s="317"/>
      <c r="G59" s="317"/>
      <c r="H59" s="317"/>
      <c r="I59" s="317"/>
      <c r="J59" s="317"/>
      <c r="K59" s="317"/>
      <c r="L59" s="317"/>
      <c r="N59" s="353"/>
    </row>
    <row r="60" spans="1:14">
      <c r="A60" s="356">
        <f>ROW()</f>
        <v>60</v>
      </c>
      <c r="B60" s="1305"/>
      <c r="C60" s="1305"/>
      <c r="D60" s="1305"/>
      <c r="E60" s="1306"/>
      <c r="F60" s="1307"/>
      <c r="G60" s="1307"/>
      <c r="H60" s="1307"/>
      <c r="I60" s="1307"/>
      <c r="J60" s="1307"/>
      <c r="K60" s="1307"/>
      <c r="L60" s="1307"/>
      <c r="N60" s="353"/>
    </row>
    <row r="61" spans="1:14">
      <c r="A61" s="356">
        <f>ROW()</f>
        <v>61</v>
      </c>
      <c r="B61" s="1641" t="s">
        <v>1460</v>
      </c>
      <c r="C61" s="1584">
        <f>+D44</f>
        <v>0.15</v>
      </c>
      <c r="D61" s="1585">
        <v>1</v>
      </c>
      <c r="E61" s="1585">
        <f>+C61</f>
        <v>0.15</v>
      </c>
      <c r="F61" s="1284"/>
      <c r="G61" s="1285">
        <f t="shared" ref="G61:L61" si="9">+$E61*G$35</f>
        <v>81</v>
      </c>
      <c r="H61" s="1285">
        <f t="shared" si="9"/>
        <v>97.2</v>
      </c>
      <c r="I61" s="1285">
        <f t="shared" si="9"/>
        <v>113.39999999999999</v>
      </c>
      <c r="J61" s="1285">
        <f t="shared" si="9"/>
        <v>129.6</v>
      </c>
      <c r="K61" s="1285">
        <f t="shared" si="9"/>
        <v>133.65</v>
      </c>
      <c r="L61" s="1285">
        <f t="shared" si="9"/>
        <v>137.69999999999999</v>
      </c>
      <c r="N61" s="353"/>
    </row>
    <row r="62" spans="1:14">
      <c r="A62" s="356">
        <f>ROW()</f>
        <v>62</v>
      </c>
      <c r="B62" s="1321" t="s">
        <v>253</v>
      </c>
      <c r="C62" s="1584">
        <f>+D45</f>
        <v>0.3</v>
      </c>
      <c r="D62" s="1585">
        <v>0.8579</v>
      </c>
      <c r="E62" s="1585">
        <f>+C62*D62</f>
        <v>0.25736999999999999</v>
      </c>
      <c r="F62" s="1301"/>
      <c r="G62" s="1302">
        <f>+$E62*G$35</f>
        <v>138.97979999999998</v>
      </c>
      <c r="H62" s="1302">
        <f t="shared" ref="H62:L64" si="10">+$E62*H$35</f>
        <v>166.77575999999999</v>
      </c>
      <c r="I62" s="1302">
        <f t="shared" si="10"/>
        <v>194.57172</v>
      </c>
      <c r="J62" s="1302">
        <f t="shared" si="10"/>
        <v>222.36767999999998</v>
      </c>
      <c r="K62" s="1302">
        <f t="shared" si="10"/>
        <v>229.31666999999999</v>
      </c>
      <c r="L62" s="1302">
        <f t="shared" si="10"/>
        <v>236.26566</v>
      </c>
      <c r="N62" s="353"/>
    </row>
    <row r="63" spans="1:14">
      <c r="A63" s="356">
        <f>ROW()</f>
        <v>63</v>
      </c>
      <c r="B63" s="1321" t="s">
        <v>254</v>
      </c>
      <c r="C63" s="1584">
        <f>+D46</f>
        <v>0</v>
      </c>
      <c r="D63" s="1585">
        <v>0.9556</v>
      </c>
      <c r="E63" s="1633">
        <f t="shared" ref="E63" si="11">+C63*D63</f>
        <v>0</v>
      </c>
      <c r="F63" s="1286"/>
      <c r="G63" s="1285">
        <f>+$E63*G$35</f>
        <v>0</v>
      </c>
      <c r="H63" s="1285">
        <f t="shared" si="10"/>
        <v>0</v>
      </c>
      <c r="I63" s="1285">
        <f t="shared" si="10"/>
        <v>0</v>
      </c>
      <c r="J63" s="1285">
        <f t="shared" si="10"/>
        <v>0</v>
      </c>
      <c r="K63" s="1285">
        <f t="shared" si="10"/>
        <v>0</v>
      </c>
      <c r="L63" s="1285">
        <f t="shared" si="10"/>
        <v>0</v>
      </c>
      <c r="N63" s="353"/>
    </row>
    <row r="64" spans="1:14">
      <c r="A64" s="356">
        <f>ROW()</f>
        <v>64</v>
      </c>
      <c r="B64" s="1321" t="s">
        <v>255</v>
      </c>
      <c r="C64" s="1584">
        <f>+D47</f>
        <v>0.9</v>
      </c>
      <c r="D64" s="1585">
        <v>0.76949999999999996</v>
      </c>
      <c r="E64" s="1585">
        <f>MIN(C64*D64,1-SUM(E61:E63))*0.9</f>
        <v>0.53336700000000004</v>
      </c>
      <c r="F64" s="1286"/>
      <c r="G64" s="1302">
        <f>+$E64*G$35</f>
        <v>288.01818000000003</v>
      </c>
      <c r="H64" s="1302">
        <f t="shared" si="10"/>
        <v>345.62181600000002</v>
      </c>
      <c r="I64" s="1302">
        <f t="shared" si="10"/>
        <v>403.22545200000002</v>
      </c>
      <c r="J64" s="1302">
        <f t="shared" si="10"/>
        <v>460.82908800000001</v>
      </c>
      <c r="K64" s="1302">
        <f t="shared" si="10"/>
        <v>475.22999700000003</v>
      </c>
      <c r="L64" s="1302">
        <f t="shared" si="10"/>
        <v>489.63090600000004</v>
      </c>
      <c r="N64" s="353"/>
    </row>
    <row r="65" spans="1:14">
      <c r="A65" s="356">
        <f>ROW()</f>
        <v>65</v>
      </c>
      <c r="B65" s="1322" t="s">
        <v>1304</v>
      </c>
      <c r="C65" s="1586">
        <v>0</v>
      </c>
      <c r="D65" s="1634">
        <v>0</v>
      </c>
      <c r="E65" s="1635">
        <v>0</v>
      </c>
      <c r="F65" s="1293"/>
      <c r="G65" s="1287">
        <f>G$35-SUM(G61:G64)</f>
        <v>32.002020000000016</v>
      </c>
      <c r="H65" s="1287">
        <f t="shared" ref="H65" si="12">H$35-SUM(H61:H64)</f>
        <v>38.402423999999996</v>
      </c>
      <c r="I65" s="1287">
        <f t="shared" ref="I65" si="13">I$35-SUM(I61:I64)</f>
        <v>44.802827999999977</v>
      </c>
      <c r="J65" s="1287">
        <f t="shared" ref="J65" si="14">J$35-SUM(J61:J64)</f>
        <v>51.203232000000071</v>
      </c>
      <c r="K65" s="1287">
        <f t="shared" ref="K65" si="15">K$35-SUM(K61:K64)</f>
        <v>52.803332999999952</v>
      </c>
      <c r="L65" s="1287">
        <f t="shared" ref="L65" si="16">L$35-SUM(L61:L64)</f>
        <v>54.403434000000061</v>
      </c>
      <c r="N65" s="353"/>
    </row>
    <row r="66" spans="1:14">
      <c r="A66" s="356">
        <f>ROW()</f>
        <v>66</v>
      </c>
      <c r="B66" s="317" t="s">
        <v>1305</v>
      </c>
      <c r="C66" s="1642">
        <f>SUM(C61:C65)</f>
        <v>1.35</v>
      </c>
      <c r="D66" s="1587"/>
      <c r="E66" s="1587">
        <f>SUM(E61:E65)</f>
        <v>0.94073700000000005</v>
      </c>
      <c r="F66" s="1324"/>
      <c r="G66" s="1472">
        <f>SUM(G61:G65)</f>
        <v>540</v>
      </c>
      <c r="H66" s="1472">
        <f t="shared" ref="H66:L66" si="17">SUM(H61:H65)</f>
        <v>648</v>
      </c>
      <c r="I66" s="1472">
        <f t="shared" si="17"/>
        <v>756</v>
      </c>
      <c r="J66" s="1472">
        <f t="shared" si="17"/>
        <v>864</v>
      </c>
      <c r="K66" s="1472">
        <f t="shared" si="17"/>
        <v>891</v>
      </c>
      <c r="L66" s="1472">
        <f t="shared" si="17"/>
        <v>918</v>
      </c>
      <c r="N66" s="353"/>
    </row>
    <row r="67" spans="1:14">
      <c r="A67" s="356">
        <f>ROW()</f>
        <v>67</v>
      </c>
      <c r="B67" s="317" t="s">
        <v>1247</v>
      </c>
      <c r="C67" s="1468" t="str">
        <f>IF(C66&gt;1,"Be sure next data tabe set =100%",0)</f>
        <v>Be sure next data tabe set =100%</v>
      </c>
      <c r="D67" s="1468"/>
      <c r="E67" s="1469"/>
      <c r="F67" s="1325"/>
      <c r="G67" s="1470">
        <f>SUM(G61:G64)</f>
        <v>507.99797999999998</v>
      </c>
      <c r="H67" s="1470">
        <f t="shared" ref="H67:L67" si="18">SUM(H61:H64)</f>
        <v>609.597576</v>
      </c>
      <c r="I67" s="1470">
        <f t="shared" si="18"/>
        <v>711.19717200000002</v>
      </c>
      <c r="J67" s="1470">
        <f t="shared" si="18"/>
        <v>812.79676799999993</v>
      </c>
      <c r="K67" s="1470">
        <f t="shared" si="18"/>
        <v>838.19666700000005</v>
      </c>
      <c r="L67" s="1470">
        <f t="shared" si="18"/>
        <v>863.59656599999994</v>
      </c>
      <c r="N67" s="353"/>
    </row>
    <row r="68" spans="1:14">
      <c r="A68" s="356">
        <f>ROW()</f>
        <v>68</v>
      </c>
      <c r="B68" s="317" t="s">
        <v>1246</v>
      </c>
      <c r="C68" s="317"/>
      <c r="D68" s="1468"/>
      <c r="E68" s="1469"/>
      <c r="F68" s="1325"/>
      <c r="G68" s="1471">
        <f>+G67/G66</f>
        <v>0.94073699999999993</v>
      </c>
      <c r="H68" s="1471">
        <f t="shared" ref="H68:L68" si="19">+H67/H66</f>
        <v>0.94073700000000005</v>
      </c>
      <c r="I68" s="1471">
        <f t="shared" si="19"/>
        <v>0.94073700000000005</v>
      </c>
      <c r="J68" s="1471">
        <f t="shared" si="19"/>
        <v>0.94073699999999993</v>
      </c>
      <c r="K68" s="1471">
        <f t="shared" si="19"/>
        <v>0.94073700000000005</v>
      </c>
      <c r="L68" s="1471">
        <f t="shared" si="19"/>
        <v>0.94073699999999993</v>
      </c>
      <c r="N68" s="353"/>
    </row>
    <row r="69" spans="1:14">
      <c r="A69" s="356">
        <f>ROW()</f>
        <v>69</v>
      </c>
      <c r="B69" s="317" t="s">
        <v>1461</v>
      </c>
      <c r="C69" s="317"/>
      <c r="D69" s="317"/>
      <c r="E69" s="317"/>
      <c r="F69" s="1325"/>
      <c r="G69" s="1326" t="str">
        <f t="shared" ref="G69:L69" si="20">IF(G65&lt;0,"ERROR", "-")</f>
        <v>-</v>
      </c>
      <c r="H69" s="1326" t="str">
        <f t="shared" si="20"/>
        <v>-</v>
      </c>
      <c r="I69" s="1326" t="str">
        <f t="shared" si="20"/>
        <v>-</v>
      </c>
      <c r="J69" s="1326" t="str">
        <f t="shared" si="20"/>
        <v>-</v>
      </c>
      <c r="K69" s="1326" t="str">
        <f t="shared" si="20"/>
        <v>-</v>
      </c>
      <c r="L69" s="1326" t="str">
        <f t="shared" si="20"/>
        <v>-</v>
      </c>
      <c r="N69" s="353"/>
    </row>
    <row r="70" spans="1:14" ht="14.4" thickBot="1">
      <c r="A70" s="356">
        <f>ROW()</f>
        <v>70</v>
      </c>
      <c r="B70" s="317"/>
      <c r="C70" s="317"/>
      <c r="D70" s="317"/>
      <c r="E70" s="317"/>
      <c r="F70" s="1325"/>
      <c r="G70" s="1327"/>
      <c r="H70" s="1327"/>
      <c r="I70" s="1327"/>
      <c r="J70" s="1327"/>
      <c r="K70" s="1327"/>
      <c r="L70" s="1327"/>
      <c r="N70" s="353"/>
    </row>
    <row r="71" spans="1:14" ht="14.4" thickBot="1">
      <c r="A71" s="356">
        <f>ROW()</f>
        <v>71</v>
      </c>
      <c r="B71" s="317" t="s">
        <v>256</v>
      </c>
      <c r="C71" s="1328" t="s">
        <v>257</v>
      </c>
      <c r="D71" s="317" t="s">
        <v>258</v>
      </c>
      <c r="E71" s="317"/>
      <c r="F71" s="317"/>
      <c r="G71" s="317"/>
      <c r="H71" s="317"/>
      <c r="I71" s="317"/>
      <c r="J71" s="317"/>
      <c r="K71" s="317"/>
      <c r="L71" s="317"/>
      <c r="N71" s="353"/>
    </row>
    <row r="72" spans="1:14">
      <c r="A72" s="356">
        <f>ROW()</f>
        <v>72</v>
      </c>
      <c r="B72" s="317"/>
      <c r="C72" s="317"/>
      <c r="D72" s="317"/>
      <c r="E72" s="317"/>
      <c r="F72" s="1294"/>
      <c r="G72" s="1295"/>
      <c r="H72" s="1295"/>
      <c r="I72" s="1295"/>
      <c r="J72" s="1295"/>
      <c r="K72" s="1295"/>
      <c r="L72" s="1295"/>
      <c r="N72" s="353"/>
    </row>
    <row r="73" spans="1:14">
      <c r="A73" s="356">
        <f>ROW()</f>
        <v>73</v>
      </c>
      <c r="C73" s="317"/>
      <c r="D73" s="317"/>
      <c r="E73" s="317"/>
      <c r="F73" s="1294"/>
      <c r="G73" s="1295"/>
      <c r="H73" s="1295"/>
      <c r="I73" s="1295"/>
      <c r="J73" s="1295"/>
      <c r="K73" s="1295"/>
      <c r="L73" s="1295"/>
      <c r="N73" s="353"/>
    </row>
    <row r="74" spans="1:14">
      <c r="A74" s="356">
        <f>ROW()</f>
        <v>74</v>
      </c>
      <c r="B74" s="1480" t="s">
        <v>1251</v>
      </c>
      <c r="C74" s="1514" t="s">
        <v>252</v>
      </c>
      <c r="D74" s="1482"/>
      <c r="E74" s="1482"/>
      <c r="F74" s="1484"/>
      <c r="G74" s="1485"/>
      <c r="H74" s="1485"/>
      <c r="I74" s="1485"/>
      <c r="J74" s="1485"/>
      <c r="K74" s="1485"/>
      <c r="L74" s="1485"/>
      <c r="N74" s="353"/>
    </row>
    <row r="75" spans="1:14">
      <c r="A75" s="356">
        <f>ROW()</f>
        <v>75</v>
      </c>
      <c r="B75" s="317" t="s">
        <v>1454</v>
      </c>
      <c r="E75" s="317"/>
      <c r="F75" s="1294"/>
      <c r="G75" s="1294"/>
      <c r="H75" s="1294"/>
      <c r="I75" s="1294"/>
      <c r="J75" s="1294"/>
      <c r="K75" s="1294"/>
      <c r="L75" s="1294"/>
      <c r="N75" s="353"/>
    </row>
    <row r="76" spans="1:14">
      <c r="A76" s="356">
        <f>ROW()</f>
        <v>76</v>
      </c>
      <c r="B76" s="317"/>
      <c r="C76" s="1303" t="s">
        <v>1306</v>
      </c>
      <c r="D76" s="1303" t="s">
        <v>1307</v>
      </c>
      <c r="E76" s="317"/>
      <c r="F76" s="1294"/>
      <c r="G76" s="1294"/>
      <c r="H76" s="1294"/>
      <c r="I76" s="1294"/>
      <c r="J76" s="1294"/>
      <c r="K76" s="1294"/>
      <c r="L76" s="1294"/>
      <c r="N76" s="353"/>
    </row>
    <row r="77" spans="1:14">
      <c r="A77" s="356">
        <f>ROW()</f>
        <v>77</v>
      </c>
      <c r="B77" s="35" t="str">
        <f>+B44</f>
        <v>State Special Education (SPED)</v>
      </c>
      <c r="C77" s="1515">
        <f>+D77/C82</f>
        <v>0.52219394967486565</v>
      </c>
      <c r="D77" s="57">
        <v>3694</v>
      </c>
      <c r="F77" s="1298"/>
      <c r="G77" s="1299">
        <f t="shared" ref="G77:L80" si="21">+F61*$D77</f>
        <v>0</v>
      </c>
      <c r="H77" s="1299">
        <f t="shared" si="21"/>
        <v>299214</v>
      </c>
      <c r="I77" s="1299">
        <f t="shared" si="21"/>
        <v>359056.8</v>
      </c>
      <c r="J77" s="1299">
        <f t="shared" si="21"/>
        <v>418899.6</v>
      </c>
      <c r="K77" s="1299">
        <f t="shared" si="21"/>
        <v>478742.39999999997</v>
      </c>
      <c r="L77" s="1299">
        <f t="shared" si="21"/>
        <v>493703.10000000003</v>
      </c>
      <c r="N77" s="353"/>
    </row>
    <row r="78" spans="1:14">
      <c r="A78" s="356">
        <f>ROW()</f>
        <v>78</v>
      </c>
      <c r="B78" s="35" t="str">
        <f>+B45</f>
        <v>English Language Learners (EL)</v>
      </c>
      <c r="C78" s="1515">
        <v>0.23</v>
      </c>
      <c r="D78" s="57">
        <f>+$C$82*C78</f>
        <v>1627.02</v>
      </c>
      <c r="F78" s="1294"/>
      <c r="G78" s="1300">
        <f t="shared" si="21"/>
        <v>0</v>
      </c>
      <c r="H78" s="1300">
        <f t="shared" si="21"/>
        <v>226122.91419599997</v>
      </c>
      <c r="I78" s="1300">
        <f t="shared" si="21"/>
        <v>271347.49703520001</v>
      </c>
      <c r="J78" s="1300">
        <f t="shared" si="21"/>
        <v>316572.07987439999</v>
      </c>
      <c r="K78" s="1300">
        <f t="shared" si="21"/>
        <v>361796.66271359997</v>
      </c>
      <c r="L78" s="1300">
        <f t="shared" si="21"/>
        <v>373102.80842339998</v>
      </c>
      <c r="N78" s="353"/>
    </row>
    <row r="79" spans="1:14">
      <c r="A79" s="356">
        <f>ROW()</f>
        <v>79</v>
      </c>
      <c r="B79" s="35" t="str">
        <f>+B46</f>
        <v>Gifted &amp; Talented (GATE)</v>
      </c>
      <c r="C79" s="1515">
        <v>0.12</v>
      </c>
      <c r="D79" s="57">
        <f>+$C$82*C79</f>
        <v>848.88</v>
      </c>
      <c r="F79" s="1294"/>
      <c r="G79" s="1300">
        <f t="shared" si="21"/>
        <v>0</v>
      </c>
      <c r="H79" s="1300">
        <f t="shared" si="21"/>
        <v>0</v>
      </c>
      <c r="I79" s="1300">
        <f t="shared" si="21"/>
        <v>0</v>
      </c>
      <c r="J79" s="1300">
        <f t="shared" si="21"/>
        <v>0</v>
      </c>
      <c r="K79" s="1300">
        <f t="shared" si="21"/>
        <v>0</v>
      </c>
      <c r="L79" s="1300">
        <f t="shared" si="21"/>
        <v>0</v>
      </c>
      <c r="N79" s="353"/>
    </row>
    <row r="80" spans="1:14">
      <c r="A80" s="356">
        <f>ROW()</f>
        <v>80</v>
      </c>
      <c r="B80" s="35" t="str">
        <f>+B47</f>
        <v>Free &amp; Reduced Lunch (FRL)</v>
      </c>
      <c r="C80" s="1515">
        <v>0.03</v>
      </c>
      <c r="D80" s="57">
        <f>+$C$82*C80</f>
        <v>212.22</v>
      </c>
      <c r="F80" s="1294"/>
      <c r="G80" s="1300">
        <f t="shared" si="21"/>
        <v>0</v>
      </c>
      <c r="H80" s="1300">
        <f t="shared" si="21"/>
        <v>61123.218159600008</v>
      </c>
      <c r="I80" s="1300">
        <f t="shared" si="21"/>
        <v>73347.861791520001</v>
      </c>
      <c r="J80" s="1300">
        <f t="shared" si="21"/>
        <v>85572.505423440001</v>
      </c>
      <c r="K80" s="1300">
        <f t="shared" si="21"/>
        <v>97797.149055360002</v>
      </c>
      <c r="L80" s="1300">
        <f t="shared" si="21"/>
        <v>100853.30996334</v>
      </c>
      <c r="N80" s="353"/>
    </row>
    <row r="81" spans="1:14">
      <c r="A81" s="356">
        <f>ROW()</f>
        <v>81</v>
      </c>
      <c r="B81" s="35" t="s">
        <v>259</v>
      </c>
      <c r="C81" s="646">
        <f>_xlfn.XLOOKUP(C71,'PCFP Rates'!B107:B115,'PCFP Rates'!D107:D115)</f>
        <v>7293</v>
      </c>
      <c r="D81" s="57">
        <f>+C81</f>
        <v>7293</v>
      </c>
      <c r="G81" s="1300">
        <f t="shared" ref="G81:L81" si="22">+G35*$D81</f>
        <v>3938220</v>
      </c>
      <c r="H81" s="1300">
        <f t="shared" si="22"/>
        <v>4725864</v>
      </c>
      <c r="I81" s="1300">
        <f t="shared" si="22"/>
        <v>5513508</v>
      </c>
      <c r="J81" s="1300">
        <f t="shared" si="22"/>
        <v>6301152</v>
      </c>
      <c r="K81" s="1300">
        <f t="shared" si="22"/>
        <v>6498063</v>
      </c>
      <c r="L81" s="1300">
        <f t="shared" si="22"/>
        <v>6694974</v>
      </c>
      <c r="N81" s="353"/>
    </row>
    <row r="82" spans="1:14">
      <c r="A82" s="356">
        <f>ROW()</f>
        <v>82</v>
      </c>
      <c r="B82" s="758" t="s">
        <v>260</v>
      </c>
      <c r="C82" s="1640">
        <f>+'PCFP Rates'!D115</f>
        <v>7074</v>
      </c>
      <c r="D82" s="231"/>
      <c r="E82" s="231"/>
      <c r="G82" s="231"/>
      <c r="H82" s="1316"/>
      <c r="I82" s="1316"/>
      <c r="J82" s="1316"/>
      <c r="K82" s="1316"/>
      <c r="L82" s="1316"/>
      <c r="N82" s="353"/>
    </row>
    <row r="83" spans="1:14">
      <c r="A83" s="356">
        <f>ROW()</f>
        <v>83</v>
      </c>
      <c r="C83" s="231"/>
      <c r="D83" s="231"/>
      <c r="E83" s="231"/>
      <c r="F83" s="872"/>
      <c r="G83" s="75"/>
      <c r="H83" s="75"/>
      <c r="I83" s="75"/>
      <c r="J83" s="75"/>
      <c r="K83" s="75"/>
      <c r="L83" s="75"/>
      <c r="N83" s="353"/>
    </row>
    <row r="84" spans="1:14">
      <c r="A84" s="356">
        <f>ROW()</f>
        <v>84</v>
      </c>
      <c r="B84" s="463" t="s">
        <v>1252</v>
      </c>
      <c r="C84" s="1489"/>
      <c r="D84" s="1489"/>
      <c r="E84" s="1489"/>
      <c r="F84" s="1490"/>
      <c r="G84" s="1491"/>
      <c r="H84" s="1491"/>
      <c r="I84" s="1491"/>
      <c r="J84" s="1491"/>
      <c r="K84" s="1491"/>
      <c r="L84" s="1491"/>
      <c r="N84" s="353"/>
    </row>
    <row r="85" spans="1:14">
      <c r="A85" s="356">
        <f>ROW()</f>
        <v>85</v>
      </c>
      <c r="B85" s="1486" t="s">
        <v>261</v>
      </c>
      <c r="C85" s="431"/>
      <c r="D85" s="431"/>
      <c r="E85" s="431"/>
      <c r="F85" s="1487"/>
      <c r="G85" s="1488">
        <f>+D47</f>
        <v>0.9</v>
      </c>
      <c r="H85" s="1488">
        <f>+G85</f>
        <v>0.9</v>
      </c>
      <c r="I85" s="1488">
        <f t="shared" ref="I85:L85" si="23">+H85</f>
        <v>0.9</v>
      </c>
      <c r="J85" s="1488">
        <f t="shared" si="23"/>
        <v>0.9</v>
      </c>
      <c r="K85" s="1488">
        <f t="shared" si="23"/>
        <v>0.9</v>
      </c>
      <c r="L85" s="1488">
        <f t="shared" si="23"/>
        <v>0.9</v>
      </c>
      <c r="N85" s="353"/>
    </row>
    <row r="86" spans="1:14">
      <c r="A86" s="356">
        <f>ROW()</f>
        <v>86</v>
      </c>
      <c r="B86" s="72" t="s">
        <v>262</v>
      </c>
      <c r="C86" s="74"/>
      <c r="D86" s="74"/>
      <c r="E86" s="74"/>
      <c r="F86" s="1311"/>
      <c r="G86" s="1312">
        <f>+D45</f>
        <v>0.3</v>
      </c>
      <c r="H86" s="1312">
        <f t="shared" ref="H86:L86" si="24">+G86</f>
        <v>0.3</v>
      </c>
      <c r="I86" s="1312">
        <f t="shared" si="24"/>
        <v>0.3</v>
      </c>
      <c r="J86" s="1312">
        <f t="shared" si="24"/>
        <v>0.3</v>
      </c>
      <c r="K86" s="1312">
        <f t="shared" si="24"/>
        <v>0.3</v>
      </c>
      <c r="L86" s="1312">
        <f t="shared" si="24"/>
        <v>0.3</v>
      </c>
      <c r="N86" s="353"/>
    </row>
    <row r="87" spans="1:14">
      <c r="A87" s="356">
        <f>ROW()</f>
        <v>87</v>
      </c>
      <c r="B87" s="1473" t="s">
        <v>263</v>
      </c>
      <c r="C87" s="549"/>
      <c r="D87" s="549"/>
      <c r="E87" s="549"/>
      <c r="F87" s="1474"/>
      <c r="G87" s="1475">
        <f>+D44</f>
        <v>0.15</v>
      </c>
      <c r="H87" s="1475">
        <f t="shared" ref="H87:L87" si="25">+G87</f>
        <v>0.15</v>
      </c>
      <c r="I87" s="1475">
        <f t="shared" si="25"/>
        <v>0.15</v>
      </c>
      <c r="J87" s="1475">
        <f t="shared" si="25"/>
        <v>0.15</v>
      </c>
      <c r="K87" s="1475">
        <f t="shared" si="25"/>
        <v>0.15</v>
      </c>
      <c r="L87" s="1475">
        <f t="shared" si="25"/>
        <v>0.15</v>
      </c>
      <c r="N87" s="353"/>
    </row>
    <row r="88" spans="1:14">
      <c r="A88" s="356">
        <f>ROW()</f>
        <v>88</v>
      </c>
      <c r="B88" s="697" t="s">
        <v>264</v>
      </c>
      <c r="C88" s="554"/>
      <c r="D88" s="554"/>
      <c r="E88" s="554"/>
      <c r="F88" s="1476"/>
      <c r="G88" s="1477">
        <f t="shared" ref="G88:L88" si="26">+G$35*G87</f>
        <v>81</v>
      </c>
      <c r="H88" s="1477">
        <f t="shared" si="26"/>
        <v>97.2</v>
      </c>
      <c r="I88" s="1477">
        <f t="shared" si="26"/>
        <v>113.39999999999999</v>
      </c>
      <c r="J88" s="1477">
        <f t="shared" si="26"/>
        <v>129.6</v>
      </c>
      <c r="K88" s="1477">
        <f t="shared" si="26"/>
        <v>133.65</v>
      </c>
      <c r="L88" s="1477">
        <f t="shared" si="26"/>
        <v>137.69999999999999</v>
      </c>
      <c r="N88" s="353"/>
    </row>
    <row r="89" spans="1:14" hidden="1" outlineLevel="1">
      <c r="A89" s="356">
        <f>ROW()</f>
        <v>89</v>
      </c>
      <c r="B89" s="43"/>
      <c r="C89" s="43"/>
      <c r="D89" s="43"/>
      <c r="E89" s="43"/>
      <c r="F89" s="43"/>
      <c r="G89" s="43"/>
      <c r="J89" s="78"/>
      <c r="K89" s="134"/>
      <c r="L89" s="78"/>
      <c r="M89" s="78"/>
      <c r="N89" s="353"/>
    </row>
    <row r="90" spans="1:14" ht="27.6" hidden="1" outlineLevel="1">
      <c r="A90" s="356">
        <f>ROW()</f>
        <v>90</v>
      </c>
      <c r="B90" s="1076" t="s">
        <v>265</v>
      </c>
      <c r="C90" s="1077">
        <f>IFERROR(VLOOKUP(C104,'PCFP Rates'!O15:AB44,4,FALSE),0)</f>
        <v>7242.9499619081098</v>
      </c>
      <c r="D90" s="1078" t="s">
        <v>266</v>
      </c>
      <c r="E90" s="1078"/>
      <c r="F90" s="65"/>
      <c r="G90" s="65"/>
      <c r="H90" s="65"/>
      <c r="I90" s="65"/>
      <c r="J90" s="1079"/>
      <c r="K90" s="1079"/>
      <c r="L90" s="1079"/>
      <c r="M90" s="103"/>
      <c r="N90" s="353"/>
    </row>
    <row r="91" spans="1:14" collapsed="1">
      <c r="A91" s="356">
        <f>ROW()</f>
        <v>91</v>
      </c>
      <c r="B91" s="43" t="s">
        <v>267</v>
      </c>
      <c r="C91" s="1075">
        <v>0.02</v>
      </c>
      <c r="D91" s="43" t="s">
        <v>268</v>
      </c>
      <c r="E91" s="43"/>
      <c r="J91" s="43"/>
      <c r="K91" s="43"/>
      <c r="L91" s="43"/>
      <c r="M91" s="43"/>
      <c r="N91" s="353"/>
    </row>
    <row r="92" spans="1:14">
      <c r="A92" s="356">
        <f>ROW()</f>
        <v>92</v>
      </c>
      <c r="B92" s="376" t="s">
        <v>269</v>
      </c>
      <c r="C92" s="1329">
        <v>0</v>
      </c>
      <c r="D92" s="296" t="s">
        <v>270</v>
      </c>
      <c r="E92" s="296"/>
      <c r="H92" s="104"/>
      <c r="I92" s="104"/>
      <c r="J92" s="43"/>
      <c r="K92" s="43"/>
      <c r="L92" s="43"/>
      <c r="M92" s="43"/>
      <c r="N92" s="353"/>
    </row>
    <row r="93" spans="1:14">
      <c r="A93" s="356">
        <f>ROW()</f>
        <v>93</v>
      </c>
      <c r="B93" s="43" t="s">
        <v>271</v>
      </c>
      <c r="C93" s="843">
        <v>1.2500000000000001E-2</v>
      </c>
      <c r="D93" s="105" t="s">
        <v>1381</v>
      </c>
      <c r="E93" s="76"/>
      <c r="H93" s="34"/>
      <c r="I93" s="34"/>
      <c r="J93" s="105"/>
      <c r="K93" s="105"/>
      <c r="L93" s="105"/>
      <c r="M93" s="105"/>
      <c r="N93" s="353"/>
    </row>
    <row r="94" spans="1:14">
      <c r="A94" s="356">
        <f>ROW()</f>
        <v>94</v>
      </c>
      <c r="B94" s="43" t="s">
        <v>272</v>
      </c>
      <c r="C94" s="1073">
        <v>700</v>
      </c>
      <c r="D94" s="296" t="s">
        <v>1326</v>
      </c>
      <c r="E94" s="296"/>
      <c r="H94" s="104"/>
      <c r="I94" s="104"/>
      <c r="J94" s="78"/>
      <c r="K94" s="78"/>
      <c r="L94" s="78"/>
      <c r="M94" s="78"/>
      <c r="N94" s="353"/>
    </row>
    <row r="95" spans="1:14">
      <c r="A95" s="356">
        <f>ROW()</f>
        <v>95</v>
      </c>
      <c r="B95" s="43" t="s">
        <v>1343</v>
      </c>
      <c r="C95" s="1073">
        <v>70</v>
      </c>
      <c r="D95" s="296" t="s">
        <v>1326</v>
      </c>
      <c r="E95" s="296"/>
      <c r="H95" s="104"/>
      <c r="I95" s="104"/>
      <c r="J95" s="78"/>
      <c r="K95" s="78"/>
      <c r="L95" s="78"/>
      <c r="M95" s="78"/>
      <c r="N95" s="353"/>
    </row>
    <row r="96" spans="1:14">
      <c r="A96" s="356">
        <f>ROW()</f>
        <v>96</v>
      </c>
      <c r="B96" s="35" t="s">
        <v>1342</v>
      </c>
      <c r="C96" s="1529">
        <v>4</v>
      </c>
      <c r="D96" s="296" t="s">
        <v>1326</v>
      </c>
      <c r="E96" s="296"/>
      <c r="H96" s="104"/>
      <c r="I96" s="104"/>
      <c r="J96" s="78"/>
      <c r="K96" s="78"/>
      <c r="L96" s="78"/>
      <c r="M96" s="78"/>
      <c r="N96" s="353"/>
    </row>
    <row r="97" spans="1:14">
      <c r="A97" s="356">
        <f>ROW()</f>
        <v>97</v>
      </c>
      <c r="B97" s="43" t="s">
        <v>129</v>
      </c>
      <c r="C97" s="1073">
        <v>50</v>
      </c>
      <c r="D97" s="296" t="s">
        <v>273</v>
      </c>
      <c r="E97" s="296"/>
      <c r="H97" s="104"/>
      <c r="I97" s="104"/>
      <c r="J97" s="78"/>
      <c r="K97" s="78"/>
      <c r="L97" s="78"/>
      <c r="M97" s="78"/>
      <c r="N97" s="353"/>
    </row>
    <row r="98" spans="1:14">
      <c r="A98" s="356">
        <f>ROW()</f>
        <v>98</v>
      </c>
      <c r="B98" s="1418" t="s">
        <v>1347</v>
      </c>
      <c r="C98" s="1531" t="s">
        <v>1346</v>
      </c>
      <c r="D98" s="296"/>
      <c r="E98" s="296"/>
      <c r="H98" s="104"/>
      <c r="I98" s="104"/>
      <c r="J98" s="78"/>
      <c r="K98" s="78"/>
      <c r="L98" s="78"/>
      <c r="M98" s="78"/>
      <c r="N98" s="353"/>
    </row>
    <row r="99" spans="1:14">
      <c r="A99" s="356">
        <f>ROW()</f>
        <v>99</v>
      </c>
      <c r="B99" s="43" t="s">
        <v>274</v>
      </c>
      <c r="C99" s="1073">
        <v>1060</v>
      </c>
      <c r="D99" s="43" t="s">
        <v>275</v>
      </c>
      <c r="E99" s="43"/>
      <c r="J99" s="43"/>
      <c r="K99" s="43"/>
      <c r="L99" s="43"/>
      <c r="M99" s="43"/>
      <c r="N99" s="353"/>
    </row>
    <row r="100" spans="1:14">
      <c r="A100" s="356">
        <f>ROW()</f>
        <v>100</v>
      </c>
      <c r="B100" s="43" t="s">
        <v>276</v>
      </c>
      <c r="C100" s="844" t="s">
        <v>277</v>
      </c>
      <c r="D100" s="43" t="s">
        <v>278</v>
      </c>
      <c r="E100" s="43"/>
      <c r="G100" s="57"/>
      <c r="J100" s="43"/>
      <c r="K100" s="43"/>
      <c r="L100" s="43"/>
      <c r="M100" s="43"/>
      <c r="N100" s="353"/>
    </row>
    <row r="101" spans="1:14">
      <c r="A101" s="356">
        <f>ROW()</f>
        <v>101</v>
      </c>
      <c r="B101" s="43" t="s">
        <v>279</v>
      </c>
      <c r="C101" s="844">
        <v>2.2000000000000002</v>
      </c>
      <c r="D101" s="43" t="s">
        <v>280</v>
      </c>
      <c r="E101" s="43"/>
      <c r="G101" s="57"/>
      <c r="J101" s="43"/>
      <c r="K101" s="43"/>
      <c r="L101" s="43"/>
      <c r="M101" s="43"/>
      <c r="N101" s="353"/>
    </row>
    <row r="102" spans="1:14">
      <c r="A102" s="356">
        <f>ROW()</f>
        <v>102</v>
      </c>
      <c r="B102" s="43" t="s">
        <v>281</v>
      </c>
      <c r="C102" s="844">
        <v>3.43</v>
      </c>
      <c r="D102" s="43" t="s">
        <v>280</v>
      </c>
      <c r="E102" s="43"/>
      <c r="H102" s="97"/>
      <c r="J102" s="43"/>
      <c r="K102" s="43"/>
      <c r="L102" s="43"/>
      <c r="M102" s="43"/>
      <c r="N102" s="353"/>
    </row>
    <row r="103" spans="1:14">
      <c r="A103" s="356">
        <f>ROW()</f>
        <v>103</v>
      </c>
      <c r="B103" s="43" t="s">
        <v>141</v>
      </c>
      <c r="C103" s="844">
        <v>0</v>
      </c>
      <c r="D103" s="43" t="s">
        <v>282</v>
      </c>
      <c r="E103" s="43"/>
      <c r="G103" s="52"/>
      <c r="H103" s="57"/>
      <c r="J103" s="43"/>
      <c r="K103" s="43"/>
      <c r="L103" s="43"/>
      <c r="M103" s="43"/>
      <c r="N103" s="353"/>
    </row>
    <row r="104" spans="1:14">
      <c r="A104" s="356">
        <f>ROW()</f>
        <v>104</v>
      </c>
      <c r="B104" s="48" t="s">
        <v>283</v>
      </c>
      <c r="C104" s="1074" t="str">
        <f>+C71</f>
        <v>Clark</v>
      </c>
      <c r="D104" s="180"/>
      <c r="E104" s="180"/>
      <c r="F104" s="43"/>
      <c r="G104" s="152"/>
      <c r="H104" s="362"/>
      <c r="J104" s="43"/>
      <c r="K104" s="43"/>
      <c r="L104" s="43"/>
      <c r="M104" s="43"/>
      <c r="N104" s="353"/>
    </row>
    <row r="105" spans="1:14">
      <c r="A105" s="356">
        <f>ROW()</f>
        <v>105</v>
      </c>
      <c r="B105" s="135"/>
      <c r="C105" s="135"/>
      <c r="D105" s="135"/>
      <c r="E105" s="135"/>
      <c r="F105" s="132"/>
      <c r="G105" s="369"/>
      <c r="H105" s="369"/>
      <c r="I105" s="369"/>
      <c r="J105" s="369"/>
      <c r="K105" s="369"/>
      <c r="L105" s="369"/>
      <c r="M105" s="106"/>
      <c r="N105" s="353"/>
    </row>
    <row r="106" spans="1:14">
      <c r="A106" s="356">
        <f>ROW()</f>
        <v>106</v>
      </c>
      <c r="B106" s="33" t="s">
        <v>284</v>
      </c>
      <c r="C106" s="33"/>
      <c r="D106" s="33"/>
      <c r="E106" s="33"/>
      <c r="F106" s="1294"/>
      <c r="G106" s="52">
        <f t="shared" ref="G106:L106" si="27">+G35</f>
        <v>540</v>
      </c>
      <c r="H106" s="52">
        <f t="shared" si="27"/>
        <v>648</v>
      </c>
      <c r="I106" s="52">
        <f t="shared" si="27"/>
        <v>756</v>
      </c>
      <c r="J106" s="52">
        <f t="shared" si="27"/>
        <v>864</v>
      </c>
      <c r="K106" s="52">
        <f t="shared" si="27"/>
        <v>891</v>
      </c>
      <c r="L106" s="52">
        <f t="shared" si="27"/>
        <v>918</v>
      </c>
      <c r="M106" s="106"/>
      <c r="N106" s="353"/>
    </row>
    <row r="107" spans="1:14">
      <c r="A107" s="356"/>
      <c r="B107" s="33"/>
      <c r="C107" s="33"/>
      <c r="D107" s="33"/>
      <c r="E107" s="33"/>
      <c r="F107" s="1294"/>
      <c r="G107" s="52"/>
      <c r="H107" s="52"/>
      <c r="I107" s="52"/>
      <c r="J107" s="52"/>
      <c r="K107" s="52"/>
      <c r="L107" s="52"/>
      <c r="M107" s="106"/>
      <c r="N107" s="353"/>
    </row>
    <row r="108" spans="1:14">
      <c r="A108" s="356">
        <f>ROW()</f>
        <v>108</v>
      </c>
      <c r="B108" s="757" t="s">
        <v>1377</v>
      </c>
      <c r="C108" s="757"/>
      <c r="D108" s="757"/>
      <c r="E108" s="757"/>
      <c r="F108" s="1492"/>
      <c r="G108" s="1493"/>
      <c r="H108" s="1493"/>
      <c r="I108" s="1493"/>
      <c r="J108" s="1493"/>
      <c r="K108" s="1493"/>
      <c r="L108" s="1493"/>
      <c r="M108" s="106"/>
      <c r="N108" s="353"/>
    </row>
    <row r="109" spans="1:14">
      <c r="A109" s="356">
        <f>ROW()</f>
        <v>109</v>
      </c>
      <c r="B109" s="132" t="s">
        <v>1385</v>
      </c>
      <c r="C109" s="132"/>
      <c r="D109" s="132"/>
      <c r="E109" s="132"/>
      <c r="F109" s="1314"/>
      <c r="G109" s="1309">
        <f t="shared" ref="G109:L109" si="28">SUM(G75:G81)</f>
        <v>3938220</v>
      </c>
      <c r="H109" s="1309">
        <f t="shared" si="28"/>
        <v>5312324.1323555997</v>
      </c>
      <c r="I109" s="1309">
        <f t="shared" si="28"/>
        <v>6217260.15882672</v>
      </c>
      <c r="J109" s="1309">
        <f t="shared" si="28"/>
        <v>7122196.1852978403</v>
      </c>
      <c r="K109" s="1309">
        <f t="shared" si="28"/>
        <v>7436399.2117689596</v>
      </c>
      <c r="L109" s="1309">
        <f t="shared" si="28"/>
        <v>7662633.2183867395</v>
      </c>
      <c r="M109" s="106"/>
      <c r="N109" s="353"/>
    </row>
    <row r="110" spans="1:14">
      <c r="A110" s="356">
        <f>ROW()</f>
        <v>110</v>
      </c>
      <c r="B110" s="35" t="s">
        <v>1253</v>
      </c>
      <c r="F110" s="1296"/>
      <c r="G110" s="1299">
        <f t="shared" ref="G110:L110" si="29">SUM(G78:G80)</f>
        <v>0</v>
      </c>
      <c r="H110" s="1299">
        <f t="shared" si="29"/>
        <v>287246.13235559996</v>
      </c>
      <c r="I110" s="1299">
        <f t="shared" si="29"/>
        <v>344695.35882672004</v>
      </c>
      <c r="J110" s="1299">
        <f t="shared" si="29"/>
        <v>402144.58529784001</v>
      </c>
      <c r="K110" s="1299">
        <f t="shared" si="29"/>
        <v>459593.81176895997</v>
      </c>
      <c r="L110" s="1299">
        <f t="shared" si="29"/>
        <v>473956.11838673998</v>
      </c>
      <c r="M110" s="106"/>
      <c r="N110" s="353"/>
    </row>
    <row r="111" spans="1:14">
      <c r="A111" s="356">
        <f>ROW()</f>
        <v>111</v>
      </c>
      <c r="B111" s="35" t="s">
        <v>291</v>
      </c>
      <c r="F111" s="1296"/>
      <c r="G111" s="1300">
        <f>+G77</f>
        <v>0</v>
      </c>
      <c r="H111" s="1300">
        <f t="shared" ref="H111:L111" si="30">+H77</f>
        <v>299214</v>
      </c>
      <c r="I111" s="1300">
        <f t="shared" si="30"/>
        <v>359056.8</v>
      </c>
      <c r="J111" s="1300">
        <f t="shared" si="30"/>
        <v>418899.6</v>
      </c>
      <c r="K111" s="1300">
        <f t="shared" si="30"/>
        <v>478742.39999999997</v>
      </c>
      <c r="L111" s="1300">
        <f t="shared" si="30"/>
        <v>493703.10000000003</v>
      </c>
      <c r="M111" s="106"/>
      <c r="N111" s="983" t="s">
        <v>292</v>
      </c>
    </row>
    <row r="112" spans="1:14">
      <c r="A112" s="356">
        <f>ROW()</f>
        <v>112</v>
      </c>
      <c r="B112" s="35" t="s">
        <v>1255</v>
      </c>
      <c r="F112" s="1296"/>
      <c r="G112" s="1300">
        <f>+G75</f>
        <v>0</v>
      </c>
      <c r="H112" s="1300">
        <f t="shared" ref="H112:L112" si="31">+H75</f>
        <v>0</v>
      </c>
      <c r="I112" s="1300">
        <f t="shared" si="31"/>
        <v>0</v>
      </c>
      <c r="J112" s="1300">
        <f t="shared" si="31"/>
        <v>0</v>
      </c>
      <c r="K112" s="1300">
        <f t="shared" si="31"/>
        <v>0</v>
      </c>
      <c r="L112" s="1300">
        <f t="shared" si="31"/>
        <v>0</v>
      </c>
      <c r="M112" s="106"/>
      <c r="N112" s="353"/>
    </row>
    <row r="113" spans="1:14">
      <c r="A113" s="356">
        <f>ROW()</f>
        <v>113</v>
      </c>
      <c r="B113" s="35" t="s">
        <v>286</v>
      </c>
      <c r="C113" s="1313">
        <f>+C91</f>
        <v>0.02</v>
      </c>
      <c r="G113" s="1310"/>
      <c r="H113" s="1297">
        <f>+$C$91*H109</f>
        <v>106246.48264711199</v>
      </c>
      <c r="I113" s="1297">
        <f>+$C$91*I109</f>
        <v>124345.2031765344</v>
      </c>
      <c r="J113" s="1297">
        <f>+$C$91*J109</f>
        <v>142443.92370595681</v>
      </c>
      <c r="K113" s="1297">
        <f>+$C$91*K109</f>
        <v>148727.9842353792</v>
      </c>
      <c r="L113" s="1297">
        <f>+$C$91*L109</f>
        <v>153252.6643677348</v>
      </c>
      <c r="M113" s="106"/>
      <c r="N113" s="353"/>
    </row>
    <row r="114" spans="1:14">
      <c r="A114" s="356">
        <f>ROW()</f>
        <v>114</v>
      </c>
      <c r="B114" s="132" t="s">
        <v>1256</v>
      </c>
      <c r="C114" s="132"/>
      <c r="D114" s="132"/>
      <c r="E114" s="132"/>
      <c r="F114" s="1314"/>
      <c r="G114" s="1315">
        <f t="shared" ref="G114:L114" si="32">SUM(G109:G113)</f>
        <v>3938220</v>
      </c>
      <c r="H114" s="1315">
        <f t="shared" si="32"/>
        <v>6005030.747358311</v>
      </c>
      <c r="I114" s="1315">
        <f t="shared" si="32"/>
        <v>7045357.5208299747</v>
      </c>
      <c r="J114" s="1315">
        <f t="shared" si="32"/>
        <v>8085684.2943016365</v>
      </c>
      <c r="K114" s="1315">
        <f t="shared" si="32"/>
        <v>8523463.4077732991</v>
      </c>
      <c r="L114" s="1315">
        <f t="shared" si="32"/>
        <v>8783545.1011412144</v>
      </c>
      <c r="M114" s="106"/>
      <c r="N114" s="353"/>
    </row>
    <row r="115" spans="1:14">
      <c r="A115" s="356">
        <f>ROW()</f>
        <v>115</v>
      </c>
      <c r="B115" s="35" t="s">
        <v>1380</v>
      </c>
      <c r="C115" s="33"/>
      <c r="F115" s="1296"/>
      <c r="G115" s="1297">
        <f t="shared" ref="G115:L115" si="33">-G109*$C$93</f>
        <v>-49227.75</v>
      </c>
      <c r="H115" s="1297">
        <f t="shared" si="33"/>
        <v>-66404.051654444993</v>
      </c>
      <c r="I115" s="1297">
        <f t="shared" si="33"/>
        <v>-77715.751985334005</v>
      </c>
      <c r="J115" s="1297">
        <f t="shared" si="33"/>
        <v>-89027.452316223003</v>
      </c>
      <c r="K115" s="1297">
        <f t="shared" si="33"/>
        <v>-92954.990147111996</v>
      </c>
      <c r="L115" s="1297">
        <f t="shared" si="33"/>
        <v>-95782.915229834252</v>
      </c>
      <c r="M115" s="106"/>
      <c r="N115" s="353"/>
    </row>
    <row r="116" spans="1:14">
      <c r="A116" s="356">
        <f>ROW()</f>
        <v>116</v>
      </c>
      <c r="B116" s="135" t="s">
        <v>1378</v>
      </c>
      <c r="C116" s="135"/>
      <c r="D116" s="135"/>
      <c r="E116" s="135"/>
      <c r="F116" s="132"/>
      <c r="G116" s="1317">
        <f>SUM(G114:G115)</f>
        <v>3888992.25</v>
      </c>
      <c r="H116" s="1317">
        <f t="shared" ref="H116:L116" si="34">SUM(H114:H115)</f>
        <v>5938626.695703866</v>
      </c>
      <c r="I116" s="1317">
        <f t="shared" si="34"/>
        <v>6967641.7688446408</v>
      </c>
      <c r="J116" s="1317">
        <f t="shared" si="34"/>
        <v>7996656.8419854138</v>
      </c>
      <c r="K116" s="1317">
        <f t="shared" si="34"/>
        <v>8430508.4176261872</v>
      </c>
      <c r="L116" s="1317">
        <f t="shared" si="34"/>
        <v>8687762.1859113798</v>
      </c>
      <c r="M116" s="106"/>
      <c r="N116" s="353"/>
    </row>
    <row r="117" spans="1:14">
      <c r="A117" s="356">
        <f>ROW()</f>
        <v>117</v>
      </c>
      <c r="B117" s="33" t="s">
        <v>1379</v>
      </c>
      <c r="C117" s="33"/>
      <c r="D117" s="33"/>
      <c r="E117" s="33"/>
      <c r="G117" s="57">
        <f>+G116/G106</f>
        <v>7201.8374999999996</v>
      </c>
      <c r="H117" s="57">
        <f t="shared" ref="H117:L117" si="35">+H116/H106</f>
        <v>9164.5473699133727</v>
      </c>
      <c r="I117" s="57">
        <f t="shared" si="35"/>
        <v>9216.4573661966151</v>
      </c>
      <c r="J117" s="57">
        <f t="shared" si="35"/>
        <v>9255.3898634090438</v>
      </c>
      <c r="K117" s="57">
        <f t="shared" si="35"/>
        <v>9461.8500758991995</v>
      </c>
      <c r="L117" s="57">
        <f t="shared" si="35"/>
        <v>9463.7932308402833</v>
      </c>
      <c r="M117" s="106"/>
      <c r="N117" s="353"/>
    </row>
    <row r="118" spans="1:14">
      <c r="A118" s="356">
        <f>ROW()</f>
        <v>118</v>
      </c>
      <c r="B118" s="33"/>
      <c r="C118" s="33"/>
      <c r="D118" s="33"/>
      <c r="E118" s="33"/>
      <c r="G118" s="57"/>
      <c r="H118" s="57"/>
      <c r="I118" s="57"/>
      <c r="J118" s="57"/>
      <c r="K118" s="57"/>
      <c r="L118" s="57"/>
      <c r="M118" s="106"/>
      <c r="N118" s="353"/>
    </row>
    <row r="119" spans="1:14" hidden="1">
      <c r="A119" s="356">
        <f>ROW()</f>
        <v>119</v>
      </c>
      <c r="B119" s="376" t="s">
        <v>287</v>
      </c>
      <c r="C119" s="1251">
        <f t="shared" ref="C119:C129" si="36">SUM(F119:L119)</f>
        <v>0</v>
      </c>
      <c r="D119" s="1251"/>
      <c r="E119" s="1251"/>
      <c r="F119" s="1252"/>
      <c r="G119" s="1253">
        <f t="shared" ref="G119:L119" si="37">IF($G$116&gt;0,0,($C$90*G35))</f>
        <v>0</v>
      </c>
      <c r="H119" s="1254">
        <f t="shared" si="37"/>
        <v>0</v>
      </c>
      <c r="I119" s="1253">
        <f t="shared" si="37"/>
        <v>0</v>
      </c>
      <c r="J119" s="1253">
        <f t="shared" si="37"/>
        <v>0</v>
      </c>
      <c r="K119" s="1253">
        <f t="shared" si="37"/>
        <v>0</v>
      </c>
      <c r="L119" s="1253">
        <f t="shared" si="37"/>
        <v>0</v>
      </c>
      <c r="N119" s="353"/>
    </row>
    <row r="120" spans="1:14" hidden="1">
      <c r="A120" s="356">
        <f>ROW()</f>
        <v>120</v>
      </c>
      <c r="B120" s="376" t="s">
        <v>288</v>
      </c>
      <c r="C120" s="1255">
        <f>IFERROR(SUM(F120:L120),0)</f>
        <v>0</v>
      </c>
      <c r="D120" s="1256"/>
      <c r="E120" s="1256"/>
      <c r="F120" s="1257"/>
      <c r="G120" s="1258">
        <f>-$C$93*G119</f>
        <v>0</v>
      </c>
      <c r="H120" s="1259">
        <f t="shared" ref="H120:L120" si="38">-$C$93*H119</f>
        <v>0</v>
      </c>
      <c r="I120" s="1259">
        <f t="shared" si="38"/>
        <v>0</v>
      </c>
      <c r="J120" s="1259">
        <f t="shared" si="38"/>
        <v>0</v>
      </c>
      <c r="K120" s="1259">
        <f t="shared" si="38"/>
        <v>0</v>
      </c>
      <c r="L120" s="1259">
        <f t="shared" si="38"/>
        <v>0</v>
      </c>
      <c r="N120" s="353"/>
    </row>
    <row r="121" spans="1:14">
      <c r="A121" s="356">
        <f>ROW()</f>
        <v>121</v>
      </c>
      <c r="B121" s="463" t="s">
        <v>1376</v>
      </c>
      <c r="C121" s="1489"/>
      <c r="D121" s="1489"/>
      <c r="E121" s="1489"/>
      <c r="F121" s="1490"/>
      <c r="G121" s="1491"/>
      <c r="H121" s="1491"/>
      <c r="I121" s="1491"/>
      <c r="J121" s="1491"/>
      <c r="K121" s="1491"/>
      <c r="L121" s="1491"/>
      <c r="N121" s="353"/>
    </row>
    <row r="122" spans="1:14">
      <c r="A122" s="356">
        <f>ROW()</f>
        <v>122</v>
      </c>
      <c r="B122" s="35" t="s">
        <v>127</v>
      </c>
      <c r="C122" s="52">
        <f t="shared" si="36"/>
        <v>2908710</v>
      </c>
      <c r="D122" s="52"/>
      <c r="E122" s="52"/>
      <c r="F122" s="640"/>
      <c r="G122" s="842">
        <f t="shared" ref="G122:L122" si="39">(G35*G85)*($C$94)</f>
        <v>340200</v>
      </c>
      <c r="H122" s="842">
        <f t="shared" si="39"/>
        <v>408240.00000000006</v>
      </c>
      <c r="I122" s="842">
        <f t="shared" si="39"/>
        <v>476280</v>
      </c>
      <c r="J122" s="842">
        <f t="shared" si="39"/>
        <v>544320</v>
      </c>
      <c r="K122" s="842">
        <f t="shared" si="39"/>
        <v>561330</v>
      </c>
      <c r="L122" s="842">
        <f t="shared" si="39"/>
        <v>578340</v>
      </c>
      <c r="N122" s="353" t="s">
        <v>289</v>
      </c>
    </row>
    <row r="123" spans="1:14">
      <c r="A123" s="356">
        <f>ROW()</f>
        <v>123</v>
      </c>
      <c r="B123" s="35" t="s">
        <v>1344</v>
      </c>
      <c r="C123" s="52">
        <f t="shared" si="36"/>
        <v>307030.5</v>
      </c>
      <c r="D123" s="52"/>
      <c r="E123" s="52"/>
      <c r="F123" s="640"/>
      <c r="G123" s="842">
        <f t="shared" ref="G123:L123" si="40">($C$95*G35*G85)+(G35*3.5)</f>
        <v>35910</v>
      </c>
      <c r="H123" s="842">
        <f t="shared" si="40"/>
        <v>43092</v>
      </c>
      <c r="I123" s="842">
        <f t="shared" si="40"/>
        <v>50274</v>
      </c>
      <c r="J123" s="842">
        <f t="shared" si="40"/>
        <v>57456</v>
      </c>
      <c r="K123" s="842">
        <f t="shared" si="40"/>
        <v>59251.5</v>
      </c>
      <c r="L123" s="842">
        <f t="shared" si="40"/>
        <v>61047</v>
      </c>
      <c r="N123" s="353"/>
    </row>
    <row r="124" spans="1:14">
      <c r="A124" s="356">
        <f>ROW()</f>
        <v>124</v>
      </c>
      <c r="B124" s="35" t="s">
        <v>1345</v>
      </c>
      <c r="C124" s="52">
        <f t="shared" ref="C124" si="41">SUM(F124:L124)</f>
        <v>18468</v>
      </c>
      <c r="D124" s="52"/>
      <c r="E124" s="52"/>
      <c r="F124" s="640"/>
      <c r="G124" s="1637">
        <f t="shared" ref="G124:L124" si="42">+$C$96*G35</f>
        <v>2160</v>
      </c>
      <c r="H124" s="1637">
        <f t="shared" si="42"/>
        <v>2592</v>
      </c>
      <c r="I124" s="1637">
        <f t="shared" si="42"/>
        <v>3024</v>
      </c>
      <c r="J124" s="1637">
        <f t="shared" si="42"/>
        <v>3456</v>
      </c>
      <c r="K124" s="1637">
        <f t="shared" si="42"/>
        <v>3564</v>
      </c>
      <c r="L124" s="1637">
        <f t="shared" si="42"/>
        <v>3672</v>
      </c>
      <c r="N124" s="353"/>
    </row>
    <row r="125" spans="1:14">
      <c r="A125" s="356">
        <f>ROW()</f>
        <v>125</v>
      </c>
      <c r="B125" s="35" t="s">
        <v>129</v>
      </c>
      <c r="C125" s="52">
        <f t="shared" si="36"/>
        <v>69255</v>
      </c>
      <c r="D125" s="52"/>
      <c r="E125" s="52"/>
      <c r="F125" s="640"/>
      <c r="G125" s="842">
        <f t="shared" ref="G125:L125" si="43">$C$97*G35*G86</f>
        <v>8100</v>
      </c>
      <c r="H125" s="842">
        <f t="shared" si="43"/>
        <v>9720</v>
      </c>
      <c r="I125" s="842">
        <f t="shared" si="43"/>
        <v>11340</v>
      </c>
      <c r="J125" s="842">
        <f t="shared" si="43"/>
        <v>12960</v>
      </c>
      <c r="K125" s="842">
        <f t="shared" si="43"/>
        <v>13365</v>
      </c>
      <c r="L125" s="842">
        <f t="shared" si="43"/>
        <v>13770</v>
      </c>
      <c r="N125" s="353"/>
    </row>
    <row r="126" spans="1:14">
      <c r="A126" s="356">
        <f>ROW()</f>
        <v>126</v>
      </c>
      <c r="B126" s="1418" t="s">
        <v>130</v>
      </c>
      <c r="C126" s="1419"/>
      <c r="D126" s="52"/>
      <c r="E126" s="52"/>
      <c r="F126" s="640"/>
      <c r="G126" s="1530"/>
      <c r="H126" s="1530"/>
      <c r="I126" s="1530"/>
      <c r="J126" s="1530"/>
      <c r="K126" s="1530"/>
      <c r="L126" s="1530"/>
      <c r="N126" s="353" t="s">
        <v>1218</v>
      </c>
    </row>
    <row r="127" spans="1:14">
      <c r="A127" s="356">
        <f>ROW()</f>
        <v>127</v>
      </c>
      <c r="B127" s="35" t="s">
        <v>131</v>
      </c>
      <c r="C127" s="52">
        <f t="shared" si="36"/>
        <v>1645498.8000000003</v>
      </c>
      <c r="D127" s="52"/>
      <c r="E127" s="52"/>
      <c r="F127" s="640"/>
      <c r="G127" s="842">
        <f>IF($C$100="yes",$C$101*Staff!$C$70*(G35*G85),0)</f>
        <v>192456.00000000003</v>
      </c>
      <c r="H127" s="842">
        <f>IF($C$100="yes",$C$101*Staff!$C$70*(H35*H85),0)</f>
        <v>230947.20000000004</v>
      </c>
      <c r="I127" s="842">
        <f>IF($C$100="yes",$C$101*Staff!$C$70*(I35*I85),0)</f>
        <v>269438.40000000002</v>
      </c>
      <c r="J127" s="842">
        <f>IF($C$100="yes",$C$101*Staff!$C$70*(J35*J85),0)</f>
        <v>307929.60000000003</v>
      </c>
      <c r="K127" s="842">
        <f>IF($C$100="yes",$C$101*Staff!$C$70*(K35*K85),0)</f>
        <v>317552.40000000002</v>
      </c>
      <c r="L127" s="842">
        <f>IF($C$100="yes",$C$101*Staff!$C$70*(L35*L85),0)</f>
        <v>327175.20000000007</v>
      </c>
      <c r="N127" s="353"/>
    </row>
    <row r="128" spans="1:14">
      <c r="A128" s="356">
        <f>ROW()</f>
        <v>128</v>
      </c>
      <c r="B128" s="35" t="s">
        <v>290</v>
      </c>
      <c r="C128" s="52">
        <f t="shared" si="36"/>
        <v>2565482.2200000002</v>
      </c>
      <c r="D128" s="52"/>
      <c r="E128" s="52"/>
      <c r="F128" s="640"/>
      <c r="G128" s="842">
        <f>(G35*G85)*Staff!$C$70*$C$102</f>
        <v>300056.40000000002</v>
      </c>
      <c r="H128" s="842">
        <f>(H35*H85)*Staff!$C$70*$C$102</f>
        <v>360067.68000000005</v>
      </c>
      <c r="I128" s="842">
        <f>(I35*I85)*Staff!$C$70*$C$102</f>
        <v>420078.96</v>
      </c>
      <c r="J128" s="842">
        <f>(J35*J85)*Staff!$C$70*$C$102</f>
        <v>480090.24000000005</v>
      </c>
      <c r="K128" s="842">
        <f>(K35*K85)*Staff!$C$70*$C$102</f>
        <v>495093.06</v>
      </c>
      <c r="L128" s="842">
        <f>(L35*L85)*Staff!$C$70*$C$102</f>
        <v>510095.88</v>
      </c>
      <c r="N128" s="353"/>
    </row>
    <row r="129" spans="1:14">
      <c r="A129" s="356">
        <f>ROW()</f>
        <v>129</v>
      </c>
      <c r="B129" s="35" t="s">
        <v>133</v>
      </c>
      <c r="C129" s="52">
        <f t="shared" si="36"/>
        <v>734103</v>
      </c>
      <c r="D129" s="52"/>
      <c r="E129" s="52"/>
      <c r="F129" s="640"/>
      <c r="G129" s="842">
        <f t="shared" ref="G129:L129" si="44">(G35*G87)*$C$99</f>
        <v>85860</v>
      </c>
      <c r="H129" s="842">
        <f t="shared" si="44"/>
        <v>103032</v>
      </c>
      <c r="I129" s="842">
        <f t="shared" si="44"/>
        <v>120203.99999999999</v>
      </c>
      <c r="J129" s="842">
        <f t="shared" si="44"/>
        <v>137376</v>
      </c>
      <c r="K129" s="842">
        <f t="shared" si="44"/>
        <v>141669</v>
      </c>
      <c r="L129" s="842">
        <f t="shared" si="44"/>
        <v>145962</v>
      </c>
      <c r="N129" s="353"/>
    </row>
    <row r="130" spans="1:14" ht="27.6">
      <c r="A130" s="967">
        <f>ROW()</f>
        <v>130</v>
      </c>
      <c r="B130" s="45" t="s">
        <v>293</v>
      </c>
      <c r="C130" s="52">
        <f>SUM(F130:L130)</f>
        <v>500000</v>
      </c>
      <c r="D130" s="52"/>
      <c r="E130" s="52"/>
      <c r="F130" s="1563">
        <v>0</v>
      </c>
      <c r="G130" s="1003">
        <v>400000</v>
      </c>
      <c r="H130" s="1003">
        <v>100000</v>
      </c>
      <c r="I130" s="1003">
        <v>0</v>
      </c>
      <c r="J130" s="1003">
        <v>0</v>
      </c>
      <c r="K130" s="1003">
        <v>0</v>
      </c>
      <c r="L130" s="1003">
        <v>0</v>
      </c>
      <c r="N130" s="353" t="s">
        <v>1524</v>
      </c>
    </row>
    <row r="131" spans="1:14">
      <c r="A131" s="967">
        <f>ROW()</f>
        <v>131</v>
      </c>
      <c r="B131" s="45" t="s">
        <v>1338</v>
      </c>
      <c r="C131" s="52">
        <f t="shared" ref="C131:C139" si="45">SUM(F131:L131)</f>
        <v>0</v>
      </c>
      <c r="D131" s="52"/>
      <c r="E131" s="52"/>
      <c r="F131" s="1565"/>
      <c r="G131" s="329"/>
      <c r="H131" s="329">
        <v>0</v>
      </c>
      <c r="I131" s="329">
        <v>0</v>
      </c>
      <c r="J131" s="329">
        <v>0</v>
      </c>
      <c r="K131" s="329">
        <v>0</v>
      </c>
      <c r="L131" s="329">
        <v>0</v>
      </c>
      <c r="N131" s="353" t="s">
        <v>1536</v>
      </c>
    </row>
    <row r="132" spans="1:14">
      <c r="A132" s="967">
        <f>ROW()</f>
        <v>132</v>
      </c>
      <c r="B132" s="35" t="s">
        <v>1339</v>
      </c>
      <c r="C132" s="52">
        <f t="shared" si="45"/>
        <v>0</v>
      </c>
      <c r="D132" s="52"/>
      <c r="E132" s="52"/>
      <c r="F132" s="1564">
        <v>0</v>
      </c>
      <c r="G132" s="329">
        <v>0</v>
      </c>
      <c r="H132" s="329">
        <v>0</v>
      </c>
      <c r="I132" s="329">
        <v>0</v>
      </c>
      <c r="J132" s="329">
        <v>0</v>
      </c>
      <c r="K132" s="329">
        <v>0</v>
      </c>
      <c r="L132" s="329">
        <v>0</v>
      </c>
      <c r="N132" s="353"/>
    </row>
    <row r="133" spans="1:14">
      <c r="A133" s="967">
        <f>ROW()</f>
        <v>133</v>
      </c>
      <c r="B133" s="35" t="s">
        <v>294</v>
      </c>
      <c r="C133" s="52">
        <f t="shared" si="45"/>
        <v>0</v>
      </c>
      <c r="D133" s="52"/>
      <c r="E133" s="52"/>
      <c r="F133" s="1564">
        <v>0</v>
      </c>
      <c r="G133" s="1636">
        <f t="shared" ref="G133:L133" si="46">$C$103*G35</f>
        <v>0</v>
      </c>
      <c r="H133" s="1636">
        <f t="shared" si="46"/>
        <v>0</v>
      </c>
      <c r="I133" s="1636">
        <f t="shared" si="46"/>
        <v>0</v>
      </c>
      <c r="J133" s="1636">
        <f t="shared" si="46"/>
        <v>0</v>
      </c>
      <c r="K133" s="1636">
        <f t="shared" si="46"/>
        <v>0</v>
      </c>
      <c r="L133" s="1636">
        <f t="shared" si="46"/>
        <v>0</v>
      </c>
      <c r="N133" s="353"/>
    </row>
    <row r="134" spans="1:14">
      <c r="A134" s="967">
        <f>ROW()</f>
        <v>134</v>
      </c>
      <c r="B134" s="35" t="s">
        <v>1443</v>
      </c>
      <c r="C134" s="52">
        <f t="shared" si="45"/>
        <v>0</v>
      </c>
      <c r="D134" s="52"/>
      <c r="E134" s="52"/>
      <c r="F134" s="1564">
        <v>0</v>
      </c>
      <c r="G134" s="329">
        <v>0</v>
      </c>
      <c r="H134" s="329">
        <v>0</v>
      </c>
      <c r="I134" s="329">
        <v>0</v>
      </c>
      <c r="J134" s="329">
        <v>0</v>
      </c>
      <c r="K134" s="329">
        <v>0</v>
      </c>
      <c r="L134" s="329">
        <v>0</v>
      </c>
      <c r="N134" s="353"/>
    </row>
    <row r="135" spans="1:14">
      <c r="A135" s="967">
        <f>ROW()</f>
        <v>135</v>
      </c>
      <c r="B135" s="35" t="s">
        <v>295</v>
      </c>
      <c r="C135" s="52">
        <f t="shared" si="45"/>
        <v>0</v>
      </c>
      <c r="D135" s="52"/>
      <c r="E135" s="52"/>
      <c r="F135" s="1564">
        <v>0</v>
      </c>
      <c r="G135" s="329">
        <v>0</v>
      </c>
      <c r="H135" s="329">
        <v>0</v>
      </c>
      <c r="I135" s="329">
        <v>0</v>
      </c>
      <c r="J135" s="329">
        <v>0</v>
      </c>
      <c r="K135" s="329">
        <v>0</v>
      </c>
      <c r="L135" s="329">
        <v>0</v>
      </c>
      <c r="N135" s="353"/>
    </row>
    <row r="136" spans="1:14">
      <c r="A136" s="967">
        <f>ROW()</f>
        <v>136</v>
      </c>
      <c r="B136" s="35" t="s">
        <v>296</v>
      </c>
      <c r="C136" s="52">
        <f t="shared" si="45"/>
        <v>0</v>
      </c>
      <c r="D136" s="52"/>
      <c r="E136" s="52"/>
      <c r="F136" s="1564">
        <v>0</v>
      </c>
      <c r="G136" s="329">
        <v>0</v>
      </c>
      <c r="H136" s="329">
        <v>0</v>
      </c>
      <c r="I136" s="329">
        <v>0</v>
      </c>
      <c r="J136" s="329">
        <v>0</v>
      </c>
      <c r="K136" s="329">
        <v>0</v>
      </c>
      <c r="L136" s="329">
        <v>0</v>
      </c>
      <c r="N136" s="353"/>
    </row>
    <row r="137" spans="1:14">
      <c r="A137" s="967">
        <f>ROW()</f>
        <v>137</v>
      </c>
      <c r="B137" s="35" t="s">
        <v>140</v>
      </c>
      <c r="C137" s="52">
        <f t="shared" si="45"/>
        <v>0</v>
      </c>
      <c r="D137" s="52"/>
      <c r="E137" s="52"/>
      <c r="F137" s="1564">
        <v>0</v>
      </c>
      <c r="G137" s="329">
        <v>0</v>
      </c>
      <c r="H137" s="329">
        <v>0</v>
      </c>
      <c r="I137" s="329">
        <v>0</v>
      </c>
      <c r="J137" s="329">
        <v>0</v>
      </c>
      <c r="K137" s="329">
        <v>0</v>
      </c>
      <c r="L137" s="329">
        <v>0</v>
      </c>
      <c r="N137" s="353"/>
    </row>
    <row r="138" spans="1:14">
      <c r="A138" s="967">
        <f>ROW()</f>
        <v>138</v>
      </c>
      <c r="B138" s="35" t="s">
        <v>1340</v>
      </c>
      <c r="C138" s="52">
        <f t="shared" si="45"/>
        <v>150000</v>
      </c>
      <c r="D138" s="52"/>
      <c r="E138" s="52"/>
      <c r="F138" s="1564">
        <v>150000</v>
      </c>
      <c r="G138" s="329">
        <v>0</v>
      </c>
      <c r="H138" s="329">
        <v>0</v>
      </c>
      <c r="I138" s="329">
        <v>0</v>
      </c>
      <c r="J138" s="329">
        <v>0</v>
      </c>
      <c r="K138" s="329">
        <v>0</v>
      </c>
      <c r="L138" s="329">
        <v>0</v>
      </c>
      <c r="N138" s="353" t="s">
        <v>1537</v>
      </c>
    </row>
    <row r="139" spans="1:14">
      <c r="A139" s="967">
        <f>ROW()</f>
        <v>139</v>
      </c>
      <c r="B139" s="35" t="s">
        <v>1341</v>
      </c>
      <c r="C139" s="52">
        <f t="shared" si="45"/>
        <v>0</v>
      </c>
      <c r="D139" s="52"/>
      <c r="E139" s="52"/>
      <c r="F139" s="1564">
        <v>0</v>
      </c>
      <c r="G139" s="330">
        <v>0</v>
      </c>
      <c r="H139" s="329">
        <v>0</v>
      </c>
      <c r="I139" s="329">
        <v>0</v>
      </c>
      <c r="J139" s="329">
        <v>0</v>
      </c>
      <c r="K139" s="329">
        <v>0</v>
      </c>
      <c r="L139" s="329">
        <v>0</v>
      </c>
      <c r="N139" s="353"/>
    </row>
    <row r="140" spans="1:14" ht="15.6">
      <c r="A140" s="967">
        <f>ROW()</f>
        <v>140</v>
      </c>
      <c r="B140" s="1346"/>
      <c r="C140" s="373"/>
      <c r="D140" s="374"/>
      <c r="E140" s="374"/>
      <c r="F140" s="375">
        <f t="shared" ref="F140:L140" si="47">SUM(F122:F139)</f>
        <v>150000</v>
      </c>
      <c r="G140" s="375">
        <f t="shared" si="47"/>
        <v>1364742.4</v>
      </c>
      <c r="H140" s="375">
        <f t="shared" si="47"/>
        <v>1257690.8800000001</v>
      </c>
      <c r="I140" s="375">
        <f t="shared" si="47"/>
        <v>1350639.36</v>
      </c>
      <c r="J140" s="375">
        <f t="shared" si="47"/>
        <v>1543587.8400000001</v>
      </c>
      <c r="K140" s="375">
        <f t="shared" si="47"/>
        <v>1591824.96</v>
      </c>
      <c r="L140" s="375">
        <f t="shared" si="47"/>
        <v>1640062.08</v>
      </c>
      <c r="N140" s="353"/>
    </row>
    <row r="141" spans="1:14" ht="15.6">
      <c r="A141" s="967">
        <f>ROW()</f>
        <v>141</v>
      </c>
      <c r="B141" s="135" t="s">
        <v>1373</v>
      </c>
      <c r="C141" s="1557"/>
      <c r="D141" s="1558"/>
      <c r="E141" s="1558"/>
      <c r="F141" s="1559"/>
      <c r="G141" s="1638">
        <f t="shared" ref="G141:L141" si="48">+G140/G35</f>
        <v>2527.3007407407404</v>
      </c>
      <c r="H141" s="1638">
        <f t="shared" si="48"/>
        <v>1940.8809876543212</v>
      </c>
      <c r="I141" s="1638">
        <f t="shared" si="48"/>
        <v>1786.5600000000002</v>
      </c>
      <c r="J141" s="1638">
        <f t="shared" si="48"/>
        <v>1786.5600000000002</v>
      </c>
      <c r="K141" s="1638">
        <f t="shared" si="48"/>
        <v>1786.56</v>
      </c>
      <c r="L141" s="1638">
        <f t="shared" si="48"/>
        <v>1786.5600000000002</v>
      </c>
      <c r="N141" s="353"/>
    </row>
    <row r="142" spans="1:14" ht="15.6">
      <c r="A142" s="967">
        <f>ROW()</f>
        <v>142</v>
      </c>
      <c r="B142" s="1346" t="s">
        <v>196</v>
      </c>
      <c r="C142" s="373">
        <f t="shared" ref="C142" si="49">SUM(G142:L142)</f>
        <v>50658735.680071488</v>
      </c>
      <c r="D142" s="374"/>
      <c r="E142" s="374"/>
      <c r="F142" s="375">
        <f t="shared" ref="F142:K142" si="50">+F140+F116</f>
        <v>150000</v>
      </c>
      <c r="G142" s="375">
        <f t="shared" si="50"/>
        <v>5253734.6500000004</v>
      </c>
      <c r="H142" s="375">
        <f t="shared" si="50"/>
        <v>7196317.5757038658</v>
      </c>
      <c r="I142" s="375">
        <f t="shared" si="50"/>
        <v>8318281.1288446411</v>
      </c>
      <c r="J142" s="375">
        <f t="shared" si="50"/>
        <v>9540244.6819854137</v>
      </c>
      <c r="K142" s="375">
        <f t="shared" si="50"/>
        <v>10022333.377626188</v>
      </c>
      <c r="L142" s="375">
        <f>+L140+L116</f>
        <v>10327824.26591138</v>
      </c>
      <c r="N142" s="353"/>
    </row>
    <row r="143" spans="1:14" ht="14.4">
      <c r="A143" s="967">
        <f>ROW()</f>
        <v>143</v>
      </c>
      <c r="B143" s="192" t="s">
        <v>144</v>
      </c>
      <c r="C143" s="82"/>
      <c r="D143" s="82"/>
      <c r="E143" s="82"/>
      <c r="F143" s="1319"/>
      <c r="G143" s="1639">
        <f t="shared" ref="G143:L143" si="51">IFERROR(G142/G35,0)</f>
        <v>9729.1382407407418</v>
      </c>
      <c r="H143" s="1639">
        <f t="shared" si="51"/>
        <v>11105.428357567695</v>
      </c>
      <c r="I143" s="1639">
        <f t="shared" si="51"/>
        <v>11003.017366196615</v>
      </c>
      <c r="J143" s="1639">
        <f t="shared" si="51"/>
        <v>11041.949863409043</v>
      </c>
      <c r="K143" s="1639">
        <f t="shared" si="51"/>
        <v>11248.410075899201</v>
      </c>
      <c r="L143" s="1639">
        <f t="shared" si="51"/>
        <v>11250.353230840283</v>
      </c>
      <c r="N143" s="353"/>
    </row>
    <row r="144" spans="1:14">
      <c r="A144" s="356"/>
      <c r="B144" s="33" t="s">
        <v>1374</v>
      </c>
      <c r="C144" s="33"/>
      <c r="D144" s="33"/>
      <c r="E144" s="33"/>
      <c r="G144" s="57">
        <f>+Summary!G34</f>
        <v>5253734.6500000004</v>
      </c>
      <c r="H144" s="57">
        <f>+Summary!H34</f>
        <v>7196317.5757038658</v>
      </c>
      <c r="I144" s="57">
        <f>+Summary!I34</f>
        <v>8318281.1288446411</v>
      </c>
      <c r="J144" s="57">
        <f>+Summary!J34</f>
        <v>9540244.6819854137</v>
      </c>
      <c r="K144" s="57">
        <f>+Summary!K34</f>
        <v>10022333.377626188</v>
      </c>
      <c r="L144" s="57">
        <f>+Summary!L34</f>
        <v>10327824.26591138</v>
      </c>
    </row>
    <row r="145" spans="1:12">
      <c r="A145" s="356"/>
      <c r="B145" s="135" t="s">
        <v>1375</v>
      </c>
      <c r="C145" s="135"/>
      <c r="D145" s="135"/>
      <c r="E145" s="135"/>
      <c r="F145" s="132"/>
      <c r="G145" s="1317">
        <f>+G142-G144</f>
        <v>0</v>
      </c>
      <c r="H145" s="1317">
        <f t="shared" ref="H145:L145" si="52">+H142-H144</f>
        <v>0</v>
      </c>
      <c r="I145" s="1317">
        <f t="shared" si="52"/>
        <v>0</v>
      </c>
      <c r="J145" s="1317">
        <f t="shared" si="52"/>
        <v>0</v>
      </c>
      <c r="K145" s="1317">
        <f t="shared" si="52"/>
        <v>0</v>
      </c>
      <c r="L145" s="1317">
        <f t="shared" si="52"/>
        <v>0</v>
      </c>
    </row>
    <row r="146" spans="1:12">
      <c r="A146" s="66"/>
      <c r="B146" s="82" t="s">
        <v>1227</v>
      </c>
      <c r="C146" s="33"/>
      <c r="D146" s="33"/>
      <c r="E146" s="33"/>
    </row>
  </sheetData>
  <sheetProtection algorithmName="SHA-512" hashValue="zsDgstGviwozqc6zaLz7JUD5w1alzoDmuZ15Zw7MiOoaWjcB3iWhTAzBKb9QyiJokVQBTAxZp/wCQkbICYKxrg==" saltValue="ozOErKkBzeRPR0RpLhMH+g==" spinCount="100000" sheet="1" objects="1" scenarios="1"/>
  <phoneticPr fontId="7" type="noConversion"/>
  <conditionalFormatting sqref="G88:L88">
    <cfRule type="cellIs" dxfId="627" priority="144" stopIfTrue="1" operator="equal">
      <formula>0</formula>
    </cfRule>
  </conditionalFormatting>
  <conditionalFormatting sqref="B22:E34 C13:E13 D1:E1">
    <cfRule type="expression" dxfId="626" priority="169" stopIfTrue="1">
      <formula>MOD(ROW(),2)=0</formula>
    </cfRule>
  </conditionalFormatting>
  <conditionalFormatting sqref="G16:L16">
    <cfRule type="cellIs" dxfId="625" priority="213" stopIfTrue="1" operator="equal">
      <formula>0</formula>
    </cfRule>
  </conditionalFormatting>
  <conditionalFormatting sqref="G87:H87">
    <cfRule type="cellIs" dxfId="624" priority="19" operator="greaterThan">
      <formula>0.25</formula>
    </cfRule>
  </conditionalFormatting>
  <conditionalFormatting sqref="G18:L18">
    <cfRule type="cellIs" dxfId="623" priority="12" stopIfTrue="1" operator="equal">
      <formula>0</formula>
    </cfRule>
  </conditionalFormatting>
  <conditionalFormatting sqref="C66">
    <cfRule type="top10" dxfId="622" priority="4" rank="10"/>
  </conditionalFormatting>
  <conditionalFormatting sqref="E66">
    <cfRule type="cellIs" dxfId="621" priority="3" operator="greaterThan">
      <formula>1</formula>
    </cfRule>
  </conditionalFormatting>
  <conditionalFormatting sqref="D66">
    <cfRule type="cellIs" dxfId="620" priority="2" operator="greaterThan">
      <formula>1</formula>
    </cfRule>
  </conditionalFormatting>
  <hyperlinks>
    <hyperlink ref="D1" location="HypLink1" display="HypLink1" xr:uid="{50C40886-9D9F-4AD7-81F3-10148FDA785C}"/>
  </hyperlinks>
  <pageMargins left="0.25" right="0.25" top="0.5" bottom="0.45" header="0.25" footer="0.25"/>
  <pageSetup scale="60" fitToHeight="4" orientation="landscape" r:id="rId1"/>
  <headerFooter>
    <oddHeader xml:space="preserve">&amp;L &amp;C &amp;R </oddHeader>
    <oddFooter>&amp;L&amp;7&amp;D  at &amp;T Mike 702.854.0691&amp;C&amp;7&amp;F  &amp;A&amp;R&amp;7Page &amp;P of &amp;N</oddFooter>
  </headerFooter>
  <rowBreaks count="1" manualBreakCount="1">
    <brk id="104" max="12" man="1"/>
  </rowBreaks>
  <drawing r:id="rId2"/>
  <legacyDrawing r:id="rId3"/>
  <extLst>
    <ext xmlns:x14="http://schemas.microsoft.com/office/spreadsheetml/2009/9/main" uri="{CCE6A557-97BC-4b89-ADB6-D9C93CAAB3DF}">
      <x14:dataValidations xmlns:xm="http://schemas.microsoft.com/office/excel/2006/main" xWindow="527" yWindow="807" count="2">
        <x14:dataValidation type="list" allowBlank="1" showInputMessage="1" showErrorMessage="1" xr:uid="{072BB3B4-7B2D-4CBC-801C-1A2DCA639C70}">
          <x14:formula1>
            <xm:f>'PCFP Rates'!$B$107:$B$113</xm:f>
          </x14:formula1>
          <xm:sqref>C71</xm:sqref>
        </x14:dataValidation>
        <x14:dataValidation type="list" allowBlank="1" showInputMessage="1" showErrorMessage="1" promptTitle="County" prompt="In the Dropdown Box select the county where your school will be located." xr:uid="{00000000-0002-0000-0100-000000000000}">
          <x14:formula1>
            <xm:f>'PCFP Rates'!$O$15:$O$44</xm:f>
          </x14:formula1>
          <xm:sqref>D104:E104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4F97-2CD8-473E-BEFB-7F0BC3F9228C}">
  <sheetPr codeName="Sheet5">
    <tabColor rgb="FFFFFF00"/>
    <pageSetUpPr fitToPage="1"/>
  </sheetPr>
  <dimension ref="A1:M56"/>
  <sheetViews>
    <sheetView zoomScale="175" zoomScaleNormal="175" workbookViewId="0">
      <selection activeCell="B23" sqref="B23:D23"/>
    </sheetView>
  </sheetViews>
  <sheetFormatPr defaultColWidth="8.88671875" defaultRowHeight="13.2"/>
  <cols>
    <col min="1" max="1" width="4.6640625" style="6" customWidth="1"/>
    <col min="2" max="2" width="30.109375" style="6" customWidth="1"/>
    <col min="3" max="3" width="16.6640625" style="6" customWidth="1"/>
    <col min="4" max="4" width="15.33203125" style="6" bestFit="1" customWidth="1"/>
    <col min="5" max="5" width="13.6640625" style="6" customWidth="1"/>
    <col min="6" max="6" width="3.6640625" style="6" customWidth="1"/>
    <col min="7" max="7" width="35.88671875" style="6" customWidth="1"/>
    <col min="8" max="8" width="3.5546875" style="6" customWidth="1"/>
    <col min="9" max="16384" width="8.88671875" style="6"/>
  </cols>
  <sheetData>
    <row r="1" spans="1:13" ht="17.399999999999999">
      <c r="A1" s="23" t="s">
        <v>1384</v>
      </c>
      <c r="B1" s="21"/>
      <c r="C1" s="21"/>
      <c r="D1" s="21"/>
      <c r="E1" s="438" t="s">
        <v>2</v>
      </c>
    </row>
    <row r="2" spans="1:13" ht="15.6">
      <c r="A2" s="26" t="str">
        <f>SchoolName</f>
        <v>Eagle Charter Schools of Nevada</v>
      </c>
      <c r="B2" s="25"/>
      <c r="C2" s="25"/>
      <c r="D2" s="25"/>
    </row>
    <row r="3" spans="1:13">
      <c r="A3" s="10" t="s">
        <v>815</v>
      </c>
    </row>
    <row r="4" spans="1:13">
      <c r="A4" s="9" t="s">
        <v>72</v>
      </c>
      <c r="H4" s="7"/>
      <c r="I4" s="7"/>
      <c r="J4" s="7"/>
      <c r="K4" s="7"/>
      <c r="L4" s="7"/>
      <c r="M4" s="7"/>
    </row>
    <row r="5" spans="1:13">
      <c r="A5" s="8" t="str">
        <f ca="1">CELL("filename")</f>
        <v>C:\Users\Nicho\Desktop\[Attachment 2.  Eagle NV RFA 12.16.22.xlsx]CF Y1 Mo</v>
      </c>
      <c r="H5" s="7"/>
      <c r="I5" s="7"/>
      <c r="J5" s="7"/>
      <c r="K5" s="7"/>
      <c r="L5" s="7"/>
      <c r="M5" s="7"/>
    </row>
    <row r="6" spans="1:13">
      <c r="A6" s="7"/>
      <c r="B6" s="7"/>
      <c r="C6" s="7"/>
      <c r="D6" s="7"/>
      <c r="E6" s="1578" t="s">
        <v>1392</v>
      </c>
      <c r="F6" s="7"/>
      <c r="G6" s="7"/>
      <c r="H6" s="7"/>
      <c r="I6" s="7"/>
      <c r="J6" s="7"/>
      <c r="K6" s="7"/>
      <c r="L6" s="7"/>
      <c r="M6" s="7"/>
    </row>
    <row r="7" spans="1:13">
      <c r="A7" s="7"/>
      <c r="B7" s="7"/>
      <c r="C7" s="7"/>
      <c r="D7" s="7"/>
      <c r="E7" s="1576">
        <f>+Cover!E11-1</f>
        <v>2022</v>
      </c>
      <c r="F7" s="7"/>
      <c r="G7" s="1438" t="s">
        <v>1396</v>
      </c>
      <c r="H7" s="1438"/>
      <c r="I7" s="1438"/>
      <c r="J7" s="1438"/>
      <c r="K7" s="7"/>
      <c r="L7" s="7"/>
      <c r="M7" s="7"/>
    </row>
    <row r="8" spans="1:13">
      <c r="A8" s="7"/>
      <c r="B8" s="7"/>
      <c r="C8" s="7"/>
      <c r="D8" s="7"/>
      <c r="E8" s="1577">
        <f>+E7+1</f>
        <v>2023</v>
      </c>
      <c r="F8" s="7"/>
      <c r="G8" s="1438"/>
      <c r="H8" s="1438"/>
      <c r="I8" s="1438"/>
      <c r="J8" s="1438"/>
      <c r="K8" s="7"/>
      <c r="L8" s="7"/>
      <c r="M8" s="7"/>
    </row>
    <row r="9" spans="1:13" ht="13.8">
      <c r="A9" s="7"/>
      <c r="B9" s="11"/>
      <c r="C9" s="7"/>
      <c r="D9" s="7"/>
      <c r="E9" s="7"/>
      <c r="F9" s="7"/>
      <c r="G9" s="7"/>
      <c r="H9" s="7"/>
      <c r="I9" s="7"/>
      <c r="J9" s="7"/>
      <c r="K9" s="7"/>
      <c r="L9" s="7"/>
      <c r="M9" s="7"/>
    </row>
    <row r="10" spans="1:13" ht="13.8">
      <c r="A10" s="7"/>
      <c r="B10" s="2208" t="s">
        <v>1393</v>
      </c>
      <c r="C10" s="2209"/>
      <c r="D10" s="2209"/>
      <c r="E10" s="2210"/>
      <c r="F10" s="7"/>
      <c r="G10" s="179" t="s">
        <v>95</v>
      </c>
      <c r="H10" s="7"/>
      <c r="I10" s="7"/>
      <c r="J10" s="7"/>
      <c r="K10" s="7"/>
      <c r="L10" s="7"/>
      <c r="M10" s="7"/>
    </row>
    <row r="11" spans="1:13" ht="13.8">
      <c r="A11" s="517">
        <f>ROW()</f>
        <v>11</v>
      </c>
      <c r="B11" s="1433"/>
      <c r="C11" s="1433"/>
      <c r="D11" s="1433"/>
      <c r="E11" s="1444"/>
      <c r="F11" s="15"/>
      <c r="G11" s="491"/>
      <c r="H11" s="7"/>
      <c r="I11" s="7"/>
      <c r="J11" s="7"/>
      <c r="K11" s="7"/>
      <c r="L11" s="7"/>
      <c r="M11" s="7"/>
    </row>
    <row r="12" spans="1:13" ht="13.8">
      <c r="A12" s="517">
        <f>ROW()</f>
        <v>12</v>
      </c>
      <c r="B12" s="1431"/>
      <c r="C12" s="1431"/>
      <c r="D12" s="1431"/>
      <c r="E12" s="1445">
        <v>0</v>
      </c>
      <c r="F12" s="15"/>
      <c r="G12" s="353"/>
      <c r="H12" s="7"/>
      <c r="I12" s="7"/>
      <c r="J12" s="7"/>
      <c r="K12" s="7"/>
      <c r="L12" s="7"/>
      <c r="M12" s="7"/>
    </row>
    <row r="13" spans="1:13" ht="13.8">
      <c r="A13" s="517">
        <f>ROW()</f>
        <v>13</v>
      </c>
      <c r="B13" s="1431"/>
      <c r="C13" s="1431"/>
      <c r="D13" s="1431"/>
      <c r="E13" s="480">
        <v>0</v>
      </c>
      <c r="F13" s="15"/>
      <c r="G13" s="353"/>
      <c r="H13" s="7"/>
      <c r="I13" s="7"/>
      <c r="J13" s="7"/>
      <c r="K13" s="7"/>
      <c r="L13" s="7"/>
      <c r="M13" s="7"/>
    </row>
    <row r="14" spans="1:13" ht="13.8">
      <c r="A14" s="517">
        <f>ROW()</f>
        <v>14</v>
      </c>
      <c r="B14" s="1431"/>
      <c r="C14" s="1431"/>
      <c r="D14" s="1431"/>
      <c r="E14" s="480"/>
      <c r="F14" s="15"/>
      <c r="G14" s="353"/>
      <c r="H14" s="7"/>
      <c r="I14" s="7"/>
      <c r="J14" s="7"/>
      <c r="K14" s="7"/>
      <c r="L14" s="7"/>
      <c r="M14" s="7"/>
    </row>
    <row r="15" spans="1:13" ht="13.8">
      <c r="A15" s="517">
        <f>ROW()</f>
        <v>15</v>
      </c>
      <c r="B15" s="1431" t="s">
        <v>827</v>
      </c>
      <c r="C15" s="1431"/>
      <c r="D15" s="1431"/>
      <c r="E15" s="480">
        <v>0</v>
      </c>
      <c r="F15" s="15"/>
      <c r="G15" s="353"/>
      <c r="H15" s="7"/>
      <c r="I15" s="7"/>
      <c r="J15" s="7"/>
      <c r="K15" s="7"/>
      <c r="L15" s="7"/>
      <c r="M15" s="7"/>
    </row>
    <row r="16" spans="1:13" ht="13.8">
      <c r="A16" s="517">
        <f>ROW()</f>
        <v>16</v>
      </c>
      <c r="B16" s="1431" t="s">
        <v>821</v>
      </c>
      <c r="C16" s="1431"/>
      <c r="D16" s="1431"/>
      <c r="E16" s="480">
        <v>0</v>
      </c>
      <c r="F16" s="15"/>
      <c r="G16" s="353"/>
      <c r="H16" s="7"/>
      <c r="I16" s="7"/>
      <c r="J16" s="7"/>
      <c r="K16" s="7"/>
      <c r="L16" s="7"/>
      <c r="M16" s="7"/>
    </row>
    <row r="17" spans="1:13" ht="13.8">
      <c r="A17" s="517">
        <f>ROW()</f>
        <v>17</v>
      </c>
      <c r="B17" s="1431" t="s">
        <v>824</v>
      </c>
      <c r="C17" s="1431"/>
      <c r="D17" s="1431"/>
      <c r="E17" s="480">
        <v>0</v>
      </c>
      <c r="F17" s="15"/>
      <c r="G17" s="353"/>
      <c r="H17" s="7"/>
      <c r="I17" s="7"/>
      <c r="J17" s="7"/>
      <c r="K17" s="7"/>
      <c r="L17" s="7"/>
      <c r="M17" s="7"/>
    </row>
    <row r="18" spans="1:13" ht="13.8">
      <c r="A18" s="517">
        <f>ROW()</f>
        <v>18</v>
      </c>
      <c r="B18" s="1431" t="s">
        <v>826</v>
      </c>
      <c r="C18" s="1431"/>
      <c r="D18" s="1431"/>
      <c r="E18" s="480">
        <v>0</v>
      </c>
      <c r="F18" s="15"/>
      <c r="G18" s="353"/>
      <c r="H18" s="7"/>
      <c r="I18" s="7"/>
      <c r="J18" s="7"/>
      <c r="K18" s="7"/>
      <c r="L18" s="7"/>
      <c r="M18" s="7"/>
    </row>
    <row r="19" spans="1:13" ht="13.8">
      <c r="A19" s="517">
        <f>ROW()</f>
        <v>19</v>
      </c>
      <c r="B19" s="1432" t="s">
        <v>822</v>
      </c>
      <c r="C19" s="1431"/>
      <c r="D19" s="1431"/>
      <c r="E19" s="480">
        <v>0</v>
      </c>
      <c r="F19" s="15"/>
      <c r="G19" s="353"/>
      <c r="H19" s="7"/>
      <c r="I19" s="7"/>
      <c r="J19" s="7"/>
      <c r="K19" s="7"/>
      <c r="L19" s="7"/>
      <c r="M19" s="7"/>
    </row>
    <row r="20" spans="1:13" ht="13.8">
      <c r="A20" s="517">
        <f>ROW()</f>
        <v>20</v>
      </c>
      <c r="B20" s="1431" t="s">
        <v>820</v>
      </c>
      <c r="C20" s="1431"/>
      <c r="D20" s="1431"/>
      <c r="E20" s="480">
        <v>0</v>
      </c>
      <c r="F20" s="15"/>
      <c r="G20" s="353"/>
      <c r="H20" s="7"/>
      <c r="I20" s="1438"/>
      <c r="J20" s="7"/>
      <c r="K20" s="7"/>
      <c r="L20" s="7"/>
      <c r="M20" s="7"/>
    </row>
    <row r="21" spans="1:13" ht="13.8">
      <c r="A21" s="517">
        <f>ROW()</f>
        <v>21</v>
      </c>
      <c r="B21" s="1431" t="s">
        <v>1237</v>
      </c>
      <c r="C21" s="1431"/>
      <c r="D21" s="1431"/>
      <c r="E21" s="480">
        <v>0</v>
      </c>
      <c r="F21" s="15"/>
      <c r="G21" s="353"/>
      <c r="H21" s="7"/>
      <c r="I21" s="1438"/>
      <c r="J21" s="7"/>
      <c r="K21" s="7"/>
      <c r="L21" s="7"/>
      <c r="M21" s="7"/>
    </row>
    <row r="22" spans="1:13" ht="13.8">
      <c r="A22" s="517">
        <f>ROW()</f>
        <v>22</v>
      </c>
      <c r="B22" s="1431" t="s">
        <v>1235</v>
      </c>
      <c r="C22" s="1431"/>
      <c r="D22" s="1431"/>
      <c r="E22" s="480"/>
      <c r="F22" s="15"/>
      <c r="G22" s="353"/>
      <c r="H22" s="7"/>
      <c r="I22" s="1438"/>
      <c r="J22" s="7"/>
      <c r="K22" s="7"/>
      <c r="L22" s="7"/>
      <c r="M22" s="7"/>
    </row>
    <row r="23" spans="1:13" ht="13.8">
      <c r="A23" s="517">
        <f>ROW()</f>
        <v>23</v>
      </c>
      <c r="B23" s="1431" t="s">
        <v>1261</v>
      </c>
      <c r="C23" s="1431"/>
      <c r="D23" s="1431"/>
      <c r="E23" s="480"/>
      <c r="F23" s="15"/>
      <c r="G23" s="353"/>
      <c r="H23" s="7"/>
      <c r="I23" s="1438"/>
      <c r="J23" s="7"/>
      <c r="K23" s="7"/>
      <c r="L23" s="7"/>
      <c r="M23" s="7"/>
    </row>
    <row r="24" spans="1:13" ht="13.8">
      <c r="A24" s="517">
        <f>ROW()</f>
        <v>24</v>
      </c>
      <c r="B24" s="1431" t="s">
        <v>1238</v>
      </c>
      <c r="C24" s="1431"/>
      <c r="D24" s="1431"/>
      <c r="E24" s="480"/>
      <c r="F24" s="15"/>
      <c r="G24" s="353"/>
      <c r="H24" s="7"/>
      <c r="I24" s="1438"/>
      <c r="J24" s="7"/>
      <c r="K24" s="7"/>
      <c r="L24" s="7"/>
      <c r="M24" s="7"/>
    </row>
    <row r="25" spans="1:13" ht="13.8">
      <c r="A25" s="517">
        <f>ROW()</f>
        <v>25</v>
      </c>
      <c r="B25" s="1431" t="s">
        <v>1234</v>
      </c>
      <c r="C25" s="1431"/>
      <c r="D25" s="1431"/>
      <c r="E25" s="480">
        <v>5000</v>
      </c>
      <c r="F25" s="15"/>
      <c r="G25" s="353"/>
      <c r="H25" s="7"/>
      <c r="I25" s="1438"/>
      <c r="J25" s="7"/>
      <c r="K25" s="7"/>
      <c r="L25" s="7"/>
      <c r="M25" s="7"/>
    </row>
    <row r="26" spans="1:13" ht="13.8">
      <c r="A26" s="517">
        <f>ROW()</f>
        <v>26</v>
      </c>
      <c r="B26" s="1431" t="s">
        <v>818</v>
      </c>
      <c r="C26" s="1431"/>
      <c r="D26" s="1431"/>
      <c r="E26" s="480"/>
      <c r="F26" s="15"/>
      <c r="G26" s="353"/>
      <c r="H26" s="7"/>
      <c r="I26" s="7"/>
      <c r="J26" s="7"/>
      <c r="K26" s="7"/>
      <c r="L26" s="7"/>
      <c r="M26" s="7"/>
    </row>
    <row r="27" spans="1:13" ht="13.8">
      <c r="A27" s="517">
        <f>ROW()</f>
        <v>27</v>
      </c>
      <c r="B27" s="1431" t="s">
        <v>1262</v>
      </c>
      <c r="C27" s="1431"/>
      <c r="D27" s="1431"/>
      <c r="E27" s="480">
        <v>0</v>
      </c>
      <c r="F27" s="15"/>
      <c r="G27" s="353"/>
      <c r="H27" s="7"/>
      <c r="I27" s="7"/>
      <c r="J27" s="7"/>
      <c r="K27" s="7"/>
      <c r="L27" s="7"/>
      <c r="M27" s="7"/>
    </row>
    <row r="28" spans="1:13" ht="13.8">
      <c r="A28" s="517">
        <f>ROW()</f>
        <v>28</v>
      </c>
      <c r="B28" s="1431" t="s">
        <v>819</v>
      </c>
      <c r="C28" s="1431"/>
      <c r="D28" s="1431"/>
      <c r="E28" s="480">
        <v>0</v>
      </c>
      <c r="F28" s="15"/>
      <c r="G28" s="353"/>
      <c r="H28" s="7"/>
      <c r="I28" s="7"/>
      <c r="J28" s="7"/>
      <c r="K28" s="7"/>
      <c r="L28" s="7"/>
      <c r="M28" s="7"/>
    </row>
    <row r="29" spans="1:13" ht="13.8">
      <c r="A29" s="517">
        <f>ROW()</f>
        <v>29</v>
      </c>
      <c r="B29" s="1431" t="s">
        <v>817</v>
      </c>
      <c r="C29" s="1431"/>
      <c r="D29" s="1431"/>
      <c r="E29" s="480">
        <v>0</v>
      </c>
      <c r="F29" s="15"/>
      <c r="G29" s="353"/>
      <c r="H29" s="7"/>
      <c r="I29" s="7"/>
      <c r="J29" s="7"/>
      <c r="K29" s="7"/>
      <c r="L29" s="7"/>
      <c r="M29" s="7"/>
    </row>
    <row r="30" spans="1:13" ht="13.8">
      <c r="A30" s="517">
        <f>ROW()</f>
        <v>30</v>
      </c>
      <c r="B30" s="1431" t="s">
        <v>816</v>
      </c>
      <c r="C30" s="1431"/>
      <c r="D30" s="1431"/>
      <c r="E30" s="480">
        <v>0</v>
      </c>
      <c r="F30" s="15"/>
      <c r="G30" s="353"/>
      <c r="H30" s="7"/>
      <c r="I30" s="7"/>
      <c r="J30" s="7"/>
      <c r="K30" s="7"/>
      <c r="L30" s="7"/>
      <c r="M30" s="7"/>
    </row>
    <row r="31" spans="1:13" ht="13.8">
      <c r="A31" s="517">
        <f>ROW()</f>
        <v>31</v>
      </c>
      <c r="B31" s="1431" t="s">
        <v>1233</v>
      </c>
      <c r="C31" s="1431"/>
      <c r="D31" s="1431"/>
      <c r="E31" s="480">
        <v>0</v>
      </c>
      <c r="F31" s="15"/>
      <c r="G31" s="353"/>
      <c r="H31" s="7"/>
      <c r="I31" s="7"/>
      <c r="J31" s="7"/>
      <c r="K31" s="7"/>
      <c r="L31" s="7"/>
      <c r="M31" s="7"/>
    </row>
    <row r="32" spans="1:13" ht="13.8">
      <c r="A32" s="517">
        <f>ROW()</f>
        <v>32</v>
      </c>
      <c r="B32" s="1431" t="s">
        <v>823</v>
      </c>
      <c r="C32" s="1431"/>
      <c r="D32" s="1431"/>
      <c r="E32" s="480"/>
      <c r="F32" s="15"/>
      <c r="G32" s="353"/>
      <c r="H32" s="7"/>
      <c r="I32" s="7"/>
      <c r="J32" s="7"/>
      <c r="K32" s="7"/>
      <c r="L32" s="7"/>
      <c r="M32" s="7"/>
    </row>
    <row r="33" spans="1:13" ht="13.8">
      <c r="A33" s="517">
        <f>ROW()</f>
        <v>33</v>
      </c>
      <c r="B33" s="1441" t="s">
        <v>825</v>
      </c>
      <c r="C33" s="1441"/>
      <c r="D33" s="1441"/>
      <c r="E33" s="480">
        <v>98000</v>
      </c>
      <c r="F33" s="15"/>
      <c r="G33" s="353"/>
      <c r="H33" s="7"/>
      <c r="I33" s="7"/>
      <c r="J33" s="7"/>
      <c r="K33" s="7"/>
      <c r="L33" s="7"/>
      <c r="M33" s="7"/>
    </row>
    <row r="34" spans="1:13" ht="13.8">
      <c r="A34" s="517">
        <f>ROW()</f>
        <v>34</v>
      </c>
      <c r="B34" s="1441"/>
      <c r="C34" s="1441"/>
      <c r="D34" s="1441"/>
      <c r="E34" s="480"/>
      <c r="F34" s="15"/>
      <c r="G34" s="353"/>
      <c r="H34" s="7"/>
      <c r="I34" s="7"/>
      <c r="J34" s="7"/>
      <c r="K34" s="7"/>
      <c r="L34" s="7"/>
      <c r="M34" s="7"/>
    </row>
    <row r="35" spans="1:13" ht="13.8">
      <c r="A35" s="517">
        <f>ROW()</f>
        <v>35</v>
      </c>
      <c r="B35" s="1441"/>
      <c r="C35" s="1441"/>
      <c r="D35" s="1441"/>
      <c r="E35" s="480"/>
      <c r="F35" s="15"/>
      <c r="G35" s="353"/>
      <c r="H35" s="7"/>
      <c r="I35" s="7"/>
      <c r="J35" s="7"/>
      <c r="K35" s="7"/>
      <c r="L35" s="7"/>
      <c r="M35" s="7"/>
    </row>
    <row r="36" spans="1:13" ht="13.8">
      <c r="A36" s="517">
        <f>ROW()</f>
        <v>36</v>
      </c>
      <c r="B36" s="1441"/>
      <c r="C36" s="1441"/>
      <c r="D36" s="1441"/>
      <c r="E36" s="480"/>
      <c r="F36" s="15"/>
      <c r="G36" s="353"/>
      <c r="H36" s="7"/>
      <c r="I36" s="7"/>
      <c r="J36" s="7"/>
      <c r="K36" s="7"/>
      <c r="L36" s="7"/>
      <c r="M36" s="7"/>
    </row>
    <row r="37" spans="1:13" ht="13.8">
      <c r="A37" s="517">
        <f>ROW()</f>
        <v>37</v>
      </c>
      <c r="B37" s="2211"/>
      <c r="C37" s="2211"/>
      <c r="D37" s="2211"/>
      <c r="E37" s="480">
        <v>0</v>
      </c>
      <c r="F37" s="15"/>
      <c r="G37" s="353"/>
      <c r="H37" s="7"/>
      <c r="I37" s="7"/>
      <c r="J37" s="7"/>
      <c r="K37" s="7"/>
      <c r="L37" s="7"/>
      <c r="M37" s="7"/>
    </row>
    <row r="38" spans="1:13" ht="13.8">
      <c r="A38" s="517">
        <f>ROW()</f>
        <v>38</v>
      </c>
      <c r="B38" s="1356" t="s">
        <v>828</v>
      </c>
      <c r="C38" s="1356"/>
      <c r="D38" s="1357"/>
      <c r="E38" s="1358" t="s">
        <v>1413</v>
      </c>
      <c r="F38" s="16"/>
      <c r="G38" s="7"/>
      <c r="H38" s="7"/>
      <c r="I38" s="7"/>
      <c r="J38" s="7"/>
      <c r="K38" s="7"/>
      <c r="L38" s="7"/>
      <c r="M38" s="7"/>
    </row>
    <row r="39" spans="1:13" ht="13.8">
      <c r="A39" s="517">
        <f>ROW()</f>
        <v>39</v>
      </c>
      <c r="B39" s="1566" t="s">
        <v>1386</v>
      </c>
      <c r="C39" s="1566"/>
      <c r="D39" s="1567"/>
      <c r="E39" s="1568" t="e">
        <f>+#REF!-E38</f>
        <v>#REF!</v>
      </c>
      <c r="F39" s="16"/>
      <c r="G39" s="7"/>
      <c r="H39" s="7"/>
      <c r="I39" s="7"/>
      <c r="J39" s="7"/>
      <c r="K39" s="7"/>
      <c r="L39" s="7"/>
      <c r="M39" s="7"/>
    </row>
    <row r="40" spans="1:13" ht="13.8">
      <c r="A40" s="517">
        <f>ROW()</f>
        <v>40</v>
      </c>
      <c r="B40" s="11" t="s">
        <v>829</v>
      </c>
      <c r="C40" s="18"/>
      <c r="D40" s="18"/>
      <c r="E40" s="18"/>
      <c r="F40" s="18"/>
      <c r="G40" s="7"/>
      <c r="H40" s="7"/>
      <c r="I40" s="7"/>
      <c r="J40" s="7"/>
      <c r="K40" s="7"/>
      <c r="L40" s="7"/>
      <c r="M40" s="7"/>
    </row>
    <row r="41" spans="1:13">
      <c r="A41" s="7"/>
      <c r="C41" s="7"/>
      <c r="D41" s="7"/>
      <c r="E41" s="7"/>
      <c r="F41" s="7"/>
      <c r="G41" s="7"/>
      <c r="H41" s="7"/>
      <c r="I41" s="7"/>
      <c r="J41" s="7"/>
      <c r="K41" s="7"/>
      <c r="L41" s="7"/>
      <c r="M41" s="7"/>
    </row>
    <row r="42" spans="1:13">
      <c r="A42" s="7"/>
      <c r="B42" s="7"/>
      <c r="C42" s="7"/>
      <c r="D42" s="7"/>
      <c r="E42" s="7"/>
      <c r="F42" s="7"/>
      <c r="G42" s="7"/>
      <c r="H42" s="7"/>
      <c r="I42" s="7"/>
      <c r="J42" s="7"/>
      <c r="K42" s="7"/>
      <c r="L42" s="7"/>
      <c r="M42" s="7"/>
    </row>
    <row r="43" spans="1:13">
      <c r="A43" s="7"/>
      <c r="B43" s="7"/>
      <c r="C43" s="7"/>
      <c r="D43" s="7"/>
      <c r="E43" s="7"/>
      <c r="F43" s="7"/>
      <c r="G43" s="7"/>
      <c r="H43" s="7"/>
      <c r="I43" s="7"/>
      <c r="J43" s="7"/>
      <c r="K43" s="7"/>
      <c r="L43" s="7"/>
      <c r="M43" s="7"/>
    </row>
    <row r="44" spans="1:13">
      <c r="A44" s="7"/>
      <c r="B44" s="7"/>
      <c r="C44" s="7"/>
      <c r="D44" s="7"/>
      <c r="E44" s="7"/>
      <c r="F44" s="7"/>
      <c r="G44" s="7"/>
      <c r="H44" s="7"/>
      <c r="I44" s="7"/>
      <c r="J44" s="7"/>
      <c r="K44" s="7"/>
      <c r="L44" s="7"/>
      <c r="M44" s="7"/>
    </row>
    <row r="45" spans="1:13">
      <c r="A45" s="7"/>
      <c r="B45" s="7"/>
      <c r="C45" s="7"/>
      <c r="D45" s="7"/>
      <c r="E45" s="7"/>
      <c r="F45" s="7"/>
      <c r="G45" s="7"/>
      <c r="H45" s="7"/>
      <c r="I45" s="7"/>
      <c r="J45" s="7"/>
      <c r="K45" s="7"/>
      <c r="L45" s="7"/>
      <c r="M45" s="7"/>
    </row>
    <row r="46" spans="1:13">
      <c r="A46" s="7"/>
      <c r="B46" s="7"/>
      <c r="C46" s="7"/>
      <c r="D46" s="7"/>
      <c r="E46" s="7"/>
      <c r="F46" s="7"/>
      <c r="G46" s="7"/>
      <c r="H46" s="7"/>
      <c r="I46" s="7"/>
      <c r="J46" s="7"/>
      <c r="K46" s="7"/>
      <c r="L46" s="7"/>
      <c r="M46" s="7"/>
    </row>
    <row r="47" spans="1:13">
      <c r="A47" s="7"/>
      <c r="B47" s="7"/>
      <c r="C47" s="7"/>
      <c r="D47" s="7"/>
      <c r="E47" s="7"/>
      <c r="F47" s="7"/>
      <c r="G47" s="7"/>
      <c r="H47" s="7"/>
      <c r="I47" s="7"/>
      <c r="J47" s="7"/>
      <c r="K47" s="7"/>
      <c r="L47" s="7"/>
      <c r="M47" s="7"/>
    </row>
    <row r="48" spans="1:13">
      <c r="A48" s="7"/>
      <c r="B48" s="7"/>
      <c r="C48" s="7"/>
      <c r="D48" s="7"/>
      <c r="E48" s="7"/>
      <c r="F48" s="7"/>
      <c r="G48" s="7"/>
      <c r="H48" s="7"/>
      <c r="I48" s="7"/>
      <c r="J48" s="7"/>
      <c r="K48" s="7"/>
      <c r="L48" s="7"/>
      <c r="M48" s="7"/>
    </row>
    <row r="49" spans="1:13">
      <c r="A49" s="7"/>
      <c r="B49" s="7"/>
      <c r="C49" s="7"/>
      <c r="D49" s="7"/>
      <c r="E49" s="7"/>
      <c r="F49" s="7"/>
      <c r="G49" s="7"/>
      <c r="H49" s="7"/>
      <c r="I49" s="7"/>
      <c r="J49" s="7"/>
      <c r="K49" s="7"/>
      <c r="L49" s="7"/>
      <c r="M49" s="7"/>
    </row>
    <row r="50" spans="1:13">
      <c r="A50" s="7"/>
      <c r="B50" s="7"/>
      <c r="C50" s="7"/>
      <c r="D50" s="7"/>
      <c r="E50" s="7"/>
      <c r="F50" s="7"/>
      <c r="G50" s="7"/>
      <c r="H50" s="7"/>
      <c r="I50" s="7"/>
      <c r="J50" s="7"/>
      <c r="K50" s="7"/>
      <c r="L50" s="7"/>
      <c r="M50" s="7"/>
    </row>
    <row r="51" spans="1:13">
      <c r="A51" s="7"/>
      <c r="B51" s="7"/>
      <c r="C51" s="7"/>
      <c r="D51" s="7"/>
      <c r="E51" s="7"/>
      <c r="F51" s="7"/>
      <c r="G51" s="7"/>
      <c r="H51" s="7"/>
      <c r="I51" s="7"/>
      <c r="J51" s="7"/>
      <c r="K51" s="7"/>
      <c r="L51" s="7"/>
      <c r="M51" s="7"/>
    </row>
    <row r="52" spans="1:13">
      <c r="A52" s="7"/>
      <c r="B52" s="7"/>
      <c r="C52" s="7"/>
      <c r="D52" s="7"/>
      <c r="E52" s="7"/>
      <c r="F52" s="7"/>
      <c r="G52" s="7"/>
      <c r="H52" s="7"/>
      <c r="I52" s="7"/>
      <c r="J52" s="7"/>
      <c r="K52" s="7"/>
      <c r="L52" s="7"/>
      <c r="M52" s="7"/>
    </row>
    <row r="53" spans="1:13">
      <c r="A53" s="7"/>
      <c r="B53" s="7"/>
      <c r="C53" s="7"/>
      <c r="D53" s="7"/>
      <c r="E53" s="7"/>
      <c r="F53" s="7"/>
      <c r="G53" s="7"/>
      <c r="H53" s="7"/>
      <c r="I53" s="7"/>
      <c r="J53" s="7"/>
      <c r="K53" s="7"/>
      <c r="L53" s="7"/>
      <c r="M53" s="7"/>
    </row>
    <row r="54" spans="1:13">
      <c r="A54" s="7"/>
      <c r="B54" s="7"/>
      <c r="C54" s="7"/>
      <c r="D54" s="7"/>
      <c r="E54" s="7"/>
      <c r="F54" s="7"/>
      <c r="G54" s="7"/>
      <c r="H54" s="7"/>
      <c r="I54" s="7"/>
      <c r="J54" s="7"/>
      <c r="K54" s="7"/>
      <c r="L54" s="7"/>
      <c r="M54" s="7"/>
    </row>
    <row r="55" spans="1:13">
      <c r="A55" s="7"/>
      <c r="B55" s="7"/>
      <c r="C55" s="7"/>
      <c r="D55" s="7"/>
      <c r="E55" s="7"/>
      <c r="F55" s="7"/>
      <c r="G55" s="7"/>
      <c r="H55" s="7"/>
      <c r="I55" s="7"/>
      <c r="J55" s="7"/>
      <c r="K55" s="7"/>
      <c r="L55" s="7"/>
      <c r="M55" s="7"/>
    </row>
    <row r="56" spans="1:13">
      <c r="A56" s="7"/>
      <c r="B56" s="7"/>
      <c r="C56" s="7"/>
      <c r="D56" s="7"/>
      <c r="E56" s="7"/>
      <c r="F56" s="7"/>
      <c r="G56" s="7"/>
      <c r="H56" s="7"/>
      <c r="I56" s="7"/>
      <c r="J56" s="7"/>
      <c r="K56" s="7"/>
      <c r="L56" s="7"/>
      <c r="M56" s="7"/>
    </row>
  </sheetData>
  <sheetProtection algorithmName="SHA-512" hashValue="OEKXeD65WJoQJhLIQoWDXIdo6QPvlvoohZxyZe9zXhEPOAhNR6uF03/mheQYje8MEYimBKqBytzpp6WAHOZXXQ==" saltValue="SPBHKzh7UQDMiig+AZdcPA==" spinCount="100000" sheet="1" objects="1" scenarios="1"/>
  <sortState xmlns:xlrd2="http://schemas.microsoft.com/office/spreadsheetml/2017/richdata2" ref="B11:E33">
    <sortCondition ref="B11:B33"/>
  </sortState>
  <mergeCells count="2">
    <mergeCell ref="B10:E10"/>
    <mergeCell ref="B37:D37"/>
  </mergeCells>
  <conditionalFormatting sqref="E1">
    <cfRule type="expression" dxfId="619" priority="1" stopIfTrue="1">
      <formula>MOD(ROW(),2)=0</formula>
    </cfRule>
  </conditionalFormatting>
  <dataValidations count="1">
    <dataValidation allowBlank="1" showInputMessage="1" showErrorMessage="1" prompt="You may change any of the job titles." sqref="B11:B37" xr:uid="{CA297FA6-D014-4B8C-86C0-9D870A4C04CF}"/>
  </dataValidations>
  <hyperlinks>
    <hyperlink ref="E1" location="HypLink1" display="HypLink1" xr:uid="{3B9F8843-EC44-42CC-8E63-A7EE7555C4BF}"/>
  </hyperlinks>
  <pageMargins left="0.25" right="0.25" top="0.5" bottom="0.45" header="0.25" footer="0.25"/>
  <pageSetup orientation="landscape" r:id="rId1"/>
  <headerFooter alignWithMargins="0">
    <oddHeader xml:space="preserve">&amp;L &amp;C &amp;R </oddHeader>
    <oddFooter>&amp;L&amp;7&amp;D  at &amp;T Mike 702.486.8879&amp;C&amp;7&amp;F  &amp;A&amp;R&amp;7Page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sheetPr>
  <dimension ref="A1:T145"/>
  <sheetViews>
    <sheetView tabSelected="1" topLeftCell="A7" zoomScale="115" zoomScaleNormal="115" workbookViewId="0">
      <pane xSplit="4" ySplit="6" topLeftCell="E36" activePane="bottomRight" state="frozen"/>
      <selection activeCell="A7" sqref="A7"/>
      <selection pane="topRight" activeCell="E7" sqref="E7"/>
      <selection pane="bottomLeft" activeCell="A13" sqref="A13"/>
      <selection pane="bottomRight" activeCell="C41" sqref="C41"/>
    </sheetView>
  </sheetViews>
  <sheetFormatPr defaultColWidth="9.109375" defaultRowHeight="13.8"/>
  <cols>
    <col min="1" max="1" width="4.6640625" style="35" customWidth="1"/>
    <col min="2" max="2" width="28.88671875" style="35" customWidth="1"/>
    <col min="3" max="3" width="12.33203125" style="35" customWidth="1"/>
    <col min="4" max="4" width="11.5546875" style="35" customWidth="1"/>
    <col min="5" max="6" width="13.6640625" style="35" customWidth="1"/>
    <col min="7" max="7" width="14.109375" style="35" customWidth="1"/>
    <col min="8" max="8" width="14" style="35" customWidth="1"/>
    <col min="9" max="15" width="12.6640625" style="35" customWidth="1"/>
    <col min="16" max="17" width="13.109375" style="35" customWidth="1"/>
    <col min="18" max="18" width="2.44140625" style="35" customWidth="1"/>
    <col min="19" max="19" width="3.88671875" style="35" customWidth="1"/>
    <col min="20" max="20" width="58.6640625" style="317" customWidth="1"/>
    <col min="21" max="16384" width="9.109375" style="35"/>
  </cols>
  <sheetData>
    <row r="1" spans="1:20" ht="15.6">
      <c r="A1" s="119" t="s">
        <v>297</v>
      </c>
      <c r="B1" s="119"/>
      <c r="C1" s="37"/>
      <c r="D1" s="438" t="s">
        <v>2</v>
      </c>
      <c r="F1" s="82"/>
      <c r="G1" s="82"/>
      <c r="H1" s="82"/>
      <c r="I1" s="82"/>
      <c r="J1" s="82"/>
      <c r="K1" s="82"/>
      <c r="L1" s="82"/>
      <c r="P1" s="38"/>
    </row>
    <row r="2" spans="1:20" ht="15.6">
      <c r="A2" s="121" t="str">
        <f>SchoolName</f>
        <v>Eagle Charter Schools of Nevada</v>
      </c>
      <c r="B2" s="121"/>
      <c r="C2" s="39"/>
      <c r="F2" s="82"/>
      <c r="G2" s="82"/>
      <c r="H2" s="82"/>
      <c r="I2" s="82"/>
      <c r="J2" s="82"/>
      <c r="K2" s="82"/>
      <c r="L2" s="82"/>
    </row>
    <row r="3" spans="1:20">
      <c r="A3" s="41" t="s">
        <v>72</v>
      </c>
      <c r="B3" s="41"/>
      <c r="C3" s="41"/>
      <c r="D3" s="41"/>
      <c r="L3" s="82"/>
    </row>
    <row r="4" spans="1:20">
      <c r="A4" s="42" t="s">
        <v>73</v>
      </c>
      <c r="B4" s="42"/>
      <c r="C4" s="42"/>
      <c r="D4" s="42"/>
      <c r="L4" s="82"/>
    </row>
    <row r="5" spans="1:20">
      <c r="A5" s="32" t="str">
        <f ca="1">CELL("filename")</f>
        <v>C:\Users\Nicho\Desktop\[Attachment 2.  Eagle NV RFA 12.16.22.xlsx]CF Y1 Mo</v>
      </c>
      <c r="B5" s="32"/>
      <c r="C5" s="32"/>
      <c r="D5" s="32"/>
      <c r="L5" s="82"/>
    </row>
    <row r="7" spans="1:20" ht="17.399999999999999">
      <c r="B7" s="79" t="s">
        <v>298</v>
      </c>
      <c r="C7" s="79"/>
      <c r="D7" s="79"/>
      <c r="E7" s="230">
        <f>' Enrol &amp; Rev'!G10</f>
        <v>2023</v>
      </c>
      <c r="F7" s="80" t="s">
        <v>299</v>
      </c>
      <c r="M7" s="12"/>
      <c r="N7" s="12"/>
      <c r="O7" s="12"/>
      <c r="P7" s="12"/>
      <c r="Q7" s="12"/>
    </row>
    <row r="8" spans="1:20" ht="14.4">
      <c r="B8" s="81" t="s">
        <v>300</v>
      </c>
      <c r="C8" s="81"/>
      <c r="D8" s="81"/>
      <c r="E8" s="230">
        <f>' Enrol &amp; Rev'!G11</f>
        <v>2024</v>
      </c>
      <c r="F8" s="192" t="s">
        <v>301</v>
      </c>
      <c r="G8" s="83"/>
      <c r="L8" s="83"/>
      <c r="M8" s="83"/>
      <c r="N8" s="83"/>
      <c r="O8" s="83"/>
      <c r="P8" s="83"/>
      <c r="Q8" s="83"/>
    </row>
    <row r="9" spans="1:20">
      <c r="B9" s="81" t="s">
        <v>302</v>
      </c>
      <c r="C9" s="81"/>
      <c r="D9" s="81"/>
      <c r="E9" s="252">
        <v>1.2500000000000001E-2</v>
      </c>
      <c r="F9" s="371" t="s">
        <v>303</v>
      </c>
      <c r="G9" s="83"/>
      <c r="L9" s="83"/>
      <c r="M9" s="83"/>
      <c r="N9" s="83"/>
      <c r="O9" s="83"/>
      <c r="P9" s="83"/>
      <c r="Q9" s="83"/>
    </row>
    <row r="10" spans="1:20">
      <c r="B10" s="82" t="s">
        <v>304</v>
      </c>
      <c r="C10" s="82"/>
      <c r="D10" s="82"/>
      <c r="E10" s="12"/>
      <c r="F10" s="84"/>
      <c r="G10" s="84"/>
      <c r="H10" s="12"/>
      <c r="I10" s="84"/>
      <c r="J10" s="12"/>
      <c r="K10" s="12"/>
      <c r="L10" s="12"/>
      <c r="M10" s="12"/>
      <c r="N10" s="12"/>
      <c r="O10" s="12"/>
      <c r="P10" s="12"/>
      <c r="Q10" s="12"/>
    </row>
    <row r="11" spans="1:20" ht="15" customHeight="1">
      <c r="C11" s="566" t="s">
        <v>305</v>
      </c>
      <c r="D11" s="567"/>
      <c r="E11" s="814" t="s">
        <v>306</v>
      </c>
      <c r="F11" s="815" t="s">
        <v>307</v>
      </c>
      <c r="G11" s="815" t="s">
        <v>307</v>
      </c>
      <c r="H11" s="568" t="s">
        <v>307</v>
      </c>
      <c r="I11" s="815" t="s">
        <v>307</v>
      </c>
      <c r="J11" s="815" t="s">
        <v>307</v>
      </c>
      <c r="K11" s="568" t="s">
        <v>307</v>
      </c>
      <c r="L11" s="815" t="s">
        <v>307</v>
      </c>
      <c r="M11" s="815" t="s">
        <v>307</v>
      </c>
      <c r="N11" s="568" t="s">
        <v>307</v>
      </c>
      <c r="O11" s="815" t="s">
        <v>307</v>
      </c>
      <c r="P11" s="815" t="s">
        <v>307</v>
      </c>
      <c r="Q11" s="569" t="s">
        <v>307</v>
      </c>
    </row>
    <row r="12" spans="1:20">
      <c r="B12" s="13"/>
      <c r="C12" s="882" t="s">
        <v>308</v>
      </c>
      <c r="D12" s="883" t="s">
        <v>309</v>
      </c>
      <c r="E12" s="884">
        <f>+E8</f>
        <v>2024</v>
      </c>
      <c r="F12" s="885" t="s">
        <v>310</v>
      </c>
      <c r="G12" s="885" t="s">
        <v>311</v>
      </c>
      <c r="H12" s="886" t="s">
        <v>312</v>
      </c>
      <c r="I12" s="885" t="s">
        <v>313</v>
      </c>
      <c r="J12" s="885" t="s">
        <v>314</v>
      </c>
      <c r="K12" s="886" t="s">
        <v>315</v>
      </c>
      <c r="L12" s="885" t="s">
        <v>316</v>
      </c>
      <c r="M12" s="885" t="s">
        <v>317</v>
      </c>
      <c r="N12" s="886" t="s">
        <v>318</v>
      </c>
      <c r="O12" s="885" t="s">
        <v>319</v>
      </c>
      <c r="P12" s="885" t="s">
        <v>320</v>
      </c>
      <c r="Q12" s="887" t="s">
        <v>321</v>
      </c>
      <c r="T12" s="1615" t="s">
        <v>322</v>
      </c>
    </row>
    <row r="13" spans="1:20">
      <c r="B13" s="13"/>
      <c r="C13" s="1402"/>
      <c r="D13" s="1403"/>
      <c r="E13" s="1404" t="s">
        <v>323</v>
      </c>
      <c r="F13" s="1405">
        <v>7</v>
      </c>
      <c r="G13" s="1405">
        <f>+F13+1</f>
        <v>8</v>
      </c>
      <c r="H13" s="1405">
        <f>+G13+1</f>
        <v>9</v>
      </c>
      <c r="I13" s="1405">
        <f>+H13+1</f>
        <v>10</v>
      </c>
      <c r="J13" s="1405">
        <f>+I13+1</f>
        <v>11</v>
      </c>
      <c r="K13" s="1405">
        <f>+J13+1</f>
        <v>12</v>
      </c>
      <c r="L13" s="1405">
        <v>1</v>
      </c>
      <c r="M13" s="1405">
        <f>+L13+1</f>
        <v>2</v>
      </c>
      <c r="N13" s="1405">
        <f>+M13+1</f>
        <v>3</v>
      </c>
      <c r="O13" s="1405">
        <f>+N13+1</f>
        <v>4</v>
      </c>
      <c r="P13" s="1405">
        <f>+O13+1</f>
        <v>5</v>
      </c>
      <c r="Q13" s="1405">
        <f>+P13+1</f>
        <v>6</v>
      </c>
      <c r="T13" s="1479"/>
    </row>
    <row r="14" spans="1:20">
      <c r="B14" s="13"/>
      <c r="C14" s="1402"/>
      <c r="D14" s="1403"/>
      <c r="E14" s="1404" t="s">
        <v>324</v>
      </c>
      <c r="F14" s="1406">
        <f t="shared" ref="F14:K14" si="0">DATE($E$12-1,F13,1)</f>
        <v>45108</v>
      </c>
      <c r="G14" s="1406">
        <f t="shared" si="0"/>
        <v>45139</v>
      </c>
      <c r="H14" s="1406">
        <f t="shared" si="0"/>
        <v>45170</v>
      </c>
      <c r="I14" s="1406">
        <f t="shared" si="0"/>
        <v>45200</v>
      </c>
      <c r="J14" s="1406">
        <f t="shared" si="0"/>
        <v>45231</v>
      </c>
      <c r="K14" s="1406">
        <f t="shared" si="0"/>
        <v>45261</v>
      </c>
      <c r="L14" s="1406">
        <f t="shared" ref="L14:Q14" si="1">DATE($E$12,L13,1)</f>
        <v>45292</v>
      </c>
      <c r="M14" s="1406">
        <f t="shared" si="1"/>
        <v>45323</v>
      </c>
      <c r="N14" s="1406">
        <f t="shared" si="1"/>
        <v>45352</v>
      </c>
      <c r="O14" s="1406">
        <f t="shared" si="1"/>
        <v>45383</v>
      </c>
      <c r="P14" s="1406">
        <f t="shared" si="1"/>
        <v>45413</v>
      </c>
      <c r="Q14" s="1406">
        <f t="shared" si="1"/>
        <v>45444</v>
      </c>
      <c r="T14" s="1479"/>
    </row>
    <row r="15" spans="1:20">
      <c r="B15" s="13"/>
      <c r="C15" s="1402"/>
      <c r="D15" s="1403"/>
      <c r="E15" s="1407" t="s">
        <v>325</v>
      </c>
      <c r="F15" s="1408">
        <f t="shared" ref="F15:P15" si="2">+G14-F14</f>
        <v>31</v>
      </c>
      <c r="G15" s="1408">
        <f t="shared" si="2"/>
        <v>31</v>
      </c>
      <c r="H15" s="1408">
        <f t="shared" si="2"/>
        <v>30</v>
      </c>
      <c r="I15" s="1408">
        <f t="shared" si="2"/>
        <v>31</v>
      </c>
      <c r="J15" s="1408">
        <f t="shared" si="2"/>
        <v>30</v>
      </c>
      <c r="K15" s="1408">
        <f t="shared" si="2"/>
        <v>31</v>
      </c>
      <c r="L15" s="1408">
        <f t="shared" si="2"/>
        <v>31</v>
      </c>
      <c r="M15" s="1408">
        <f t="shared" si="2"/>
        <v>29</v>
      </c>
      <c r="N15" s="1408">
        <f t="shared" si="2"/>
        <v>31</v>
      </c>
      <c r="O15" s="1408">
        <f t="shared" si="2"/>
        <v>30</v>
      </c>
      <c r="P15" s="1408">
        <f t="shared" si="2"/>
        <v>31</v>
      </c>
      <c r="Q15" s="1408">
        <f>DATE($E$12,7,1)-Q14</f>
        <v>30</v>
      </c>
      <c r="T15" s="1479"/>
    </row>
    <row r="16" spans="1:20">
      <c r="A16" s="356">
        <f>ROW()</f>
        <v>16</v>
      </c>
      <c r="B16" s="891" t="s">
        <v>326</v>
      </c>
      <c r="C16" s="891"/>
      <c r="D16" s="891"/>
      <c r="E16" s="892"/>
      <c r="F16" s="893"/>
      <c r="G16" s="893"/>
      <c r="H16" s="893"/>
      <c r="I16" s="893"/>
      <c r="J16" s="893"/>
      <c r="K16" s="893"/>
      <c r="L16" s="893"/>
      <c r="M16" s="893"/>
      <c r="N16" s="893"/>
      <c r="O16" s="893"/>
      <c r="P16" s="893"/>
      <c r="Q16" s="893"/>
    </row>
    <row r="17" spans="1:20">
      <c r="A17" s="356">
        <f>ROW()</f>
        <v>17</v>
      </c>
      <c r="B17" s="931" t="s">
        <v>126</v>
      </c>
      <c r="C17" s="888">
        <f>' Enrol &amp; Rev'!G114</f>
        <v>3938220</v>
      </c>
      <c r="D17" s="888">
        <f>+C17-E17</f>
        <v>0</v>
      </c>
      <c r="E17" s="888">
        <f>SUM(F17:Q17)</f>
        <v>3938220</v>
      </c>
      <c r="F17" s="889">
        <f>(C17/4)*0.75</f>
        <v>738416.25</v>
      </c>
      <c r="G17" s="890"/>
      <c r="H17" s="890"/>
      <c r="I17" s="889">
        <f>+(C17-F17)/3</f>
        <v>1066601.25</v>
      </c>
      <c r="J17" s="890"/>
      <c r="K17" s="890"/>
      <c r="L17" s="890">
        <f>+I17</f>
        <v>1066601.25</v>
      </c>
      <c r="M17" s="890"/>
      <c r="N17" s="890"/>
      <c r="O17" s="890">
        <f>+L17</f>
        <v>1066601.25</v>
      </c>
      <c r="P17" s="890"/>
      <c r="Q17" s="890"/>
      <c r="T17" s="353" t="s">
        <v>327</v>
      </c>
    </row>
    <row r="18" spans="1:20">
      <c r="A18" s="356">
        <f>ROW()</f>
        <v>18</v>
      </c>
      <c r="B18" s="932" t="s">
        <v>328</v>
      </c>
      <c r="C18" s="561">
        <f>' Enrol &amp; Rev'!G115</f>
        <v>-49227.75</v>
      </c>
      <c r="D18" s="561">
        <f t="shared" ref="D18:D34" si="3">+C18-E18</f>
        <v>0</v>
      </c>
      <c r="E18" s="561">
        <f>SUM(F18:Q18)</f>
        <v>-49227.75</v>
      </c>
      <c r="F18" s="562">
        <f>-0.0125*F17</f>
        <v>-9230.203125</v>
      </c>
      <c r="G18" s="562">
        <f t="shared" ref="G18:Q18" si="4">-0.0125*G17</f>
        <v>0</v>
      </c>
      <c r="H18" s="562">
        <f t="shared" si="4"/>
        <v>0</v>
      </c>
      <c r="I18" s="562">
        <f t="shared" si="4"/>
        <v>-13332.515625</v>
      </c>
      <c r="J18" s="562">
        <f t="shared" si="4"/>
        <v>0</v>
      </c>
      <c r="K18" s="562">
        <f t="shared" si="4"/>
        <v>0</v>
      </c>
      <c r="L18" s="562">
        <f t="shared" si="4"/>
        <v>-13332.515625</v>
      </c>
      <c r="M18" s="562">
        <f t="shared" si="4"/>
        <v>0</v>
      </c>
      <c r="N18" s="562">
        <f t="shared" si="4"/>
        <v>0</v>
      </c>
      <c r="O18" s="562">
        <f t="shared" si="4"/>
        <v>-13332.515625</v>
      </c>
      <c r="P18" s="562">
        <f t="shared" si="4"/>
        <v>0</v>
      </c>
      <c r="Q18" s="562">
        <f t="shared" si="4"/>
        <v>0</v>
      </c>
      <c r="T18" s="353" t="s">
        <v>329</v>
      </c>
    </row>
    <row r="19" spans="1:20">
      <c r="A19" s="356">
        <f>ROW()</f>
        <v>19</v>
      </c>
      <c r="B19" s="932" t="s">
        <v>127</v>
      </c>
      <c r="C19" s="561">
        <f>' Enrol &amp; Rev'!G122</f>
        <v>340200</v>
      </c>
      <c r="D19" s="561">
        <f t="shared" si="3"/>
        <v>0</v>
      </c>
      <c r="E19" s="561">
        <f>SUM(F19:Q19)</f>
        <v>340200</v>
      </c>
      <c r="F19" s="562"/>
      <c r="G19" s="562"/>
      <c r="H19" s="562"/>
      <c r="I19" s="562"/>
      <c r="J19" s="562"/>
      <c r="K19" s="562"/>
      <c r="L19" s="562">
        <f>$C19/6</f>
        <v>56700</v>
      </c>
      <c r="M19" s="562">
        <f t="shared" ref="M19:Q22" si="5">$C19/6</f>
        <v>56700</v>
      </c>
      <c r="N19" s="562">
        <f t="shared" si="5"/>
        <v>56700</v>
      </c>
      <c r="O19" s="562">
        <f t="shared" si="5"/>
        <v>56700</v>
      </c>
      <c r="P19" s="562">
        <f t="shared" si="5"/>
        <v>56700</v>
      </c>
      <c r="Q19" s="562">
        <f t="shared" si="5"/>
        <v>56700</v>
      </c>
      <c r="T19" s="353"/>
    </row>
    <row r="20" spans="1:20">
      <c r="A20" s="356">
        <f>ROW()</f>
        <v>20</v>
      </c>
      <c r="B20" s="932" t="s">
        <v>128</v>
      </c>
      <c r="C20" s="561">
        <f>' Enrol &amp; Rev'!G123</f>
        <v>35910</v>
      </c>
      <c r="D20" s="561">
        <f t="shared" si="3"/>
        <v>0</v>
      </c>
      <c r="E20" s="561">
        <f>SUM(F20:Q20)</f>
        <v>35910</v>
      </c>
      <c r="F20" s="562"/>
      <c r="G20" s="562"/>
      <c r="H20" s="562"/>
      <c r="I20" s="562"/>
      <c r="J20" s="562"/>
      <c r="K20" s="562"/>
      <c r="L20" s="562">
        <f t="shared" ref="L20:L22" si="6">$C20/6</f>
        <v>5985</v>
      </c>
      <c r="M20" s="562">
        <f t="shared" si="5"/>
        <v>5985</v>
      </c>
      <c r="N20" s="562">
        <f t="shared" si="5"/>
        <v>5985</v>
      </c>
      <c r="O20" s="562">
        <f t="shared" si="5"/>
        <v>5985</v>
      </c>
      <c r="P20" s="562">
        <f t="shared" si="5"/>
        <v>5985</v>
      </c>
      <c r="Q20" s="562">
        <f t="shared" si="5"/>
        <v>5985</v>
      </c>
      <c r="T20" s="353"/>
    </row>
    <row r="21" spans="1:20">
      <c r="A21" s="356">
        <f>ROW()</f>
        <v>21</v>
      </c>
      <c r="B21" s="932" t="s">
        <v>128</v>
      </c>
      <c r="C21" s="561">
        <f>' Enrol &amp; Rev'!G124</f>
        <v>2160</v>
      </c>
      <c r="D21" s="561">
        <f t="shared" ref="D21" si="7">+C21-E21</f>
        <v>0</v>
      </c>
      <c r="E21" s="561">
        <f>SUM(F21:Q21)</f>
        <v>2160</v>
      </c>
      <c r="F21" s="562"/>
      <c r="G21" s="562"/>
      <c r="H21" s="562"/>
      <c r="I21" s="562"/>
      <c r="J21" s="562"/>
      <c r="K21" s="562"/>
      <c r="L21" s="562">
        <f t="shared" si="6"/>
        <v>360</v>
      </c>
      <c r="M21" s="562">
        <f t="shared" si="5"/>
        <v>360</v>
      </c>
      <c r="N21" s="562">
        <f t="shared" si="5"/>
        <v>360</v>
      </c>
      <c r="O21" s="562">
        <f t="shared" si="5"/>
        <v>360</v>
      </c>
      <c r="P21" s="562">
        <f t="shared" si="5"/>
        <v>360</v>
      </c>
      <c r="Q21" s="562">
        <f t="shared" si="5"/>
        <v>360</v>
      </c>
      <c r="T21" s="353"/>
    </row>
    <row r="22" spans="1:20">
      <c r="A22" s="356">
        <f>ROW()</f>
        <v>22</v>
      </c>
      <c r="B22" s="932" t="s">
        <v>129</v>
      </c>
      <c r="C22" s="561">
        <f>' Enrol &amp; Rev'!G125</f>
        <v>8100</v>
      </c>
      <c r="D22" s="561">
        <f t="shared" si="3"/>
        <v>0</v>
      </c>
      <c r="E22" s="561">
        <f t="shared" ref="E22:E33" si="8">SUM(F22:Q22)</f>
        <v>8100</v>
      </c>
      <c r="F22" s="562"/>
      <c r="G22" s="562">
        <v>0</v>
      </c>
      <c r="H22" s="562">
        <v>0</v>
      </c>
      <c r="I22" s="562">
        <v>0</v>
      </c>
      <c r="J22" s="562">
        <v>0</v>
      </c>
      <c r="K22" s="562">
        <v>0</v>
      </c>
      <c r="L22" s="562">
        <f t="shared" si="6"/>
        <v>1350</v>
      </c>
      <c r="M22" s="562">
        <f t="shared" si="5"/>
        <v>1350</v>
      </c>
      <c r="N22" s="562">
        <f t="shared" si="5"/>
        <v>1350</v>
      </c>
      <c r="O22" s="562">
        <f t="shared" si="5"/>
        <v>1350</v>
      </c>
      <c r="P22" s="562">
        <f t="shared" si="5"/>
        <v>1350</v>
      </c>
      <c r="Q22" s="562">
        <f t="shared" si="5"/>
        <v>1350</v>
      </c>
      <c r="T22" s="353"/>
    </row>
    <row r="23" spans="1:20">
      <c r="A23" s="356">
        <f>ROW()</f>
        <v>23</v>
      </c>
      <c r="B23" s="932" t="s">
        <v>131</v>
      </c>
      <c r="C23" s="561">
        <f>' Enrol &amp; Rev'!G127</f>
        <v>192456.00000000003</v>
      </c>
      <c r="D23" s="561">
        <f t="shared" si="3"/>
        <v>0</v>
      </c>
      <c r="E23" s="561">
        <f t="shared" si="8"/>
        <v>192456.00000000003</v>
      </c>
      <c r="F23" s="563"/>
      <c r="G23" s="562">
        <v>0</v>
      </c>
      <c r="H23" s="562">
        <f>$C23/10</f>
        <v>19245.600000000002</v>
      </c>
      <c r="I23" s="562">
        <f t="shared" ref="I23:Q24" si="9">$C23/10</f>
        <v>19245.600000000002</v>
      </c>
      <c r="J23" s="562">
        <f t="shared" si="9"/>
        <v>19245.600000000002</v>
      </c>
      <c r="K23" s="562">
        <f t="shared" si="9"/>
        <v>19245.600000000002</v>
      </c>
      <c r="L23" s="562">
        <f t="shared" si="9"/>
        <v>19245.600000000002</v>
      </c>
      <c r="M23" s="562">
        <f t="shared" si="9"/>
        <v>19245.600000000002</v>
      </c>
      <c r="N23" s="562">
        <f t="shared" si="9"/>
        <v>19245.600000000002</v>
      </c>
      <c r="O23" s="562">
        <f t="shared" si="9"/>
        <v>19245.600000000002</v>
      </c>
      <c r="P23" s="562">
        <f t="shared" si="9"/>
        <v>19245.600000000002</v>
      </c>
      <c r="Q23" s="562">
        <f t="shared" si="9"/>
        <v>19245.600000000002</v>
      </c>
      <c r="T23" s="353"/>
    </row>
    <row r="24" spans="1:20">
      <c r="A24" s="356">
        <f>ROW()</f>
        <v>24</v>
      </c>
      <c r="B24" s="932" t="s">
        <v>132</v>
      </c>
      <c r="C24" s="561">
        <f>' Enrol &amp; Rev'!G128</f>
        <v>300056.40000000002</v>
      </c>
      <c r="D24" s="561">
        <f t="shared" si="3"/>
        <v>0</v>
      </c>
      <c r="E24" s="561">
        <f t="shared" si="8"/>
        <v>300056.40000000008</v>
      </c>
      <c r="F24" s="563"/>
      <c r="G24" s="562">
        <v>0</v>
      </c>
      <c r="H24" s="562">
        <f>$C24/10</f>
        <v>30005.640000000003</v>
      </c>
      <c r="I24" s="562">
        <f t="shared" si="9"/>
        <v>30005.640000000003</v>
      </c>
      <c r="J24" s="562">
        <f t="shared" si="9"/>
        <v>30005.640000000003</v>
      </c>
      <c r="K24" s="562">
        <f t="shared" si="9"/>
        <v>30005.640000000003</v>
      </c>
      <c r="L24" s="562">
        <f t="shared" si="9"/>
        <v>30005.640000000003</v>
      </c>
      <c r="M24" s="562">
        <f t="shared" si="9"/>
        <v>30005.640000000003</v>
      </c>
      <c r="N24" s="562">
        <f t="shared" si="9"/>
        <v>30005.640000000003</v>
      </c>
      <c r="O24" s="562">
        <f t="shared" si="9"/>
        <v>30005.640000000003</v>
      </c>
      <c r="P24" s="562">
        <f t="shared" si="9"/>
        <v>30005.640000000003</v>
      </c>
      <c r="Q24" s="562">
        <f t="shared" si="9"/>
        <v>30005.640000000003</v>
      </c>
      <c r="T24" s="353"/>
    </row>
    <row r="25" spans="1:20">
      <c r="A25" s="356">
        <f>ROW()</f>
        <v>25</v>
      </c>
      <c r="B25" s="932" t="s">
        <v>133</v>
      </c>
      <c r="C25" s="561">
        <f>' Enrol &amp; Rev'!G129</f>
        <v>85860</v>
      </c>
      <c r="D25" s="561">
        <f t="shared" si="3"/>
        <v>0</v>
      </c>
      <c r="E25" s="561">
        <f t="shared" si="8"/>
        <v>85860</v>
      </c>
      <c r="F25" s="563"/>
      <c r="G25" s="562"/>
      <c r="H25" s="562"/>
      <c r="I25" s="562"/>
      <c r="J25" s="563"/>
      <c r="K25" s="562"/>
      <c r="L25" s="562">
        <f t="shared" ref="L25:Q25" si="10">$C25/6</f>
        <v>14310</v>
      </c>
      <c r="M25" s="562">
        <f t="shared" si="10"/>
        <v>14310</v>
      </c>
      <c r="N25" s="562">
        <f t="shared" si="10"/>
        <v>14310</v>
      </c>
      <c r="O25" s="562">
        <f t="shared" si="10"/>
        <v>14310</v>
      </c>
      <c r="P25" s="562">
        <f t="shared" si="10"/>
        <v>14310</v>
      </c>
      <c r="Q25" s="562">
        <f t="shared" si="10"/>
        <v>14310</v>
      </c>
      <c r="T25" s="353"/>
    </row>
    <row r="26" spans="1:20">
      <c r="A26" s="356">
        <f>ROW()</f>
        <v>26</v>
      </c>
      <c r="B26" s="932" t="s">
        <v>1370</v>
      </c>
      <c r="C26" s="561">
        <f>+' Enrol &amp; Rev'!G110</f>
        <v>0</v>
      </c>
      <c r="D26" s="561">
        <f t="shared" si="3"/>
        <v>0</v>
      </c>
      <c r="E26" s="561">
        <f t="shared" si="8"/>
        <v>0</v>
      </c>
      <c r="F26" s="563"/>
      <c r="G26" s="562"/>
      <c r="H26" s="562"/>
      <c r="I26" s="562"/>
      <c r="J26" s="563"/>
      <c r="K26" s="562"/>
      <c r="L26" s="562"/>
      <c r="M26" s="562"/>
      <c r="N26" s="563"/>
      <c r="O26" s="562"/>
      <c r="P26" s="562"/>
      <c r="Q26" s="562">
        <v>0</v>
      </c>
      <c r="T26" s="353"/>
    </row>
    <row r="27" spans="1:20">
      <c r="A27" s="356">
        <f>ROW()</f>
        <v>27</v>
      </c>
      <c r="B27" s="932" t="s">
        <v>330</v>
      </c>
      <c r="C27" s="561">
        <f>' Enrol &amp; Rev'!G130</f>
        <v>400000</v>
      </c>
      <c r="D27" s="561">
        <f t="shared" si="3"/>
        <v>0</v>
      </c>
      <c r="E27" s="561">
        <f t="shared" si="8"/>
        <v>400000</v>
      </c>
      <c r="F27" s="563">
        <v>300000</v>
      </c>
      <c r="G27" s="562">
        <v>100000</v>
      </c>
      <c r="H27" s="562"/>
      <c r="I27" s="562"/>
      <c r="J27" s="563"/>
      <c r="K27" s="562"/>
      <c r="L27" s="562"/>
      <c r="M27" s="562"/>
      <c r="N27" s="563"/>
      <c r="O27" s="562"/>
      <c r="P27" s="562"/>
      <c r="Q27" s="562"/>
      <c r="T27" s="353" t="s">
        <v>1526</v>
      </c>
    </row>
    <row r="28" spans="1:20">
      <c r="A28" s="356">
        <f>ROW()</f>
        <v>28</v>
      </c>
      <c r="B28" s="932" t="s">
        <v>331</v>
      </c>
      <c r="C28" s="561">
        <f>' Enrol &amp; Rev'!G132</f>
        <v>0</v>
      </c>
      <c r="D28" s="561">
        <f t="shared" si="3"/>
        <v>0</v>
      </c>
      <c r="E28" s="561">
        <f t="shared" si="8"/>
        <v>0</v>
      </c>
      <c r="F28" s="563"/>
      <c r="G28" s="562"/>
      <c r="H28" s="562"/>
      <c r="I28" s="562"/>
      <c r="J28" s="563"/>
      <c r="K28" s="562"/>
      <c r="L28" s="562"/>
      <c r="M28" s="562"/>
      <c r="N28" s="563"/>
      <c r="O28" s="562"/>
      <c r="P28" s="562"/>
      <c r="Q28" s="562"/>
      <c r="T28" s="353"/>
    </row>
    <row r="29" spans="1:20">
      <c r="A29" s="356">
        <f>ROW()</f>
        <v>29</v>
      </c>
      <c r="B29" s="932" t="s">
        <v>141</v>
      </c>
      <c r="C29" s="561">
        <f>' Enrol &amp; Rev'!G133</f>
        <v>0</v>
      </c>
      <c r="D29" s="561">
        <f t="shared" si="3"/>
        <v>0</v>
      </c>
      <c r="E29" s="561">
        <f t="shared" si="8"/>
        <v>0</v>
      </c>
      <c r="F29" s="563"/>
      <c r="G29" s="562"/>
      <c r="H29" s="562"/>
      <c r="I29" s="562"/>
      <c r="J29" s="563"/>
      <c r="K29" s="562"/>
      <c r="L29" s="562"/>
      <c r="M29" s="562"/>
      <c r="N29" s="563"/>
      <c r="O29" s="562"/>
      <c r="P29" s="562"/>
      <c r="Q29" s="562"/>
      <c r="T29" s="353"/>
    </row>
    <row r="30" spans="1:20">
      <c r="A30" s="356">
        <f>ROW()</f>
        <v>30</v>
      </c>
      <c r="B30" s="932" t="s">
        <v>332</v>
      </c>
      <c r="C30" s="561">
        <f>' Enrol &amp; Rev'!G134</f>
        <v>0</v>
      </c>
      <c r="D30" s="561">
        <f t="shared" si="3"/>
        <v>0</v>
      </c>
      <c r="E30" s="561">
        <f t="shared" si="8"/>
        <v>0</v>
      </c>
      <c r="F30" s="563"/>
      <c r="G30" s="562">
        <v>0</v>
      </c>
      <c r="H30" s="562">
        <v>0</v>
      </c>
      <c r="I30" s="562">
        <v>0</v>
      </c>
      <c r="J30" s="562">
        <v>0</v>
      </c>
      <c r="K30" s="562">
        <v>0</v>
      </c>
      <c r="L30" s="562">
        <v>0</v>
      </c>
      <c r="M30" s="562">
        <v>0</v>
      </c>
      <c r="N30" s="562">
        <v>0</v>
      </c>
      <c r="O30" s="562">
        <v>0</v>
      </c>
      <c r="P30" s="562">
        <v>0</v>
      </c>
      <c r="Q30" s="562"/>
      <c r="T30" s="353"/>
    </row>
    <row r="31" spans="1:20">
      <c r="A31" s="356">
        <f>ROW()</f>
        <v>31</v>
      </c>
      <c r="B31" s="932" t="s">
        <v>140</v>
      </c>
      <c r="C31" s="561">
        <f>' Enrol &amp; Rev'!G137</f>
        <v>0</v>
      </c>
      <c r="D31" s="561">
        <f t="shared" si="3"/>
        <v>0</v>
      </c>
      <c r="E31" s="561">
        <f t="shared" si="8"/>
        <v>0</v>
      </c>
      <c r="F31" s="563"/>
      <c r="G31" s="562"/>
      <c r="H31" s="562"/>
      <c r="I31" s="562"/>
      <c r="J31" s="563"/>
      <c r="K31" s="562"/>
      <c r="L31" s="562"/>
      <c r="M31" s="562"/>
      <c r="N31" s="563"/>
      <c r="O31" s="562"/>
      <c r="P31" s="562"/>
      <c r="Q31" s="562"/>
      <c r="T31" s="353"/>
    </row>
    <row r="32" spans="1:20">
      <c r="A32" s="356">
        <f>ROW()</f>
        <v>32</v>
      </c>
      <c r="B32" s="932" t="s">
        <v>333</v>
      </c>
      <c r="C32" s="561">
        <f>' Enrol &amp; Rev'!G138</f>
        <v>0</v>
      </c>
      <c r="D32" s="561">
        <f t="shared" si="3"/>
        <v>0</v>
      </c>
      <c r="E32" s="561">
        <f t="shared" si="8"/>
        <v>0</v>
      </c>
      <c r="F32" s="563"/>
      <c r="G32" s="562">
        <v>0</v>
      </c>
      <c r="H32" s="562">
        <v>0</v>
      </c>
      <c r="I32" s="562"/>
      <c r="J32" s="563"/>
      <c r="K32" s="562"/>
      <c r="L32" s="562"/>
      <c r="M32" s="562"/>
      <c r="N32" s="563"/>
      <c r="O32" s="562"/>
      <c r="P32" s="562"/>
      <c r="Q32" s="562"/>
      <c r="T32" s="353"/>
    </row>
    <row r="33" spans="1:20">
      <c r="A33" s="356">
        <f>ROW()</f>
        <v>33</v>
      </c>
      <c r="B33" s="933" t="s">
        <v>334</v>
      </c>
      <c r="C33" s="564">
        <f>+' Enrol &amp; Rev'!G139</f>
        <v>0</v>
      </c>
      <c r="D33" s="581">
        <f t="shared" si="3"/>
        <v>0</v>
      </c>
      <c r="E33" s="581">
        <f t="shared" si="8"/>
        <v>0</v>
      </c>
      <c r="F33" s="881">
        <v>0</v>
      </c>
      <c r="G33" s="582"/>
      <c r="H33" s="582"/>
      <c r="I33" s="582"/>
      <c r="J33" s="582"/>
      <c r="K33" s="582"/>
      <c r="L33" s="582">
        <v>0</v>
      </c>
      <c r="M33" s="582"/>
      <c r="N33" s="582"/>
      <c r="O33" s="582"/>
      <c r="P33" s="582"/>
      <c r="Q33" s="582"/>
      <c r="T33" s="353"/>
    </row>
    <row r="34" spans="1:20">
      <c r="A34" s="356">
        <f>ROW()</f>
        <v>34</v>
      </c>
      <c r="B34" s="934" t="s">
        <v>335</v>
      </c>
      <c r="C34" s="578">
        <f>+' Enrol &amp; Rev'!G142</f>
        <v>5253734.6500000004</v>
      </c>
      <c r="D34" s="578">
        <f t="shared" si="3"/>
        <v>0</v>
      </c>
      <c r="E34" s="579">
        <f t="shared" ref="E34:Q34" si="11">SUM(E17:E33)</f>
        <v>5253734.6500000004</v>
      </c>
      <c r="F34" s="578">
        <f t="shared" si="11"/>
        <v>1029186.046875</v>
      </c>
      <c r="G34" s="578">
        <f t="shared" si="11"/>
        <v>100000</v>
      </c>
      <c r="H34" s="578">
        <f t="shared" si="11"/>
        <v>49251.240000000005</v>
      </c>
      <c r="I34" s="578">
        <f t="shared" si="11"/>
        <v>1102519.974375</v>
      </c>
      <c r="J34" s="578">
        <f t="shared" si="11"/>
        <v>49251.240000000005</v>
      </c>
      <c r="K34" s="578">
        <f t="shared" si="11"/>
        <v>49251.240000000005</v>
      </c>
      <c r="L34" s="578">
        <f t="shared" si="11"/>
        <v>1181224.974375</v>
      </c>
      <c r="M34" s="578">
        <f t="shared" si="11"/>
        <v>127956.24</v>
      </c>
      <c r="N34" s="578">
        <f t="shared" si="11"/>
        <v>127956.24</v>
      </c>
      <c r="O34" s="578">
        <f t="shared" si="11"/>
        <v>1181224.974375</v>
      </c>
      <c r="P34" s="578">
        <f t="shared" si="11"/>
        <v>127956.24</v>
      </c>
      <c r="Q34" s="580">
        <f t="shared" si="11"/>
        <v>127956.24</v>
      </c>
      <c r="T34" s="353"/>
    </row>
    <row r="35" spans="1:20" ht="14.4">
      <c r="A35" s="356">
        <f>ROW()</f>
        <v>35</v>
      </c>
      <c r="B35" s="13" t="s">
        <v>336</v>
      </c>
      <c r="C35" s="1554"/>
      <c r="D35" s="570">
        <f>IF(ABS(D34)&gt;(0.0025*E34),"*** Out of Balance *** sb 0",0)</f>
        <v>0</v>
      </c>
      <c r="E35" s="571"/>
      <c r="F35" s="571">
        <f>F34</f>
        <v>1029186.046875</v>
      </c>
      <c r="G35" s="572">
        <f t="shared" ref="G35:Q35" si="12">F35+G34</f>
        <v>1129186.046875</v>
      </c>
      <c r="H35" s="572">
        <f t="shared" si="12"/>
        <v>1178437.286875</v>
      </c>
      <c r="I35" s="572">
        <f t="shared" si="12"/>
        <v>2280957.26125</v>
      </c>
      <c r="J35" s="572">
        <f t="shared" si="12"/>
        <v>2330208.5012500002</v>
      </c>
      <c r="K35" s="572">
        <f t="shared" si="12"/>
        <v>2379459.7412500004</v>
      </c>
      <c r="L35" s="572">
        <f t="shared" si="12"/>
        <v>3560684.7156250002</v>
      </c>
      <c r="M35" s="572">
        <f t="shared" si="12"/>
        <v>3688640.9556250004</v>
      </c>
      <c r="N35" s="572">
        <f t="shared" si="12"/>
        <v>3816597.1956250006</v>
      </c>
      <c r="O35" s="572">
        <f t="shared" si="12"/>
        <v>4997822.1700000009</v>
      </c>
      <c r="P35" s="572">
        <f t="shared" si="12"/>
        <v>5125778.4100000011</v>
      </c>
      <c r="Q35" s="572">
        <f t="shared" si="12"/>
        <v>5253734.6500000013</v>
      </c>
      <c r="T35" s="353"/>
    </row>
    <row r="36" spans="1:20">
      <c r="A36" s="356">
        <f>ROW()</f>
        <v>36</v>
      </c>
      <c r="B36" s="14" t="s">
        <v>337</v>
      </c>
      <c r="C36" s="1555"/>
      <c r="D36" s="573"/>
      <c r="E36" s="12"/>
      <c r="F36" s="574">
        <f>IFERROR(F35/$E34,0)</f>
        <v>0.19589608448820306</v>
      </c>
      <c r="G36" s="574">
        <f t="shared" ref="G36:Q36" si="13">IFERROR(G35/$E34,0)</f>
        <v>0.2149301634171798</v>
      </c>
      <c r="H36" s="574">
        <f t="shared" si="13"/>
        <v>0.22430468331227957</v>
      </c>
      <c r="I36" s="574">
        <f t="shared" si="13"/>
        <v>0.43415920544255121</v>
      </c>
      <c r="J36" s="574">
        <f t="shared" si="13"/>
        <v>0.44353372533765101</v>
      </c>
      <c r="K36" s="574">
        <f t="shared" si="13"/>
        <v>0.45290824523275081</v>
      </c>
      <c r="L36" s="574">
        <f t="shared" si="13"/>
        <v>0.6777435391840736</v>
      </c>
      <c r="M36" s="574">
        <f t="shared" si="13"/>
        <v>0.70209883090022451</v>
      </c>
      <c r="N36" s="574">
        <f t="shared" si="13"/>
        <v>0.72645412261637543</v>
      </c>
      <c r="O36" s="574">
        <f t="shared" si="13"/>
        <v>0.95128941656769828</v>
      </c>
      <c r="P36" s="574">
        <f t="shared" si="13"/>
        <v>0.97564470828384919</v>
      </c>
      <c r="Q36" s="574">
        <f t="shared" si="13"/>
        <v>1.0000000000000002</v>
      </c>
      <c r="T36" s="353"/>
    </row>
    <row r="37" spans="1:20">
      <c r="A37" s="356">
        <f>ROW()</f>
        <v>37</v>
      </c>
      <c r="B37" s="12"/>
      <c r="C37" s="12"/>
      <c r="D37" s="12"/>
      <c r="E37" s="12"/>
      <c r="F37" s="575"/>
      <c r="G37" s="576"/>
      <c r="H37" s="576"/>
      <c r="I37" s="576"/>
      <c r="J37" s="575"/>
      <c r="K37" s="576"/>
      <c r="L37" s="576"/>
      <c r="M37" s="576"/>
      <c r="N37" s="575"/>
      <c r="O37" s="576"/>
      <c r="P37" s="576"/>
      <c r="Q37" s="576"/>
      <c r="T37" s="353"/>
    </row>
    <row r="38" spans="1:20" ht="14.25" customHeight="1">
      <c r="A38" s="356">
        <f>ROW()</f>
        <v>38</v>
      </c>
      <c r="B38" s="894" t="s">
        <v>338</v>
      </c>
      <c r="C38" s="894"/>
      <c r="D38" s="894"/>
      <c r="E38" s="895"/>
      <c r="F38" s="896"/>
      <c r="G38" s="896"/>
      <c r="H38" s="896"/>
      <c r="I38" s="896"/>
      <c r="J38" s="896"/>
      <c r="K38" s="896"/>
      <c r="L38" s="896"/>
      <c r="M38" s="896"/>
      <c r="N38" s="896"/>
      <c r="O38" s="896"/>
      <c r="P38" s="896"/>
      <c r="Q38" s="896"/>
      <c r="T38" s="353"/>
    </row>
    <row r="39" spans="1:20">
      <c r="A39" s="356">
        <f>ROW()</f>
        <v>39</v>
      </c>
      <c r="B39" s="878" t="s">
        <v>339</v>
      </c>
      <c r="C39" s="879">
        <f>+Staff!H457</f>
        <v>2369060.2199999997</v>
      </c>
      <c r="D39" s="879">
        <f t="shared" ref="D39:D50" si="14">+C39-E39</f>
        <v>0</v>
      </c>
      <c r="E39" s="879">
        <f t="shared" ref="E39:E49" si="15">SUM(F39:Q39)</f>
        <v>2369060.2200000002</v>
      </c>
      <c r="F39" s="880">
        <v>0</v>
      </c>
      <c r="G39" s="880">
        <f>$C39/12</f>
        <v>197421.68499999997</v>
      </c>
      <c r="H39" s="880">
        <f t="shared" ref="H39:Q40" si="16">$C39/12</f>
        <v>197421.68499999997</v>
      </c>
      <c r="I39" s="880">
        <f t="shared" si="16"/>
        <v>197421.68499999997</v>
      </c>
      <c r="J39" s="880">
        <f t="shared" si="16"/>
        <v>197421.68499999997</v>
      </c>
      <c r="K39" s="880">
        <f t="shared" si="16"/>
        <v>197421.68499999997</v>
      </c>
      <c r="L39" s="880">
        <f t="shared" si="16"/>
        <v>197421.68499999997</v>
      </c>
      <c r="M39" s="880">
        <f t="shared" si="16"/>
        <v>197421.68499999997</v>
      </c>
      <c r="N39" s="880">
        <f t="shared" si="16"/>
        <v>197421.68499999997</v>
      </c>
      <c r="O39" s="880">
        <f t="shared" si="16"/>
        <v>197421.68499999997</v>
      </c>
      <c r="P39" s="880">
        <f t="shared" si="16"/>
        <v>197421.68499999997</v>
      </c>
      <c r="Q39" s="880">
        <f>$C39/12*2</f>
        <v>394843.36999999994</v>
      </c>
      <c r="T39" s="353"/>
    </row>
    <row r="40" spans="1:20">
      <c r="A40" s="356">
        <f>ROW()</f>
        <v>40</v>
      </c>
      <c r="B40" s="875" t="s">
        <v>340</v>
      </c>
      <c r="C40" s="561">
        <f>'Gen Optg'!G105</f>
        <v>585663</v>
      </c>
      <c r="D40" s="561">
        <f t="shared" si="14"/>
        <v>0</v>
      </c>
      <c r="E40" s="561">
        <f>SUM(F40:Q40)</f>
        <v>585663</v>
      </c>
      <c r="F40" s="562">
        <f>$C40/12</f>
        <v>48805.25</v>
      </c>
      <c r="G40" s="562">
        <f t="shared" ref="G40" si="17">$C40/12</f>
        <v>48805.25</v>
      </c>
      <c r="H40" s="562">
        <f t="shared" si="16"/>
        <v>48805.25</v>
      </c>
      <c r="I40" s="562">
        <f t="shared" si="16"/>
        <v>48805.25</v>
      </c>
      <c r="J40" s="562">
        <f t="shared" si="16"/>
        <v>48805.25</v>
      </c>
      <c r="K40" s="562">
        <f t="shared" si="16"/>
        <v>48805.25</v>
      </c>
      <c r="L40" s="562">
        <f t="shared" si="16"/>
        <v>48805.25</v>
      </c>
      <c r="M40" s="562">
        <f t="shared" si="16"/>
        <v>48805.25</v>
      </c>
      <c r="N40" s="562">
        <f t="shared" si="16"/>
        <v>48805.25</v>
      </c>
      <c r="O40" s="562">
        <f t="shared" si="16"/>
        <v>48805.25</v>
      </c>
      <c r="P40" s="562">
        <f t="shared" si="16"/>
        <v>48805.25</v>
      </c>
      <c r="Q40" s="562">
        <f t="shared" si="16"/>
        <v>48805.25</v>
      </c>
      <c r="T40" s="353"/>
    </row>
    <row r="41" spans="1:20">
      <c r="A41" s="356">
        <f>ROW()</f>
        <v>41</v>
      </c>
      <c r="B41" s="875" t="s">
        <v>341</v>
      </c>
      <c r="C41" s="561">
        <f>+'Gen Optg'!G143</f>
        <v>224500</v>
      </c>
      <c r="D41" s="561">
        <f t="shared" si="14"/>
        <v>0</v>
      </c>
      <c r="E41" s="561">
        <f t="shared" si="15"/>
        <v>224500</v>
      </c>
      <c r="F41" s="562">
        <f>($C41-25000)/12</f>
        <v>16625</v>
      </c>
      <c r="G41" s="562">
        <f t="shared" ref="G41:P41" si="18">($C41-25000)/12</f>
        <v>16625</v>
      </c>
      <c r="H41" s="562">
        <f t="shared" si="18"/>
        <v>16625</v>
      </c>
      <c r="I41" s="562">
        <f t="shared" si="18"/>
        <v>16625</v>
      </c>
      <c r="J41" s="562">
        <f t="shared" si="18"/>
        <v>16625</v>
      </c>
      <c r="K41" s="562">
        <f t="shared" si="18"/>
        <v>16625</v>
      </c>
      <c r="L41" s="562">
        <f t="shared" si="18"/>
        <v>16625</v>
      </c>
      <c r="M41" s="562">
        <f t="shared" si="18"/>
        <v>16625</v>
      </c>
      <c r="N41" s="562">
        <f t="shared" si="18"/>
        <v>16625</v>
      </c>
      <c r="O41" s="562">
        <f t="shared" si="18"/>
        <v>16625</v>
      </c>
      <c r="P41" s="562">
        <f t="shared" si="18"/>
        <v>16625</v>
      </c>
      <c r="Q41" s="562">
        <f>($C41-25000)/12+25000</f>
        <v>41625</v>
      </c>
      <c r="T41" s="353"/>
    </row>
    <row r="42" spans="1:20">
      <c r="A42" s="356">
        <f>ROW()</f>
        <v>42</v>
      </c>
      <c r="B42" s="875" t="s">
        <v>342</v>
      </c>
      <c r="C42" s="561">
        <f>'Gen Optg'!G179+'Gen Optg'!G151</f>
        <v>422820</v>
      </c>
      <c r="D42" s="561">
        <f t="shared" si="14"/>
        <v>0</v>
      </c>
      <c r="E42" s="561">
        <f t="shared" si="15"/>
        <v>422820</v>
      </c>
      <c r="F42" s="562">
        <v>0</v>
      </c>
      <c r="G42" s="562">
        <v>0</v>
      </c>
      <c r="H42" s="562">
        <f>$C42/10</f>
        <v>42282</v>
      </c>
      <c r="I42" s="562">
        <f t="shared" ref="I42:Q42" si="19">$C42/10</f>
        <v>42282</v>
      </c>
      <c r="J42" s="562">
        <f t="shared" si="19"/>
        <v>42282</v>
      </c>
      <c r="K42" s="562">
        <f t="shared" si="19"/>
        <v>42282</v>
      </c>
      <c r="L42" s="562">
        <f t="shared" si="19"/>
        <v>42282</v>
      </c>
      <c r="M42" s="562">
        <f t="shared" si="19"/>
        <v>42282</v>
      </c>
      <c r="N42" s="562">
        <f t="shared" si="19"/>
        <v>42282</v>
      </c>
      <c r="O42" s="562">
        <f t="shared" si="19"/>
        <v>42282</v>
      </c>
      <c r="P42" s="562">
        <f t="shared" si="19"/>
        <v>42282</v>
      </c>
      <c r="Q42" s="562">
        <f t="shared" si="19"/>
        <v>42282</v>
      </c>
      <c r="T42" s="353"/>
    </row>
    <row r="43" spans="1:20">
      <c r="A43" s="356">
        <f>ROW()</f>
        <v>43</v>
      </c>
      <c r="B43" s="876" t="s">
        <v>343</v>
      </c>
      <c r="C43" s="561">
        <f>'Gen Optg'!G192</f>
        <v>0</v>
      </c>
      <c r="D43" s="561">
        <f t="shared" si="14"/>
        <v>0</v>
      </c>
      <c r="E43" s="561">
        <f t="shared" si="15"/>
        <v>0</v>
      </c>
      <c r="F43" s="562">
        <v>0</v>
      </c>
      <c r="G43" s="562"/>
      <c r="H43" s="562">
        <v>0</v>
      </c>
      <c r="I43" s="562">
        <v>0</v>
      </c>
      <c r="J43" s="562">
        <v>0</v>
      </c>
      <c r="K43" s="562">
        <v>0</v>
      </c>
      <c r="L43" s="562">
        <v>0</v>
      </c>
      <c r="M43" s="562">
        <v>0</v>
      </c>
      <c r="N43" s="562">
        <v>0</v>
      </c>
      <c r="O43" s="562">
        <v>0</v>
      </c>
      <c r="P43" s="562">
        <v>0</v>
      </c>
      <c r="Q43" s="562">
        <v>0</v>
      </c>
      <c r="T43" s="353"/>
    </row>
    <row r="44" spans="1:20">
      <c r="A44" s="356">
        <f>ROW()</f>
        <v>44</v>
      </c>
      <c r="B44" s="876" t="s">
        <v>344</v>
      </c>
      <c r="C44" s="561">
        <f>+'Gen Optg'!G194</f>
        <v>36989.490000000034</v>
      </c>
      <c r="D44" s="561">
        <f t="shared" si="14"/>
        <v>0</v>
      </c>
      <c r="E44" s="561">
        <f t="shared" si="15"/>
        <v>36989.49</v>
      </c>
      <c r="F44" s="562">
        <f>SUM(F40:F43)*0.03</f>
        <v>1962.9075</v>
      </c>
      <c r="G44" s="562">
        <f t="shared" ref="G44:Q44" si="20">SUM(G40:G43)*0.03</f>
        <v>1962.9075</v>
      </c>
      <c r="H44" s="562">
        <f t="shared" si="20"/>
        <v>3231.3674999999998</v>
      </c>
      <c r="I44" s="562">
        <f t="shared" si="20"/>
        <v>3231.3674999999998</v>
      </c>
      <c r="J44" s="562">
        <f t="shared" si="20"/>
        <v>3231.3674999999998</v>
      </c>
      <c r="K44" s="562">
        <f t="shared" si="20"/>
        <v>3231.3674999999998</v>
      </c>
      <c r="L44" s="562">
        <f t="shared" si="20"/>
        <v>3231.3674999999998</v>
      </c>
      <c r="M44" s="562">
        <f t="shared" si="20"/>
        <v>3231.3674999999998</v>
      </c>
      <c r="N44" s="562">
        <f t="shared" si="20"/>
        <v>3231.3674999999998</v>
      </c>
      <c r="O44" s="562">
        <f t="shared" si="20"/>
        <v>3231.3674999999998</v>
      </c>
      <c r="P44" s="562">
        <f t="shared" si="20"/>
        <v>3231.3674999999998</v>
      </c>
      <c r="Q44" s="562">
        <f t="shared" si="20"/>
        <v>3981.3674999999998</v>
      </c>
      <c r="T44" s="353"/>
    </row>
    <row r="45" spans="1:20">
      <c r="A45" s="356">
        <f>ROW()</f>
        <v>45</v>
      </c>
      <c r="B45" s="877" t="s">
        <v>110</v>
      </c>
      <c r="C45" s="561">
        <f>Marketing!I44</f>
        <v>25000</v>
      </c>
      <c r="D45" s="561">
        <f t="shared" si="14"/>
        <v>0</v>
      </c>
      <c r="E45" s="561">
        <f t="shared" si="15"/>
        <v>25000</v>
      </c>
      <c r="F45" s="562">
        <v>0</v>
      </c>
      <c r="G45" s="562">
        <v>0</v>
      </c>
      <c r="H45" s="562">
        <v>5000</v>
      </c>
      <c r="I45" s="562">
        <v>5000</v>
      </c>
      <c r="J45" s="562">
        <v>5000</v>
      </c>
      <c r="K45" s="562">
        <v>5000</v>
      </c>
      <c r="L45" s="562">
        <v>5000</v>
      </c>
      <c r="M45" s="562">
        <v>0</v>
      </c>
      <c r="N45" s="562">
        <v>0</v>
      </c>
      <c r="O45" s="562">
        <v>0</v>
      </c>
      <c r="P45" s="562">
        <v>0</v>
      </c>
      <c r="Q45" s="562">
        <v>0</v>
      </c>
      <c r="T45" s="353"/>
    </row>
    <row r="46" spans="1:20">
      <c r="A46" s="356">
        <f>ROW()</f>
        <v>46</v>
      </c>
      <c r="B46" s="875" t="s">
        <v>345</v>
      </c>
      <c r="C46" s="561">
        <f>Facilities!G74</f>
        <v>738199</v>
      </c>
      <c r="D46" s="561">
        <f t="shared" si="14"/>
        <v>0</v>
      </c>
      <c r="E46" s="561">
        <f t="shared" si="15"/>
        <v>738199</v>
      </c>
      <c r="F46" s="562"/>
      <c r="G46" s="562">
        <f>$C46/12</f>
        <v>61516.583333333336</v>
      </c>
      <c r="H46" s="562">
        <f t="shared" ref="H46:P46" si="21">$C46/12</f>
        <v>61516.583333333336</v>
      </c>
      <c r="I46" s="562">
        <f t="shared" si="21"/>
        <v>61516.583333333336</v>
      </c>
      <c r="J46" s="562">
        <f t="shared" si="21"/>
        <v>61516.583333333336</v>
      </c>
      <c r="K46" s="562">
        <f t="shared" si="21"/>
        <v>61516.583333333336</v>
      </c>
      <c r="L46" s="562">
        <f t="shared" si="21"/>
        <v>61516.583333333336</v>
      </c>
      <c r="M46" s="562">
        <f t="shared" si="21"/>
        <v>61516.583333333336</v>
      </c>
      <c r="N46" s="562">
        <f t="shared" si="21"/>
        <v>61516.583333333336</v>
      </c>
      <c r="O46" s="562">
        <f t="shared" si="21"/>
        <v>61516.583333333336</v>
      </c>
      <c r="P46" s="562">
        <f t="shared" si="21"/>
        <v>61516.583333333336</v>
      </c>
      <c r="Q46" s="562">
        <f>$C46/12*2</f>
        <v>123033.16666666667</v>
      </c>
      <c r="T46" s="353"/>
    </row>
    <row r="47" spans="1:20">
      <c r="A47" s="356">
        <f>ROW()</f>
        <v>47</v>
      </c>
      <c r="B47" s="876" t="s">
        <v>346</v>
      </c>
      <c r="C47" s="561">
        <f>Facilities!G100</f>
        <v>0</v>
      </c>
      <c r="D47" s="561"/>
      <c r="E47" s="561">
        <f>SUM(F47:Q47)</f>
        <v>0</v>
      </c>
      <c r="F47" s="562">
        <v>0</v>
      </c>
      <c r="G47" s="562">
        <v>0</v>
      </c>
      <c r="H47" s="562">
        <v>0</v>
      </c>
      <c r="I47" s="562">
        <v>0</v>
      </c>
      <c r="J47" s="562">
        <v>0</v>
      </c>
      <c r="K47" s="562">
        <v>0</v>
      </c>
      <c r="L47" s="562">
        <v>0</v>
      </c>
      <c r="M47" s="562">
        <v>0</v>
      </c>
      <c r="N47" s="562">
        <v>0</v>
      </c>
      <c r="O47" s="562">
        <v>0</v>
      </c>
      <c r="P47" s="562">
        <v>0</v>
      </c>
      <c r="Q47" s="562">
        <v>0</v>
      </c>
      <c r="T47" s="353"/>
    </row>
    <row r="48" spans="1:20">
      <c r="A48" s="356">
        <f>ROW()</f>
        <v>48</v>
      </c>
      <c r="B48" s="876" t="s">
        <v>107</v>
      </c>
      <c r="C48" s="561">
        <f>+'FFE&amp;T'!G42</f>
        <v>387248.65720319282</v>
      </c>
      <c r="D48" s="561">
        <f t="shared" si="14"/>
        <v>0</v>
      </c>
      <c r="E48" s="561">
        <f t="shared" si="15"/>
        <v>387248.65720319271</v>
      </c>
      <c r="F48" s="562">
        <v>300000</v>
      </c>
      <c r="G48" s="562">
        <f>($C48-$F48)/11</f>
        <v>7931.696109381166</v>
      </c>
      <c r="H48" s="562">
        <f t="shared" ref="H48:Q48" si="22">($C48-$F48)/11</f>
        <v>7931.696109381166</v>
      </c>
      <c r="I48" s="562">
        <f t="shared" si="22"/>
        <v>7931.696109381166</v>
      </c>
      <c r="J48" s="562">
        <f t="shared" si="22"/>
        <v>7931.696109381166</v>
      </c>
      <c r="K48" s="562">
        <f t="shared" si="22"/>
        <v>7931.696109381166</v>
      </c>
      <c r="L48" s="562">
        <f t="shared" si="22"/>
        <v>7931.696109381166</v>
      </c>
      <c r="M48" s="562">
        <f t="shared" si="22"/>
        <v>7931.696109381166</v>
      </c>
      <c r="N48" s="562">
        <f t="shared" si="22"/>
        <v>7931.696109381166</v>
      </c>
      <c r="O48" s="562">
        <f t="shared" si="22"/>
        <v>7931.696109381166</v>
      </c>
      <c r="P48" s="562">
        <f t="shared" si="22"/>
        <v>7931.696109381166</v>
      </c>
      <c r="Q48" s="562">
        <f t="shared" si="22"/>
        <v>7931.696109381166</v>
      </c>
      <c r="T48" s="353"/>
    </row>
    <row r="49" spans="1:20">
      <c r="A49" s="356"/>
      <c r="B49" s="876" t="s">
        <v>112</v>
      </c>
      <c r="C49" s="561">
        <f>'EMO-CMO'!F39</f>
        <v>0</v>
      </c>
      <c r="D49" s="561">
        <f t="shared" si="14"/>
        <v>0</v>
      </c>
      <c r="E49" s="561">
        <f t="shared" si="15"/>
        <v>0</v>
      </c>
      <c r="F49" s="562">
        <v>0</v>
      </c>
      <c r="G49" s="562"/>
      <c r="H49" s="562"/>
      <c r="I49" s="562"/>
      <c r="J49" s="562"/>
      <c r="K49" s="562"/>
      <c r="L49" s="562"/>
      <c r="M49" s="562"/>
      <c r="N49" s="562"/>
      <c r="O49" s="562"/>
      <c r="P49" s="562"/>
      <c r="Q49" s="562"/>
      <c r="T49" s="353" t="s">
        <v>1527</v>
      </c>
    </row>
    <row r="50" spans="1:20">
      <c r="A50" s="356">
        <f t="shared" ref="A50:A79" si="23">ROW()-12</f>
        <v>38</v>
      </c>
      <c r="B50" s="874" t="s">
        <v>149</v>
      </c>
      <c r="C50" s="564">
        <f>+Ins!G50</f>
        <v>55389.876000000004</v>
      </c>
      <c r="D50" s="564">
        <f t="shared" si="14"/>
        <v>0</v>
      </c>
      <c r="E50" s="564">
        <f>SUM(F50:Q50)</f>
        <v>55389.876000000018</v>
      </c>
      <c r="F50" s="565">
        <f>$C50/12</f>
        <v>4615.8230000000003</v>
      </c>
      <c r="G50" s="565">
        <f t="shared" ref="G50:Q50" si="24">$C50/12</f>
        <v>4615.8230000000003</v>
      </c>
      <c r="H50" s="565">
        <f t="shared" si="24"/>
        <v>4615.8230000000003</v>
      </c>
      <c r="I50" s="565">
        <f t="shared" si="24"/>
        <v>4615.8230000000003</v>
      </c>
      <c r="J50" s="565">
        <f t="shared" si="24"/>
        <v>4615.8230000000003</v>
      </c>
      <c r="K50" s="565">
        <f t="shared" si="24"/>
        <v>4615.8230000000003</v>
      </c>
      <c r="L50" s="565">
        <f t="shared" si="24"/>
        <v>4615.8230000000003</v>
      </c>
      <c r="M50" s="565">
        <f t="shared" si="24"/>
        <v>4615.8230000000003</v>
      </c>
      <c r="N50" s="565">
        <f t="shared" si="24"/>
        <v>4615.8230000000003</v>
      </c>
      <c r="O50" s="565">
        <f t="shared" si="24"/>
        <v>4615.8230000000003</v>
      </c>
      <c r="P50" s="565">
        <f t="shared" si="24"/>
        <v>4615.8230000000003</v>
      </c>
      <c r="Q50" s="565">
        <f t="shared" si="24"/>
        <v>4615.8230000000003</v>
      </c>
      <c r="T50" s="353"/>
    </row>
    <row r="51" spans="1:20">
      <c r="A51" s="356">
        <f t="shared" si="23"/>
        <v>39</v>
      </c>
      <c r="B51" s="934" t="s">
        <v>347</v>
      </c>
      <c r="C51" s="935">
        <f t="shared" ref="C51:Q51" si="25">SUM(C39:C50)</f>
        <v>4844870.2432031929</v>
      </c>
      <c r="D51" s="936">
        <f t="shared" si="25"/>
        <v>0</v>
      </c>
      <c r="E51" s="936">
        <f t="shared" si="25"/>
        <v>4844870.2432031939</v>
      </c>
      <c r="F51" s="936">
        <f t="shared" si="25"/>
        <v>372008.98049999995</v>
      </c>
      <c r="G51" s="936">
        <f t="shared" si="25"/>
        <v>338878.94494271436</v>
      </c>
      <c r="H51" s="936">
        <f t="shared" si="25"/>
        <v>387429.40494271438</v>
      </c>
      <c r="I51" s="936">
        <f t="shared" si="25"/>
        <v>387429.40494271438</v>
      </c>
      <c r="J51" s="936">
        <f t="shared" si="25"/>
        <v>387429.40494271438</v>
      </c>
      <c r="K51" s="936">
        <f t="shared" si="25"/>
        <v>387429.40494271438</v>
      </c>
      <c r="L51" s="936">
        <f t="shared" si="25"/>
        <v>387429.40494271438</v>
      </c>
      <c r="M51" s="936">
        <f t="shared" si="25"/>
        <v>382429.40494271438</v>
      </c>
      <c r="N51" s="936">
        <f t="shared" si="25"/>
        <v>382429.40494271438</v>
      </c>
      <c r="O51" s="936">
        <f t="shared" si="25"/>
        <v>382429.40494271438</v>
      </c>
      <c r="P51" s="936">
        <f t="shared" si="25"/>
        <v>382429.40494271438</v>
      </c>
      <c r="Q51" s="936">
        <f t="shared" si="25"/>
        <v>667117.67327604769</v>
      </c>
      <c r="T51" s="353"/>
    </row>
    <row r="52" spans="1:20">
      <c r="A52" s="356">
        <f t="shared" si="23"/>
        <v>40</v>
      </c>
      <c r="B52" s="937" t="s">
        <v>348</v>
      </c>
      <c r="C52" s="1068">
        <f>+Summary!G50-C51</f>
        <v>0</v>
      </c>
      <c r="D52" s="1388"/>
      <c r="E52" s="1399">
        <f>SUM(F52:Q52)</f>
        <v>408864.40679680859</v>
      </c>
      <c r="F52" s="1399">
        <f t="shared" ref="F52:Q52" si="26">F34-F51</f>
        <v>657177.06637500005</v>
      </c>
      <c r="G52" s="1399">
        <f t="shared" si="26"/>
        <v>-238878.94494271436</v>
      </c>
      <c r="H52" s="1399">
        <f t="shared" si="26"/>
        <v>-338178.16494271439</v>
      </c>
      <c r="I52" s="1399">
        <f t="shared" si="26"/>
        <v>715090.56943228561</v>
      </c>
      <c r="J52" s="1399">
        <f t="shared" si="26"/>
        <v>-338178.16494271439</v>
      </c>
      <c r="K52" s="1399">
        <f t="shared" si="26"/>
        <v>-338178.16494271439</v>
      </c>
      <c r="L52" s="1399">
        <f t="shared" si="26"/>
        <v>793795.56943228561</v>
      </c>
      <c r="M52" s="1399">
        <f t="shared" si="26"/>
        <v>-254473.16494271439</v>
      </c>
      <c r="N52" s="1399">
        <f t="shared" si="26"/>
        <v>-254473.16494271439</v>
      </c>
      <c r="O52" s="1399">
        <f t="shared" si="26"/>
        <v>798795.56943228561</v>
      </c>
      <c r="P52" s="1399">
        <f t="shared" si="26"/>
        <v>-254473.16494271439</v>
      </c>
      <c r="Q52" s="1399">
        <f t="shared" si="26"/>
        <v>-539161.4332760477</v>
      </c>
      <c r="T52" s="353"/>
    </row>
    <row r="53" spans="1:20">
      <c r="A53" s="356">
        <f t="shared" si="23"/>
        <v>41</v>
      </c>
      <c r="B53" s="1390" t="s">
        <v>349</v>
      </c>
      <c r="C53" s="141">
        <f>+C34-C51</f>
        <v>408864.40679680742</v>
      </c>
      <c r="D53" s="146">
        <f>+D34-D51</f>
        <v>0</v>
      </c>
      <c r="E53" s="1391">
        <f>+E34-(E51+D51)</f>
        <v>408864.40679680649</v>
      </c>
      <c r="F53" s="1391">
        <f t="shared" ref="F53:Q53" si="27">+F34-F51</f>
        <v>657177.06637500005</v>
      </c>
      <c r="G53" s="1391">
        <f t="shared" si="27"/>
        <v>-238878.94494271436</v>
      </c>
      <c r="H53" s="1391">
        <f t="shared" si="27"/>
        <v>-338178.16494271439</v>
      </c>
      <c r="I53" s="1391">
        <f t="shared" si="27"/>
        <v>715090.56943228561</v>
      </c>
      <c r="J53" s="1391">
        <f t="shared" si="27"/>
        <v>-338178.16494271439</v>
      </c>
      <c r="K53" s="1391">
        <f t="shared" si="27"/>
        <v>-338178.16494271439</v>
      </c>
      <c r="L53" s="1391">
        <f t="shared" si="27"/>
        <v>793795.56943228561</v>
      </c>
      <c r="M53" s="1391">
        <f t="shared" si="27"/>
        <v>-254473.16494271439</v>
      </c>
      <c r="N53" s="1391">
        <f t="shared" si="27"/>
        <v>-254473.16494271439</v>
      </c>
      <c r="O53" s="1391">
        <f t="shared" si="27"/>
        <v>798795.56943228561</v>
      </c>
      <c r="P53" s="1391">
        <f t="shared" si="27"/>
        <v>-254473.16494271439</v>
      </c>
      <c r="Q53" s="1391">
        <f t="shared" si="27"/>
        <v>-539161.4332760477</v>
      </c>
      <c r="T53" s="353"/>
    </row>
    <row r="54" spans="1:20" ht="16.2">
      <c r="A54" s="356">
        <f t="shared" si="23"/>
        <v>42</v>
      </c>
      <c r="B54" s="1816" t="s">
        <v>1488</v>
      </c>
      <c r="C54" s="1393"/>
      <c r="D54" s="1394"/>
      <c r="E54" s="1395"/>
      <c r="F54" s="1395">
        <f>+F53</f>
        <v>657177.06637500005</v>
      </c>
      <c r="G54" s="1395">
        <f>+F54+G53</f>
        <v>418298.1214322857</v>
      </c>
      <c r="H54" s="1395">
        <f t="shared" ref="H54:Q54" si="28">+G54+H53</f>
        <v>80119.956489571312</v>
      </c>
      <c r="I54" s="1395">
        <f t="shared" si="28"/>
        <v>795210.52592185698</v>
      </c>
      <c r="J54" s="1395">
        <f t="shared" si="28"/>
        <v>457032.3609791426</v>
      </c>
      <c r="K54" s="1395">
        <f t="shared" si="28"/>
        <v>118854.19603642821</v>
      </c>
      <c r="L54" s="1395">
        <f t="shared" si="28"/>
        <v>912649.76546871383</v>
      </c>
      <c r="M54" s="1395">
        <f t="shared" si="28"/>
        <v>658176.60052599944</v>
      </c>
      <c r="N54" s="1395">
        <f t="shared" si="28"/>
        <v>403703.43558328506</v>
      </c>
      <c r="O54" s="1395">
        <f t="shared" si="28"/>
        <v>1202499.0050155707</v>
      </c>
      <c r="P54" s="1395">
        <f t="shared" si="28"/>
        <v>948025.84007285628</v>
      </c>
      <c r="Q54" s="1395">
        <f t="shared" si="28"/>
        <v>408864.40679680859</v>
      </c>
      <c r="T54" s="353"/>
    </row>
    <row r="55" spans="1:20" ht="16.2">
      <c r="A55" s="356">
        <f t="shared" si="23"/>
        <v>43</v>
      </c>
      <c r="B55" s="1446"/>
      <c r="C55" s="1447"/>
      <c r="D55" s="1448"/>
      <c r="E55" s="1449"/>
      <c r="F55" s="1449"/>
      <c r="G55" s="1449"/>
      <c r="H55" s="1449"/>
      <c r="I55" s="1449"/>
      <c r="J55" s="1449"/>
      <c r="K55" s="1449"/>
      <c r="L55" s="1449"/>
      <c r="M55" s="1449"/>
      <c r="N55" s="1449"/>
      <c r="O55" s="1449"/>
      <c r="P55" s="1449"/>
      <c r="Q55" s="1449"/>
      <c r="T55" s="353"/>
    </row>
    <row r="56" spans="1:20" ht="16.2">
      <c r="A56" s="356">
        <f t="shared" si="23"/>
        <v>44</v>
      </c>
      <c r="B56" s="1446"/>
      <c r="C56" s="1447"/>
      <c r="D56" s="1448"/>
      <c r="E56" s="1449"/>
      <c r="F56" s="1449"/>
      <c r="G56" s="1449"/>
      <c r="H56" s="1449"/>
      <c r="I56" s="1449"/>
      <c r="J56" s="1449"/>
      <c r="K56" s="1449"/>
      <c r="L56" s="1449"/>
      <c r="M56" s="1449"/>
      <c r="N56" s="1449"/>
      <c r="O56" s="1449"/>
      <c r="P56" s="1449"/>
      <c r="Q56" s="1449"/>
      <c r="T56" s="353"/>
    </row>
    <row r="57" spans="1:20">
      <c r="A57" s="356">
        <f t="shared" si="23"/>
        <v>45</v>
      </c>
      <c r="B57" s="13" t="s">
        <v>350</v>
      </c>
      <c r="C57" s="13"/>
      <c r="D57" s="1389"/>
      <c r="E57" s="1389"/>
      <c r="F57" s="572">
        <f>F51</f>
        <v>372008.98049999995</v>
      </c>
      <c r="G57" s="572">
        <f t="shared" ref="G57:Q57" si="29">F57+G51</f>
        <v>710887.92544271424</v>
      </c>
      <c r="H57" s="572">
        <f t="shared" si="29"/>
        <v>1098317.3303854286</v>
      </c>
      <c r="I57" s="572">
        <f t="shared" si="29"/>
        <v>1485746.735328143</v>
      </c>
      <c r="J57" s="572">
        <f t="shared" si="29"/>
        <v>1873176.1402708574</v>
      </c>
      <c r="K57" s="572">
        <f t="shared" si="29"/>
        <v>2260605.5452135717</v>
      </c>
      <c r="L57" s="572">
        <f t="shared" si="29"/>
        <v>2648034.9501562864</v>
      </c>
      <c r="M57" s="572">
        <f t="shared" si="29"/>
        <v>3030464.355099001</v>
      </c>
      <c r="N57" s="572">
        <f t="shared" si="29"/>
        <v>3412893.7600417156</v>
      </c>
      <c r="O57" s="572">
        <f t="shared" si="29"/>
        <v>3795323.1649844302</v>
      </c>
      <c r="P57" s="572">
        <f t="shared" si="29"/>
        <v>4177752.5699271448</v>
      </c>
      <c r="Q57" s="572">
        <f t="shared" si="29"/>
        <v>4844870.2432031929</v>
      </c>
      <c r="T57" s="353"/>
    </row>
    <row r="58" spans="1:20">
      <c r="A58" s="356">
        <f t="shared" si="23"/>
        <v>46</v>
      </c>
      <c r="B58" s="14" t="s">
        <v>351</v>
      </c>
      <c r="C58" s="14"/>
      <c r="D58" s="14"/>
      <c r="E58" s="584"/>
      <c r="F58" s="574">
        <f>IFERROR(F57/$E51,0)</f>
        <v>7.678409571894862E-2</v>
      </c>
      <c r="G58" s="574">
        <f t="shared" ref="G58:Q58" si="30">IFERROR(G57/$E51,0)</f>
        <v>0.14673002366575447</v>
      </c>
      <c r="H58" s="574">
        <f t="shared" si="30"/>
        <v>0.22669695476906607</v>
      </c>
      <c r="I58" s="574">
        <f t="shared" si="30"/>
        <v>0.3066638858723777</v>
      </c>
      <c r="J58" s="574">
        <f t="shared" si="30"/>
        <v>0.3866308169756893</v>
      </c>
      <c r="K58" s="574">
        <f t="shared" si="30"/>
        <v>0.4665977480790009</v>
      </c>
      <c r="L58" s="574">
        <f t="shared" si="30"/>
        <v>0.54656467918231255</v>
      </c>
      <c r="M58" s="574">
        <f t="shared" si="30"/>
        <v>0.62549959090243967</v>
      </c>
      <c r="N58" s="574">
        <f t="shared" si="30"/>
        <v>0.70443450262256668</v>
      </c>
      <c r="O58" s="574">
        <f t="shared" si="30"/>
        <v>0.78336941434269369</v>
      </c>
      <c r="P58" s="574">
        <f t="shared" si="30"/>
        <v>0.86230432606282081</v>
      </c>
      <c r="Q58" s="574">
        <f t="shared" si="30"/>
        <v>0.99999999999999978</v>
      </c>
      <c r="T58" s="353"/>
    </row>
    <row r="59" spans="1:20">
      <c r="A59" s="356">
        <f t="shared" si="23"/>
        <v>47</v>
      </c>
      <c r="B59" s="13" t="s">
        <v>352</v>
      </c>
      <c r="C59" s="13"/>
      <c r="D59" s="13"/>
      <c r="E59" s="30"/>
      <c r="F59" s="1392">
        <f>IFERROR((F36-F58)/F36,0)</f>
        <v>0.6080365979771658</v>
      </c>
      <c r="G59" s="1392">
        <f t="shared" ref="G59:Q59" si="31">IFERROR((G36-G58)/G36,0)</f>
        <v>0.31731302236554276</v>
      </c>
      <c r="H59" s="1392">
        <f t="shared" si="31"/>
        <v>-1.0665276451031346E-2</v>
      </c>
      <c r="I59" s="1392">
        <f t="shared" si="31"/>
        <v>0.29366029321021492</v>
      </c>
      <c r="J59" s="1392">
        <f t="shared" si="31"/>
        <v>0.12829443424768425</v>
      </c>
      <c r="K59" s="1392">
        <f t="shared" si="31"/>
        <v>-3.0225775287475758E-2</v>
      </c>
      <c r="L59" s="1392">
        <f t="shared" si="31"/>
        <v>0.19355235781323055</v>
      </c>
      <c r="M59" s="1392">
        <f t="shared" si="31"/>
        <v>0.10910036682381313</v>
      </c>
      <c r="N59" s="1392">
        <f t="shared" si="31"/>
        <v>3.0311095096416472E-2</v>
      </c>
      <c r="O59" s="1392">
        <f t="shared" si="31"/>
        <v>0.17651831219868785</v>
      </c>
      <c r="P59" s="1392">
        <f t="shared" si="31"/>
        <v>0.11616972988086324</v>
      </c>
      <c r="Q59" s="1392">
        <f t="shared" si="31"/>
        <v>4.4408920985006252E-16</v>
      </c>
      <c r="T59" s="353"/>
    </row>
    <row r="60" spans="1:20">
      <c r="A60" s="356">
        <f t="shared" si="23"/>
        <v>48</v>
      </c>
      <c r="B60" s="13" t="s">
        <v>353</v>
      </c>
      <c r="C60" s="13"/>
      <c r="D60" s="13"/>
      <c r="E60" s="30"/>
      <c r="F60" s="1401">
        <f>+F15</f>
        <v>31</v>
      </c>
      <c r="G60" s="1401">
        <f>+F60+G15</f>
        <v>62</v>
      </c>
      <c r="H60" s="1401">
        <f t="shared" ref="H60:Q60" si="32">+G60+H15</f>
        <v>92</v>
      </c>
      <c r="I60" s="1401">
        <f t="shared" si="32"/>
        <v>123</v>
      </c>
      <c r="J60" s="1401">
        <f t="shared" si="32"/>
        <v>153</v>
      </c>
      <c r="K60" s="1401">
        <f t="shared" si="32"/>
        <v>184</v>
      </c>
      <c r="L60" s="1401">
        <f t="shared" si="32"/>
        <v>215</v>
      </c>
      <c r="M60" s="1401">
        <f t="shared" si="32"/>
        <v>244</v>
      </c>
      <c r="N60" s="1401">
        <f t="shared" si="32"/>
        <v>275</v>
      </c>
      <c r="O60" s="1401">
        <f t="shared" si="32"/>
        <v>305</v>
      </c>
      <c r="P60" s="1401">
        <f t="shared" si="32"/>
        <v>336</v>
      </c>
      <c r="Q60" s="1401">
        <f t="shared" si="32"/>
        <v>366</v>
      </c>
      <c r="T60" s="353"/>
    </row>
    <row r="61" spans="1:20">
      <c r="A61" s="356">
        <f t="shared" si="23"/>
        <v>49</v>
      </c>
      <c r="B61" s="13"/>
      <c r="C61" s="13"/>
      <c r="D61" s="13"/>
      <c r="E61" s="30"/>
      <c r="F61" s="31"/>
      <c r="G61" s="31"/>
      <c r="H61" s="31"/>
      <c r="I61" s="31"/>
      <c r="J61" s="31"/>
      <c r="K61" s="31"/>
      <c r="L61" s="31"/>
      <c r="M61" s="31"/>
      <c r="N61" s="31"/>
      <c r="O61" s="31"/>
      <c r="P61" s="31"/>
      <c r="Q61" s="31"/>
      <c r="T61" s="353"/>
    </row>
    <row r="62" spans="1:20">
      <c r="A62" s="356">
        <f t="shared" si="23"/>
        <v>50</v>
      </c>
      <c r="B62" s="85" t="s">
        <v>354</v>
      </c>
      <c r="C62" s="85"/>
      <c r="D62" s="85"/>
      <c r="E62" s="816"/>
      <c r="F62" s="817"/>
      <c r="G62" s="817"/>
      <c r="H62" s="817"/>
      <c r="I62" s="817"/>
      <c r="J62" s="817"/>
      <c r="K62" s="817"/>
      <c r="L62" s="817"/>
      <c r="M62" s="817"/>
      <c r="N62" s="817"/>
      <c r="O62" s="817"/>
      <c r="P62" s="817"/>
      <c r="Q62" s="817"/>
      <c r="T62" s="353"/>
    </row>
    <row r="63" spans="1:20">
      <c r="A63" s="356">
        <f t="shared" si="23"/>
        <v>51</v>
      </c>
      <c r="B63" s="33" t="s">
        <v>355</v>
      </c>
      <c r="F63" s="601"/>
      <c r="G63" s="1643"/>
      <c r="H63" s="1643"/>
      <c r="I63" s="1643"/>
      <c r="J63" s="1643"/>
      <c r="K63" s="1643"/>
      <c r="L63" s="1643"/>
      <c r="M63" s="1643"/>
      <c r="N63" s="1643"/>
      <c r="O63" s="1643"/>
      <c r="P63" s="1643"/>
      <c r="Q63" s="1643"/>
      <c r="T63" s="353"/>
    </row>
    <row r="64" spans="1:20">
      <c r="A64" s="356">
        <f t="shared" si="23"/>
        <v>52</v>
      </c>
      <c r="B64" s="12" t="s">
        <v>356</v>
      </c>
      <c r="C64" s="13"/>
      <c r="D64" s="13"/>
      <c r="E64" s="583">
        <f>SUM(F64:Q64)</f>
        <v>0</v>
      </c>
      <c r="F64" s="1400"/>
      <c r="G64" s="1400"/>
      <c r="H64" s="1400"/>
      <c r="I64" s="1400"/>
      <c r="J64" s="1400"/>
      <c r="K64" s="1400"/>
      <c r="L64" s="1400"/>
      <c r="M64" s="1400"/>
      <c r="N64" s="1400"/>
      <c r="O64" s="1400"/>
      <c r="P64" s="1400"/>
      <c r="Q64" s="1400"/>
      <c r="T64" s="353"/>
    </row>
    <row r="65" spans="1:20">
      <c r="A65" s="356">
        <f t="shared" si="23"/>
        <v>53</v>
      </c>
      <c r="B65" s="12" t="s">
        <v>357</v>
      </c>
      <c r="C65" s="13"/>
      <c r="D65" s="13"/>
      <c r="E65" s="583"/>
      <c r="F65" s="1644"/>
      <c r="G65" s="1644"/>
      <c r="H65" s="1644"/>
      <c r="I65" s="1644"/>
      <c r="J65" s="1644"/>
      <c r="K65" s="1644"/>
      <c r="L65" s="1644"/>
      <c r="M65" s="1644"/>
      <c r="N65" s="1644"/>
      <c r="O65" s="1644"/>
      <c r="P65" s="1644"/>
      <c r="Q65" s="1644"/>
      <c r="T65" s="353"/>
    </row>
    <row r="66" spans="1:20">
      <c r="A66" s="356">
        <f t="shared" si="23"/>
        <v>54</v>
      </c>
      <c r="B66" s="12" t="s">
        <v>358</v>
      </c>
      <c r="C66" s="1645">
        <v>7.0000000000000007E-2</v>
      </c>
      <c r="D66" s="13"/>
      <c r="E66" s="836">
        <f>SUM(F66:Q66)</f>
        <v>0</v>
      </c>
      <c r="F66" s="1416"/>
      <c r="G66" s="1416"/>
      <c r="H66" s="1416"/>
      <c r="I66" s="1416"/>
      <c r="J66" s="1416"/>
      <c r="K66" s="1416"/>
      <c r="L66" s="1416"/>
      <c r="M66" s="1416"/>
      <c r="N66" s="1416"/>
      <c r="O66" s="1416"/>
      <c r="P66" s="1416"/>
      <c r="Q66" s="1416"/>
      <c r="T66" s="353"/>
    </row>
    <row r="67" spans="1:20">
      <c r="A67" s="356">
        <f t="shared" si="23"/>
        <v>55</v>
      </c>
      <c r="B67" s="12" t="s">
        <v>359</v>
      </c>
      <c r="C67" s="13"/>
      <c r="D67" s="13"/>
      <c r="E67" s="583">
        <f>SUM(F67:Q67)</f>
        <v>0</v>
      </c>
      <c r="F67" s="1400"/>
      <c r="G67" s="1400"/>
      <c r="H67" s="1400"/>
      <c r="I67" s="1400"/>
      <c r="J67" s="1400"/>
      <c r="K67" s="1400"/>
      <c r="L67" s="1400"/>
      <c r="M67" s="1400"/>
      <c r="N67" s="1400"/>
      <c r="O67" s="1400"/>
      <c r="P67" s="1400"/>
      <c r="Q67" s="1400"/>
      <c r="T67" s="353"/>
    </row>
    <row r="68" spans="1:20">
      <c r="A68" s="356">
        <f t="shared" si="23"/>
        <v>56</v>
      </c>
      <c r="B68" s="13" t="s">
        <v>360</v>
      </c>
      <c r="C68" s="13"/>
      <c r="D68" s="13"/>
      <c r="E68" s="583"/>
      <c r="F68" s="1417">
        <f t="shared" ref="F68:Q68" si="33">F65+F66-F67</f>
        <v>0</v>
      </c>
      <c r="G68" s="1417">
        <f t="shared" si="33"/>
        <v>0</v>
      </c>
      <c r="H68" s="1417">
        <f t="shared" si="33"/>
        <v>0</v>
      </c>
      <c r="I68" s="1417">
        <f t="shared" si="33"/>
        <v>0</v>
      </c>
      <c r="J68" s="1417">
        <f t="shared" si="33"/>
        <v>0</v>
      </c>
      <c r="K68" s="1417">
        <f t="shared" si="33"/>
        <v>0</v>
      </c>
      <c r="L68" s="1417">
        <f t="shared" si="33"/>
        <v>0</v>
      </c>
      <c r="M68" s="1417">
        <f t="shared" si="33"/>
        <v>0</v>
      </c>
      <c r="N68" s="1417">
        <f t="shared" si="33"/>
        <v>0</v>
      </c>
      <c r="O68" s="1417">
        <f t="shared" si="33"/>
        <v>0</v>
      </c>
      <c r="P68" s="1417">
        <f t="shared" si="33"/>
        <v>0</v>
      </c>
      <c r="Q68" s="1417">
        <f t="shared" si="33"/>
        <v>0</v>
      </c>
      <c r="T68" s="353"/>
    </row>
    <row r="69" spans="1:20">
      <c r="A69" s="356">
        <f t="shared" si="23"/>
        <v>57</v>
      </c>
      <c r="T69" s="1628"/>
    </row>
    <row r="70" spans="1:20">
      <c r="A70" s="356">
        <f t="shared" si="23"/>
        <v>58</v>
      </c>
      <c r="B70" s="12"/>
      <c r="C70" s="1396"/>
      <c r="D70" s="13"/>
      <c r="E70" s="1397"/>
      <c r="F70" s="1398"/>
      <c r="G70" s="1398"/>
      <c r="H70" s="1398"/>
      <c r="I70" s="1398"/>
      <c r="J70" s="1398"/>
      <c r="K70" s="1398"/>
      <c r="L70" s="1398"/>
      <c r="M70" s="1398"/>
      <c r="N70" s="1398"/>
      <c r="O70" s="1398"/>
      <c r="P70" s="1398"/>
      <c r="Q70" s="1398"/>
      <c r="T70" s="353"/>
    </row>
    <row r="71" spans="1:20">
      <c r="A71" s="356">
        <f t="shared" si="23"/>
        <v>59</v>
      </c>
      <c r="B71" s="13" t="s">
        <v>361</v>
      </c>
      <c r="C71" s="13"/>
      <c r="D71" s="13"/>
      <c r="E71" s="837">
        <f>SUM(F71:Q71)</f>
        <v>0</v>
      </c>
      <c r="F71" s="837">
        <f t="shared" ref="F71:Q71" si="34">F64-F67-F66</f>
        <v>0</v>
      </c>
      <c r="G71" s="837">
        <f t="shared" si="34"/>
        <v>0</v>
      </c>
      <c r="H71" s="837">
        <f t="shared" si="34"/>
        <v>0</v>
      </c>
      <c r="I71" s="837">
        <f t="shared" si="34"/>
        <v>0</v>
      </c>
      <c r="J71" s="837">
        <f t="shared" si="34"/>
        <v>0</v>
      </c>
      <c r="K71" s="837">
        <f t="shared" si="34"/>
        <v>0</v>
      </c>
      <c r="L71" s="837">
        <f t="shared" si="34"/>
        <v>0</v>
      </c>
      <c r="M71" s="837">
        <f t="shared" si="34"/>
        <v>0</v>
      </c>
      <c r="N71" s="837">
        <f t="shared" si="34"/>
        <v>0</v>
      </c>
      <c r="O71" s="837">
        <f t="shared" si="34"/>
        <v>0</v>
      </c>
      <c r="P71" s="837">
        <f t="shared" si="34"/>
        <v>0</v>
      </c>
      <c r="Q71" s="837">
        <f t="shared" si="34"/>
        <v>0</v>
      </c>
      <c r="T71" s="353"/>
    </row>
    <row r="72" spans="1:20">
      <c r="A72" s="356">
        <f t="shared" si="23"/>
        <v>60</v>
      </c>
      <c r="B72" s="13"/>
      <c r="C72" s="13"/>
      <c r="D72" s="13"/>
      <c r="E72" s="30"/>
      <c r="F72" s="31"/>
      <c r="G72" s="31"/>
      <c r="H72" s="31"/>
      <c r="I72" s="31"/>
      <c r="J72" s="31"/>
      <c r="K72" s="31"/>
      <c r="L72" s="31"/>
      <c r="M72" s="31"/>
      <c r="N72" s="31"/>
      <c r="O72" s="31"/>
      <c r="P72" s="31"/>
      <c r="Q72" s="31"/>
      <c r="T72" s="353"/>
    </row>
    <row r="73" spans="1:20">
      <c r="A73" s="356">
        <f t="shared" si="23"/>
        <v>61</v>
      </c>
      <c r="B73" s="1387" t="s">
        <v>362</v>
      </c>
      <c r="C73" s="87"/>
      <c r="D73" s="87"/>
      <c r="E73" s="87"/>
      <c r="F73" s="87"/>
      <c r="G73" s="87"/>
      <c r="H73" s="87"/>
      <c r="I73" s="87"/>
      <c r="J73" s="87"/>
      <c r="K73" s="87"/>
      <c r="L73" s="87"/>
      <c r="M73" s="87"/>
      <c r="N73" s="87"/>
      <c r="O73" s="87"/>
      <c r="P73" s="87"/>
      <c r="Q73" s="87"/>
      <c r="T73" s="353"/>
    </row>
    <row r="74" spans="1:20">
      <c r="A74" s="356">
        <f t="shared" si="23"/>
        <v>62</v>
      </c>
      <c r="B74" s="12"/>
      <c r="C74" s="12"/>
      <c r="D74" s="12"/>
      <c r="E74" s="88"/>
      <c r="F74" s="89"/>
      <c r="G74" s="89"/>
      <c r="H74" s="89"/>
      <c r="I74" s="89"/>
      <c r="J74" s="89"/>
      <c r="K74" s="89"/>
      <c r="L74" s="89"/>
      <c r="M74" s="89"/>
      <c r="N74" s="89"/>
      <c r="O74" s="89"/>
      <c r="P74" s="89"/>
      <c r="Q74" s="89"/>
      <c r="T74" s="353"/>
    </row>
    <row r="75" spans="1:20">
      <c r="A75" s="356">
        <f t="shared" si="23"/>
        <v>63</v>
      </c>
      <c r="B75" s="12" t="s">
        <v>363</v>
      </c>
      <c r="C75" s="12"/>
      <c r="D75" s="12"/>
      <c r="E75" s="835">
        <f>E34-E51</f>
        <v>408864.40679680649</v>
      </c>
      <c r="F75" s="835">
        <f t="shared" ref="F75:Q75" si="35">F52+F71</f>
        <v>657177.06637500005</v>
      </c>
      <c r="G75" s="835">
        <f t="shared" si="35"/>
        <v>-238878.94494271436</v>
      </c>
      <c r="H75" s="835">
        <f t="shared" si="35"/>
        <v>-338178.16494271439</v>
      </c>
      <c r="I75" s="835">
        <f t="shared" si="35"/>
        <v>715090.56943228561</v>
      </c>
      <c r="J75" s="835">
        <f t="shared" si="35"/>
        <v>-338178.16494271439</v>
      </c>
      <c r="K75" s="835">
        <f t="shared" si="35"/>
        <v>-338178.16494271439</v>
      </c>
      <c r="L75" s="835">
        <f t="shared" si="35"/>
        <v>793795.56943228561</v>
      </c>
      <c r="M75" s="835">
        <f t="shared" si="35"/>
        <v>-254473.16494271439</v>
      </c>
      <c r="N75" s="835">
        <f t="shared" si="35"/>
        <v>-254473.16494271439</v>
      </c>
      <c r="O75" s="835">
        <f t="shared" si="35"/>
        <v>798795.56943228561</v>
      </c>
      <c r="P75" s="835">
        <f t="shared" si="35"/>
        <v>-254473.16494271439</v>
      </c>
      <c r="Q75" s="835">
        <f t="shared" si="35"/>
        <v>-539161.4332760477</v>
      </c>
      <c r="T75" s="353"/>
    </row>
    <row r="76" spans="1:20">
      <c r="A76" s="356">
        <f t="shared" si="23"/>
        <v>64</v>
      </c>
      <c r="B76" s="12"/>
      <c r="C76" s="12"/>
      <c r="D76" s="12"/>
      <c r="E76" s="606"/>
      <c r="F76" s="605"/>
      <c r="G76" s="605"/>
      <c r="H76" s="605"/>
      <c r="I76" s="605"/>
      <c r="J76" s="605"/>
      <c r="K76" s="605"/>
      <c r="L76" s="605"/>
      <c r="M76" s="605"/>
      <c r="N76" s="605"/>
      <c r="O76" s="605"/>
      <c r="P76" s="605"/>
      <c r="Q76" s="605"/>
      <c r="T76" s="353"/>
    </row>
    <row r="77" spans="1:20">
      <c r="A77" s="356">
        <f t="shared" si="23"/>
        <v>65</v>
      </c>
      <c r="B77" s="12" t="s">
        <v>364</v>
      </c>
      <c r="C77" s="12"/>
      <c r="D77" s="12"/>
      <c r="E77" s="834">
        <v>0</v>
      </c>
      <c r="F77" s="611">
        <f>+E77</f>
        <v>0</v>
      </c>
      <c r="G77" s="611">
        <f>F79</f>
        <v>657177.06637500005</v>
      </c>
      <c r="H77" s="611">
        <f t="shared" ref="H77:Q77" si="36">G79</f>
        <v>418298.1214322857</v>
      </c>
      <c r="I77" s="611">
        <f t="shared" si="36"/>
        <v>80119.956489571312</v>
      </c>
      <c r="J77" s="611">
        <f t="shared" si="36"/>
        <v>795210.52592185698</v>
      </c>
      <c r="K77" s="611">
        <f t="shared" si="36"/>
        <v>457032.3609791426</v>
      </c>
      <c r="L77" s="611">
        <f t="shared" si="36"/>
        <v>118854.19603642821</v>
      </c>
      <c r="M77" s="611">
        <f t="shared" si="36"/>
        <v>912649.76546871383</v>
      </c>
      <c r="N77" s="611">
        <f t="shared" si="36"/>
        <v>658176.60052599944</v>
      </c>
      <c r="O77" s="611">
        <f t="shared" si="36"/>
        <v>403703.43558328506</v>
      </c>
      <c r="P77" s="611">
        <f t="shared" si="36"/>
        <v>1202499.0050155707</v>
      </c>
      <c r="Q77" s="611">
        <f t="shared" si="36"/>
        <v>948025.84007285628</v>
      </c>
      <c r="T77" s="353"/>
    </row>
    <row r="78" spans="1:20">
      <c r="A78" s="356">
        <f t="shared" si="23"/>
        <v>66</v>
      </c>
      <c r="B78" s="12"/>
      <c r="C78" s="12"/>
      <c r="D78" s="12"/>
      <c r="E78" s="603"/>
      <c r="F78" s="602"/>
      <c r="G78" s="602"/>
      <c r="H78" s="602"/>
      <c r="I78" s="602"/>
      <c r="J78" s="602"/>
      <c r="K78" s="602"/>
      <c r="L78" s="602"/>
      <c r="M78" s="602"/>
      <c r="N78" s="602"/>
      <c r="O78" s="602"/>
      <c r="P78" s="602"/>
      <c r="Q78" s="602"/>
      <c r="T78" s="353"/>
    </row>
    <row r="79" spans="1:20" ht="14.4" thickBot="1">
      <c r="A79" s="356">
        <f t="shared" si="23"/>
        <v>67</v>
      </c>
      <c r="B79" s="13" t="s">
        <v>365</v>
      </c>
      <c r="C79" s="13"/>
      <c r="D79" s="13"/>
      <c r="E79" s="938">
        <f>SUM(E77,E75)</f>
        <v>408864.40679680649</v>
      </c>
      <c r="F79" s="938">
        <f>SUM(F77,F75)</f>
        <v>657177.06637500005</v>
      </c>
      <c r="G79" s="938">
        <f>SUM(G77,G75)</f>
        <v>418298.1214322857</v>
      </c>
      <c r="H79" s="938">
        <f t="shared" ref="H79:Q79" si="37">SUM(H77,H75)</f>
        <v>80119.956489571312</v>
      </c>
      <c r="I79" s="938">
        <f t="shared" si="37"/>
        <v>795210.52592185698</v>
      </c>
      <c r="J79" s="938">
        <f t="shared" si="37"/>
        <v>457032.3609791426</v>
      </c>
      <c r="K79" s="938">
        <f t="shared" si="37"/>
        <v>118854.19603642821</v>
      </c>
      <c r="L79" s="938">
        <f t="shared" si="37"/>
        <v>912649.76546871383</v>
      </c>
      <c r="M79" s="938">
        <f t="shared" si="37"/>
        <v>658176.60052599944</v>
      </c>
      <c r="N79" s="938">
        <f t="shared" si="37"/>
        <v>403703.43558328506</v>
      </c>
      <c r="O79" s="938">
        <f t="shared" si="37"/>
        <v>1202499.0050155707</v>
      </c>
      <c r="P79" s="938">
        <f t="shared" si="37"/>
        <v>948025.84007285628</v>
      </c>
      <c r="Q79" s="938">
        <f t="shared" si="37"/>
        <v>408864.40679680859</v>
      </c>
      <c r="T79" s="353"/>
    </row>
    <row r="80" spans="1:20" ht="14.4" thickTop="1">
      <c r="A80" s="356">
        <f t="shared" ref="A80:A143" si="38">ROW()-12</f>
        <v>68</v>
      </c>
      <c r="B80" s="13"/>
      <c r="C80" s="13"/>
      <c r="D80" s="13"/>
      <c r="E80" s="90"/>
      <c r="F80" s="90"/>
      <c r="G80" s="90"/>
      <c r="H80" s="90"/>
      <c r="I80" s="90"/>
      <c r="J80" s="90"/>
      <c r="K80" s="90"/>
      <c r="L80" s="90"/>
      <c r="M80" s="90"/>
      <c r="N80" s="90"/>
      <c r="O80" s="90"/>
      <c r="P80" s="90"/>
      <c r="Q80" s="90"/>
      <c r="T80" s="353"/>
    </row>
    <row r="81" spans="1:20">
      <c r="A81" s="356">
        <f t="shared" si="38"/>
        <v>69</v>
      </c>
      <c r="B81" s="91" t="s">
        <v>366</v>
      </c>
      <c r="C81" s="91"/>
      <c r="D81" s="91"/>
      <c r="E81" s="91"/>
      <c r="F81" s="92"/>
      <c r="G81" s="93">
        <f t="shared" ref="G81:Q81" si="39">IFERROR(G77/G51,0)</f>
        <v>1.93926791906795</v>
      </c>
      <c r="H81" s="93">
        <f t="shared" si="39"/>
        <v>1.0796757192297668</v>
      </c>
      <c r="I81" s="93">
        <f t="shared" si="39"/>
        <v>0.20679885281660002</v>
      </c>
      <c r="J81" s="93">
        <f t="shared" si="39"/>
        <v>2.0525301274936463</v>
      </c>
      <c r="K81" s="93">
        <f t="shared" si="39"/>
        <v>1.1796532610804793</v>
      </c>
      <c r="L81" s="93">
        <f t="shared" si="39"/>
        <v>0.3067763946673126</v>
      </c>
      <c r="M81" s="93">
        <f t="shared" si="39"/>
        <v>2.3864529078390908</v>
      </c>
      <c r="N81" s="93">
        <f t="shared" si="39"/>
        <v>1.7210407777733261</v>
      </c>
      <c r="O81" s="93">
        <f t="shared" si="39"/>
        <v>1.0556286477075616</v>
      </c>
      <c r="P81" s="93">
        <f t="shared" si="39"/>
        <v>3.1443685801192451</v>
      </c>
      <c r="Q81" s="93">
        <f t="shared" si="39"/>
        <v>1.4210773871682023</v>
      </c>
      <c r="T81" s="353"/>
    </row>
    <row r="82" spans="1:20">
      <c r="A82" s="356">
        <f t="shared" si="38"/>
        <v>70</v>
      </c>
      <c r="B82" s="13"/>
      <c r="C82" s="13"/>
      <c r="D82" s="13"/>
      <c r="E82" s="90"/>
      <c r="F82" s="90"/>
      <c r="G82" s="90"/>
      <c r="H82" s="90"/>
      <c r="I82" s="90"/>
      <c r="J82" s="90"/>
      <c r="K82" s="90"/>
      <c r="L82" s="90"/>
      <c r="M82" s="90"/>
      <c r="N82" s="90"/>
      <c r="O82" s="90"/>
      <c r="P82" s="90"/>
      <c r="Q82" s="90"/>
      <c r="T82" s="353"/>
    </row>
    <row r="83" spans="1:20" ht="17.399999999999999">
      <c r="A83" s="356">
        <f t="shared" si="38"/>
        <v>71</v>
      </c>
      <c r="B83" s="848" t="s">
        <v>367</v>
      </c>
      <c r="C83" s="848"/>
      <c r="D83" s="848"/>
      <c r="E83" s="173"/>
      <c r="F83" s="173"/>
      <c r="G83" s="173"/>
      <c r="H83" s="173"/>
      <c r="I83" s="173"/>
      <c r="J83" s="173"/>
      <c r="K83" s="173"/>
      <c r="L83" s="173"/>
      <c r="M83" s="173"/>
      <c r="N83" s="173"/>
      <c r="O83" s="173"/>
      <c r="P83" s="173"/>
      <c r="Q83" s="173"/>
      <c r="T83" s="353"/>
    </row>
    <row r="84" spans="1:20">
      <c r="A84" s="356">
        <f t="shared" si="38"/>
        <v>72</v>
      </c>
      <c r="T84" s="353"/>
    </row>
    <row r="85" spans="1:20">
      <c r="A85" s="356">
        <f t="shared" si="38"/>
        <v>73</v>
      </c>
      <c r="B85" s="85" t="s">
        <v>326</v>
      </c>
      <c r="C85" s="85"/>
      <c r="D85" s="85"/>
      <c r="E85" s="94"/>
      <c r="F85" s="95"/>
      <c r="G85" s="95"/>
      <c r="H85" s="95"/>
      <c r="I85" s="95"/>
      <c r="J85" s="95"/>
      <c r="K85" s="95"/>
      <c r="L85" s="95"/>
      <c r="M85" s="95"/>
      <c r="N85" s="95"/>
      <c r="O85" s="95"/>
      <c r="P85" s="95"/>
      <c r="Q85" s="95"/>
      <c r="T85" s="353"/>
    </row>
    <row r="86" spans="1:20">
      <c r="A86" s="356">
        <f t="shared" si="38"/>
        <v>74</v>
      </c>
      <c r="B86" s="12" t="s">
        <v>126</v>
      </c>
      <c r="C86" s="12"/>
      <c r="D86" s="12"/>
      <c r="E86" s="587">
        <f t="shared" ref="E86:Q86" si="40">IF(OR(E17=0,E$34=0),0,E17/E$34)</f>
        <v>0.74960390319674786</v>
      </c>
      <c r="F86" s="587">
        <f t="shared" si="40"/>
        <v>0.71747596291468618</v>
      </c>
      <c r="G86" s="587">
        <f t="shared" si="40"/>
        <v>0</v>
      </c>
      <c r="H86" s="587">
        <f t="shared" si="40"/>
        <v>0</v>
      </c>
      <c r="I86" s="587">
        <f t="shared" si="40"/>
        <v>0.96742124840381083</v>
      </c>
      <c r="J86" s="587">
        <f t="shared" si="40"/>
        <v>0</v>
      </c>
      <c r="K86" s="587">
        <f t="shared" si="40"/>
        <v>0</v>
      </c>
      <c r="L86" s="587">
        <f t="shared" si="40"/>
        <v>0.90296198703752539</v>
      </c>
      <c r="M86" s="587">
        <f t="shared" si="40"/>
        <v>0</v>
      </c>
      <c r="N86" s="587">
        <f t="shared" si="40"/>
        <v>0</v>
      </c>
      <c r="O86" s="587">
        <f t="shared" si="40"/>
        <v>0.90296198703752539</v>
      </c>
      <c r="P86" s="587">
        <f t="shared" si="40"/>
        <v>0</v>
      </c>
      <c r="Q86" s="587">
        <f t="shared" si="40"/>
        <v>0</v>
      </c>
      <c r="T86" s="353"/>
    </row>
    <row r="87" spans="1:20">
      <c r="A87" s="356">
        <f t="shared" si="38"/>
        <v>75</v>
      </c>
      <c r="B87" s="12" t="str">
        <f>+B18</f>
        <v>CS Sponsorship Fee @ 0.0125</v>
      </c>
      <c r="C87" s="12"/>
      <c r="D87" s="12"/>
      <c r="E87" s="587">
        <f t="shared" ref="E87:Q87" si="41">IF(OR(E18=0,E$34=0),0,E18/E$34)</f>
        <v>-9.3700487899593468E-3</v>
      </c>
      <c r="F87" s="587">
        <f t="shared" si="41"/>
        <v>-8.968449536433578E-3</v>
      </c>
      <c r="G87" s="587">
        <f t="shared" si="41"/>
        <v>0</v>
      </c>
      <c r="H87" s="587">
        <f t="shared" si="41"/>
        <v>0</v>
      </c>
      <c r="I87" s="587">
        <f t="shared" si="41"/>
        <v>-1.2092765605047635E-2</v>
      </c>
      <c r="J87" s="587">
        <f t="shared" si="41"/>
        <v>0</v>
      </c>
      <c r="K87" s="587">
        <f t="shared" si="41"/>
        <v>0</v>
      </c>
      <c r="L87" s="587">
        <f t="shared" si="41"/>
        <v>-1.1287024837969067E-2</v>
      </c>
      <c r="M87" s="587">
        <f t="shared" si="41"/>
        <v>0</v>
      </c>
      <c r="N87" s="587">
        <f t="shared" si="41"/>
        <v>0</v>
      </c>
      <c r="O87" s="587">
        <f t="shared" si="41"/>
        <v>-1.1287024837969067E-2</v>
      </c>
      <c r="P87" s="587">
        <f t="shared" si="41"/>
        <v>0</v>
      </c>
      <c r="Q87" s="587">
        <f t="shared" si="41"/>
        <v>0</v>
      </c>
      <c r="T87" s="353"/>
    </row>
    <row r="88" spans="1:20">
      <c r="A88" s="356">
        <f t="shared" si="38"/>
        <v>76</v>
      </c>
      <c r="B88" s="12" t="s">
        <v>127</v>
      </c>
      <c r="C88" s="12"/>
      <c r="D88" s="12"/>
      <c r="E88" s="587">
        <f t="shared" ref="E88:Q88" si="42">IF(OR(E19=0,E$34=0),0,E19/E$34)</f>
        <v>6.4753936516378868E-2</v>
      </c>
      <c r="F88" s="587">
        <f t="shared" si="42"/>
        <v>0</v>
      </c>
      <c r="G88" s="587">
        <f t="shared" si="42"/>
        <v>0</v>
      </c>
      <c r="H88" s="587">
        <f t="shared" si="42"/>
        <v>0</v>
      </c>
      <c r="I88" s="587">
        <f t="shared" si="42"/>
        <v>0</v>
      </c>
      <c r="J88" s="587">
        <f t="shared" si="42"/>
        <v>0</v>
      </c>
      <c r="K88" s="587">
        <f t="shared" si="42"/>
        <v>0</v>
      </c>
      <c r="L88" s="587">
        <f t="shared" si="42"/>
        <v>4.8001016935830226E-2</v>
      </c>
      <c r="M88" s="587">
        <f t="shared" si="42"/>
        <v>0.44312024173264231</v>
      </c>
      <c r="N88" s="587">
        <f t="shared" si="42"/>
        <v>0.44312024173264231</v>
      </c>
      <c r="O88" s="587">
        <f t="shared" si="42"/>
        <v>4.8001016935830226E-2</v>
      </c>
      <c r="P88" s="587">
        <f t="shared" si="42"/>
        <v>0.44312024173264231</v>
      </c>
      <c r="Q88" s="587">
        <f t="shared" si="42"/>
        <v>0.44312024173264231</v>
      </c>
      <c r="T88" s="353"/>
    </row>
    <row r="89" spans="1:20">
      <c r="A89" s="356">
        <f t="shared" si="38"/>
        <v>77</v>
      </c>
      <c r="B89" s="12" t="s">
        <v>128</v>
      </c>
      <c r="C89" s="12"/>
      <c r="D89" s="12"/>
      <c r="E89" s="587">
        <f t="shared" ref="E89:Q89" si="43">IF(OR(E20=0,E$34=0),0,E20/E$34)</f>
        <v>6.8351377433955481E-3</v>
      </c>
      <c r="F89" s="587">
        <f t="shared" si="43"/>
        <v>0</v>
      </c>
      <c r="G89" s="587">
        <f t="shared" si="43"/>
        <v>0</v>
      </c>
      <c r="H89" s="587">
        <f t="shared" si="43"/>
        <v>0</v>
      </c>
      <c r="I89" s="587">
        <f t="shared" si="43"/>
        <v>0</v>
      </c>
      <c r="J89" s="587">
        <f t="shared" si="43"/>
        <v>0</v>
      </c>
      <c r="K89" s="587">
        <f t="shared" si="43"/>
        <v>0</v>
      </c>
      <c r="L89" s="587">
        <f t="shared" si="43"/>
        <v>5.0667740098931909E-3</v>
      </c>
      <c r="M89" s="587">
        <f t="shared" si="43"/>
        <v>4.6773803294001132E-2</v>
      </c>
      <c r="N89" s="587">
        <f t="shared" si="43"/>
        <v>4.6773803294001132E-2</v>
      </c>
      <c r="O89" s="587">
        <f t="shared" si="43"/>
        <v>5.0667740098931909E-3</v>
      </c>
      <c r="P89" s="587">
        <f t="shared" si="43"/>
        <v>4.6773803294001132E-2</v>
      </c>
      <c r="Q89" s="587">
        <f t="shared" si="43"/>
        <v>4.6773803294001132E-2</v>
      </c>
      <c r="T89" s="353"/>
    </row>
    <row r="90" spans="1:20">
      <c r="A90" s="356">
        <f t="shared" si="38"/>
        <v>78</v>
      </c>
      <c r="B90" s="12" t="s">
        <v>129</v>
      </c>
      <c r="C90" s="12"/>
      <c r="D90" s="12"/>
      <c r="E90" s="587">
        <f t="shared" ref="E90:Q90" si="44">IF(OR(E22=0,E$34=0),0,E22/E$34)</f>
        <v>1.541760393247116E-3</v>
      </c>
      <c r="F90" s="587">
        <f t="shared" si="44"/>
        <v>0</v>
      </c>
      <c r="G90" s="587">
        <f t="shared" si="44"/>
        <v>0</v>
      </c>
      <c r="H90" s="587">
        <f t="shared" si="44"/>
        <v>0</v>
      </c>
      <c r="I90" s="587">
        <f t="shared" si="44"/>
        <v>0</v>
      </c>
      <c r="J90" s="587">
        <f t="shared" si="44"/>
        <v>0</v>
      </c>
      <c r="K90" s="587">
        <f t="shared" si="44"/>
        <v>0</v>
      </c>
      <c r="L90" s="587">
        <f t="shared" si="44"/>
        <v>1.1428813556150054E-3</v>
      </c>
      <c r="M90" s="587">
        <f t="shared" si="44"/>
        <v>1.0550481946015294E-2</v>
      </c>
      <c r="N90" s="587">
        <f t="shared" si="44"/>
        <v>1.0550481946015294E-2</v>
      </c>
      <c r="O90" s="587">
        <f t="shared" si="44"/>
        <v>1.1428813556150054E-3</v>
      </c>
      <c r="P90" s="587">
        <f t="shared" si="44"/>
        <v>1.0550481946015294E-2</v>
      </c>
      <c r="Q90" s="587">
        <f t="shared" si="44"/>
        <v>1.0550481946015294E-2</v>
      </c>
      <c r="T90" s="353"/>
    </row>
    <row r="91" spans="1:20">
      <c r="A91" s="356">
        <f t="shared" si="38"/>
        <v>79</v>
      </c>
      <c r="B91" s="12" t="s">
        <v>131</v>
      </c>
      <c r="C91" s="12"/>
      <c r="D91" s="12"/>
      <c r="E91" s="587">
        <f t="shared" ref="E91:Q91" si="45">IF(OR(E23=0,E$34=0),0,E23/E$34)</f>
        <v>3.6632226943551484E-2</v>
      </c>
      <c r="F91" s="588">
        <f t="shared" si="45"/>
        <v>0</v>
      </c>
      <c r="G91" s="587">
        <f t="shared" si="45"/>
        <v>0</v>
      </c>
      <c r="H91" s="587">
        <f t="shared" si="45"/>
        <v>0.39076376554174069</v>
      </c>
      <c r="I91" s="587">
        <f t="shared" si="45"/>
        <v>1.7456010274017945E-2</v>
      </c>
      <c r="J91" s="588">
        <f t="shared" si="45"/>
        <v>0.39076376554174069</v>
      </c>
      <c r="K91" s="587">
        <f t="shared" si="45"/>
        <v>0.39076376554174069</v>
      </c>
      <c r="L91" s="587">
        <f t="shared" si="45"/>
        <v>1.6292916605647519E-2</v>
      </c>
      <c r="M91" s="587">
        <f t="shared" si="45"/>
        <v>0.15040767062239405</v>
      </c>
      <c r="N91" s="588">
        <f t="shared" si="45"/>
        <v>0.15040767062239405</v>
      </c>
      <c r="O91" s="587">
        <f t="shared" si="45"/>
        <v>1.6292916605647519E-2</v>
      </c>
      <c r="P91" s="587">
        <f t="shared" si="45"/>
        <v>0.15040767062239405</v>
      </c>
      <c r="Q91" s="587">
        <f t="shared" si="45"/>
        <v>0.15040767062239405</v>
      </c>
      <c r="T91" s="353"/>
    </row>
    <row r="92" spans="1:20">
      <c r="A92" s="356">
        <f t="shared" si="38"/>
        <v>80</v>
      </c>
      <c r="B92" s="12" t="s">
        <v>132</v>
      </c>
      <c r="C92" s="12"/>
      <c r="D92" s="12"/>
      <c r="E92" s="587">
        <f t="shared" ref="E92:Q92" si="46">IF(OR(E24=0,E$34=0),0,E24/E$34)</f>
        <v>5.7112972007446181E-2</v>
      </c>
      <c r="F92" s="588">
        <f t="shared" si="46"/>
        <v>0</v>
      </c>
      <c r="G92" s="587">
        <f t="shared" si="46"/>
        <v>0</v>
      </c>
      <c r="H92" s="587">
        <f t="shared" si="46"/>
        <v>0.60923623445825936</v>
      </c>
      <c r="I92" s="587">
        <f t="shared" si="46"/>
        <v>2.7215506927218889E-2</v>
      </c>
      <c r="J92" s="588">
        <f t="shared" si="46"/>
        <v>0.60923623445825936</v>
      </c>
      <c r="K92" s="587">
        <f t="shared" si="46"/>
        <v>0.60923623445825936</v>
      </c>
      <c r="L92" s="587">
        <f t="shared" si="46"/>
        <v>2.540213816244136E-2</v>
      </c>
      <c r="M92" s="587">
        <f t="shared" si="46"/>
        <v>0.23449923192491434</v>
      </c>
      <c r="N92" s="587">
        <f t="shared" si="46"/>
        <v>0.23449923192491434</v>
      </c>
      <c r="O92" s="587">
        <f t="shared" si="46"/>
        <v>2.540213816244136E-2</v>
      </c>
      <c r="P92" s="587">
        <f t="shared" si="46"/>
        <v>0.23449923192491434</v>
      </c>
      <c r="Q92" s="587">
        <f t="shared" si="46"/>
        <v>0.23449923192491434</v>
      </c>
      <c r="T92" s="353"/>
    </row>
    <row r="93" spans="1:20">
      <c r="A93" s="356">
        <f t="shared" si="38"/>
        <v>81</v>
      </c>
      <c r="B93" s="12" t="s">
        <v>133</v>
      </c>
      <c r="C93" s="12"/>
      <c r="D93" s="12"/>
      <c r="E93" s="587">
        <f t="shared" ref="E93:Q93" si="47">IF(OR(E25=0,E$34=0),0,E25/E$34)</f>
        <v>1.634266016841943E-2</v>
      </c>
      <c r="F93" s="588">
        <f t="shared" si="47"/>
        <v>0</v>
      </c>
      <c r="G93" s="587">
        <f t="shared" si="47"/>
        <v>0</v>
      </c>
      <c r="H93" s="587">
        <f t="shared" si="47"/>
        <v>0</v>
      </c>
      <c r="I93" s="587">
        <f t="shared" si="47"/>
        <v>0</v>
      </c>
      <c r="J93" s="588">
        <f t="shared" si="47"/>
        <v>0</v>
      </c>
      <c r="K93" s="587">
        <f t="shared" si="47"/>
        <v>0</v>
      </c>
      <c r="L93" s="587">
        <f t="shared" si="47"/>
        <v>1.2114542369519057E-2</v>
      </c>
      <c r="M93" s="587">
        <f t="shared" si="47"/>
        <v>0.11183510862776211</v>
      </c>
      <c r="N93" s="588">
        <f t="shared" si="47"/>
        <v>0.11183510862776211</v>
      </c>
      <c r="O93" s="587">
        <f t="shared" si="47"/>
        <v>1.2114542369519057E-2</v>
      </c>
      <c r="P93" s="587">
        <f t="shared" si="47"/>
        <v>0.11183510862776211</v>
      </c>
      <c r="Q93" s="587">
        <f t="shared" si="47"/>
        <v>0.11183510862776211</v>
      </c>
      <c r="T93" s="353"/>
    </row>
    <row r="94" spans="1:20">
      <c r="A94" s="356">
        <f t="shared" si="38"/>
        <v>82</v>
      </c>
      <c r="B94" s="12" t="s">
        <v>291</v>
      </c>
      <c r="C94" s="12"/>
      <c r="D94" s="12"/>
      <c r="E94" s="587">
        <f t="shared" ref="E94:Q94" si="48">IF(OR(E26=0,E$34=0),0,E26/E$34)</f>
        <v>0</v>
      </c>
      <c r="F94" s="588">
        <f t="shared" si="48"/>
        <v>0</v>
      </c>
      <c r="G94" s="587">
        <f t="shared" si="48"/>
        <v>0</v>
      </c>
      <c r="H94" s="587">
        <f t="shared" si="48"/>
        <v>0</v>
      </c>
      <c r="I94" s="587">
        <f t="shared" si="48"/>
        <v>0</v>
      </c>
      <c r="J94" s="588">
        <f t="shared" si="48"/>
        <v>0</v>
      </c>
      <c r="K94" s="587">
        <f t="shared" si="48"/>
        <v>0</v>
      </c>
      <c r="L94" s="587">
        <f t="shared" si="48"/>
        <v>0</v>
      </c>
      <c r="M94" s="587">
        <f t="shared" si="48"/>
        <v>0</v>
      </c>
      <c r="N94" s="588">
        <f t="shared" si="48"/>
        <v>0</v>
      </c>
      <c r="O94" s="587">
        <f t="shared" si="48"/>
        <v>0</v>
      </c>
      <c r="P94" s="587">
        <f t="shared" si="48"/>
        <v>0</v>
      </c>
      <c r="Q94" s="587">
        <f t="shared" si="48"/>
        <v>0</v>
      </c>
      <c r="T94" s="353"/>
    </row>
    <row r="95" spans="1:20">
      <c r="A95" s="356">
        <f t="shared" si="38"/>
        <v>83</v>
      </c>
      <c r="B95" s="12" t="s">
        <v>330</v>
      </c>
      <c r="C95" s="12"/>
      <c r="D95" s="12"/>
      <c r="E95" s="587">
        <f t="shared" ref="E95:Q95" si="49">IF(OR(E27=0,E$34=0),0,E27/E$34)</f>
        <v>7.6136315715906969E-2</v>
      </c>
      <c r="F95" s="588">
        <f t="shared" si="49"/>
        <v>0.29149248662174737</v>
      </c>
      <c r="G95" s="587">
        <f t="shared" si="49"/>
        <v>1</v>
      </c>
      <c r="H95" s="587">
        <f t="shared" si="49"/>
        <v>0</v>
      </c>
      <c r="I95" s="587">
        <f t="shared" si="49"/>
        <v>0</v>
      </c>
      <c r="J95" s="588">
        <f t="shared" si="49"/>
        <v>0</v>
      </c>
      <c r="K95" s="587">
        <f t="shared" si="49"/>
        <v>0</v>
      </c>
      <c r="L95" s="587">
        <f t="shared" si="49"/>
        <v>0</v>
      </c>
      <c r="M95" s="587">
        <f t="shared" si="49"/>
        <v>0</v>
      </c>
      <c r="N95" s="588">
        <f t="shared" si="49"/>
        <v>0</v>
      </c>
      <c r="O95" s="587">
        <f t="shared" si="49"/>
        <v>0</v>
      </c>
      <c r="P95" s="587">
        <f t="shared" si="49"/>
        <v>0</v>
      </c>
      <c r="Q95" s="587">
        <f t="shared" si="49"/>
        <v>0</v>
      </c>
      <c r="T95" s="353"/>
    </row>
    <row r="96" spans="1:20">
      <c r="A96" s="356">
        <f t="shared" si="38"/>
        <v>84</v>
      </c>
      <c r="B96" s="12" t="s">
        <v>331</v>
      </c>
      <c r="C96" s="12"/>
      <c r="D96" s="12"/>
      <c r="E96" s="587">
        <f t="shared" ref="E96:Q96" si="50">IF(OR(E28=0,E$34=0),0,E28/E$34)</f>
        <v>0</v>
      </c>
      <c r="F96" s="588">
        <f t="shared" si="50"/>
        <v>0</v>
      </c>
      <c r="G96" s="587">
        <f t="shared" si="50"/>
        <v>0</v>
      </c>
      <c r="H96" s="587">
        <f t="shared" si="50"/>
        <v>0</v>
      </c>
      <c r="I96" s="587">
        <f t="shared" si="50"/>
        <v>0</v>
      </c>
      <c r="J96" s="588">
        <f t="shared" si="50"/>
        <v>0</v>
      </c>
      <c r="K96" s="587">
        <f t="shared" si="50"/>
        <v>0</v>
      </c>
      <c r="L96" s="587">
        <f t="shared" si="50"/>
        <v>0</v>
      </c>
      <c r="M96" s="587">
        <f t="shared" si="50"/>
        <v>0</v>
      </c>
      <c r="N96" s="588">
        <f t="shared" si="50"/>
        <v>0</v>
      </c>
      <c r="O96" s="587">
        <f t="shared" si="50"/>
        <v>0</v>
      </c>
      <c r="P96" s="587">
        <f t="shared" si="50"/>
        <v>0</v>
      </c>
      <c r="Q96" s="587">
        <f t="shared" si="50"/>
        <v>0</v>
      </c>
      <c r="T96" s="353"/>
    </row>
    <row r="97" spans="1:20">
      <c r="A97" s="356">
        <f t="shared" si="38"/>
        <v>85</v>
      </c>
      <c r="B97" s="12" t="s">
        <v>141</v>
      </c>
      <c r="C97" s="12"/>
      <c r="D97" s="12"/>
      <c r="E97" s="587">
        <f t="shared" ref="E97:Q97" si="51">IF(OR(E29=0,E$34=0),0,E29/E$34)</f>
        <v>0</v>
      </c>
      <c r="F97" s="588">
        <f t="shared" si="51"/>
        <v>0</v>
      </c>
      <c r="G97" s="587">
        <f t="shared" si="51"/>
        <v>0</v>
      </c>
      <c r="H97" s="587">
        <f t="shared" si="51"/>
        <v>0</v>
      </c>
      <c r="I97" s="587">
        <f t="shared" si="51"/>
        <v>0</v>
      </c>
      <c r="J97" s="588">
        <f t="shared" si="51"/>
        <v>0</v>
      </c>
      <c r="K97" s="587">
        <f t="shared" si="51"/>
        <v>0</v>
      </c>
      <c r="L97" s="587">
        <f t="shared" si="51"/>
        <v>0</v>
      </c>
      <c r="M97" s="587">
        <f t="shared" si="51"/>
        <v>0</v>
      </c>
      <c r="N97" s="588">
        <f t="shared" si="51"/>
        <v>0</v>
      </c>
      <c r="O97" s="587">
        <f t="shared" si="51"/>
        <v>0</v>
      </c>
      <c r="P97" s="587">
        <f t="shared" si="51"/>
        <v>0</v>
      </c>
      <c r="Q97" s="587">
        <f t="shared" si="51"/>
        <v>0</v>
      </c>
      <c r="T97" s="353"/>
    </row>
    <row r="98" spans="1:20">
      <c r="A98" s="356">
        <f t="shared" si="38"/>
        <v>86</v>
      </c>
      <c r="B98" s="12" t="s">
        <v>332</v>
      </c>
      <c r="C98" s="12"/>
      <c r="D98" s="12"/>
      <c r="E98" s="587">
        <f t="shared" ref="E98:Q98" si="52">IF(OR(E30=0,E$34=0),0,E30/E$34)</f>
        <v>0</v>
      </c>
      <c r="F98" s="588">
        <f t="shared" si="52"/>
        <v>0</v>
      </c>
      <c r="G98" s="587">
        <f t="shared" si="52"/>
        <v>0</v>
      </c>
      <c r="H98" s="587">
        <f t="shared" si="52"/>
        <v>0</v>
      </c>
      <c r="I98" s="587">
        <f t="shared" si="52"/>
        <v>0</v>
      </c>
      <c r="J98" s="588">
        <f t="shared" si="52"/>
        <v>0</v>
      </c>
      <c r="K98" s="587">
        <f t="shared" si="52"/>
        <v>0</v>
      </c>
      <c r="L98" s="587">
        <f t="shared" si="52"/>
        <v>0</v>
      </c>
      <c r="M98" s="587">
        <f t="shared" si="52"/>
        <v>0</v>
      </c>
      <c r="N98" s="588">
        <f t="shared" si="52"/>
        <v>0</v>
      </c>
      <c r="O98" s="587">
        <f t="shared" si="52"/>
        <v>0</v>
      </c>
      <c r="P98" s="587">
        <f t="shared" si="52"/>
        <v>0</v>
      </c>
      <c r="Q98" s="587">
        <f t="shared" si="52"/>
        <v>0</v>
      </c>
      <c r="T98" s="353"/>
    </row>
    <row r="99" spans="1:20">
      <c r="A99" s="356">
        <f t="shared" si="38"/>
        <v>87</v>
      </c>
      <c r="B99" s="12" t="s">
        <v>140</v>
      </c>
      <c r="C99" s="12"/>
      <c r="D99" s="12"/>
      <c r="E99" s="587">
        <f t="shared" ref="E99:Q99" si="53">IF(OR(E31=0,E$34=0),0,E31/E$34)</f>
        <v>0</v>
      </c>
      <c r="F99" s="588">
        <f t="shared" si="53"/>
        <v>0</v>
      </c>
      <c r="G99" s="587">
        <f t="shared" si="53"/>
        <v>0</v>
      </c>
      <c r="H99" s="587">
        <f t="shared" si="53"/>
        <v>0</v>
      </c>
      <c r="I99" s="587">
        <f t="shared" si="53"/>
        <v>0</v>
      </c>
      <c r="J99" s="588">
        <f t="shared" si="53"/>
        <v>0</v>
      </c>
      <c r="K99" s="587">
        <f t="shared" si="53"/>
        <v>0</v>
      </c>
      <c r="L99" s="587">
        <f t="shared" si="53"/>
        <v>0</v>
      </c>
      <c r="M99" s="587">
        <f t="shared" si="53"/>
        <v>0</v>
      </c>
      <c r="N99" s="588">
        <f t="shared" si="53"/>
        <v>0</v>
      </c>
      <c r="O99" s="587">
        <f t="shared" si="53"/>
        <v>0</v>
      </c>
      <c r="P99" s="587">
        <f t="shared" si="53"/>
        <v>0</v>
      </c>
      <c r="Q99" s="587">
        <f t="shared" si="53"/>
        <v>0</v>
      </c>
      <c r="T99" s="353"/>
    </row>
    <row r="100" spans="1:20">
      <c r="A100" s="356">
        <f t="shared" si="38"/>
        <v>88</v>
      </c>
      <c r="B100" s="12" t="s">
        <v>368</v>
      </c>
      <c r="C100" s="12"/>
      <c r="D100" s="12"/>
      <c r="E100" s="587">
        <f t="shared" ref="E100:Q100" si="54">IF(OR(E32=0,E$34=0),0,E32/E$34)</f>
        <v>0</v>
      </c>
      <c r="F100" s="588">
        <f t="shared" si="54"/>
        <v>0</v>
      </c>
      <c r="G100" s="587">
        <f t="shared" si="54"/>
        <v>0</v>
      </c>
      <c r="H100" s="587">
        <f t="shared" si="54"/>
        <v>0</v>
      </c>
      <c r="I100" s="587">
        <f t="shared" si="54"/>
        <v>0</v>
      </c>
      <c r="J100" s="588">
        <f t="shared" si="54"/>
        <v>0</v>
      </c>
      <c r="K100" s="587">
        <f t="shared" si="54"/>
        <v>0</v>
      </c>
      <c r="L100" s="587">
        <f t="shared" si="54"/>
        <v>0</v>
      </c>
      <c r="M100" s="587">
        <f t="shared" si="54"/>
        <v>0</v>
      </c>
      <c r="N100" s="588">
        <f t="shared" si="54"/>
        <v>0</v>
      </c>
      <c r="O100" s="587">
        <f t="shared" si="54"/>
        <v>0</v>
      </c>
      <c r="P100" s="587">
        <f t="shared" si="54"/>
        <v>0</v>
      </c>
      <c r="Q100" s="587">
        <f t="shared" si="54"/>
        <v>0</v>
      </c>
      <c r="T100" s="353"/>
    </row>
    <row r="101" spans="1:20">
      <c r="A101" s="356">
        <f t="shared" si="38"/>
        <v>89</v>
      </c>
      <c r="B101" s="12" t="s">
        <v>369</v>
      </c>
      <c r="C101" s="13"/>
      <c r="D101" s="13"/>
      <c r="E101" s="585">
        <f t="shared" ref="E101:Q101" si="55">IF(OR(E33=0,E$34=0),0,E33/E$34)</f>
        <v>0</v>
      </c>
      <c r="F101" s="586">
        <f t="shared" si="55"/>
        <v>0</v>
      </c>
      <c r="G101" s="585">
        <f t="shared" si="55"/>
        <v>0</v>
      </c>
      <c r="H101" s="585">
        <f t="shared" si="55"/>
        <v>0</v>
      </c>
      <c r="I101" s="585">
        <f t="shared" si="55"/>
        <v>0</v>
      </c>
      <c r="J101" s="586">
        <f t="shared" si="55"/>
        <v>0</v>
      </c>
      <c r="K101" s="585">
        <f t="shared" si="55"/>
        <v>0</v>
      </c>
      <c r="L101" s="585">
        <f t="shared" si="55"/>
        <v>0</v>
      </c>
      <c r="M101" s="585">
        <f t="shared" si="55"/>
        <v>0</v>
      </c>
      <c r="N101" s="586">
        <f t="shared" si="55"/>
        <v>0</v>
      </c>
      <c r="O101" s="585">
        <f t="shared" si="55"/>
        <v>0</v>
      </c>
      <c r="P101" s="585">
        <f t="shared" si="55"/>
        <v>0</v>
      </c>
      <c r="Q101" s="585">
        <f t="shared" si="55"/>
        <v>0</v>
      </c>
      <c r="T101" s="353"/>
    </row>
    <row r="102" spans="1:20">
      <c r="A102" s="356">
        <f t="shared" si="38"/>
        <v>90</v>
      </c>
      <c r="B102" s="12" t="s">
        <v>370</v>
      </c>
      <c r="C102" s="13"/>
      <c r="D102" s="13"/>
      <c r="E102" s="607">
        <f>SUM(E86:E101)</f>
        <v>0.99958886389513402</v>
      </c>
      <c r="F102" s="607">
        <f t="shared" ref="F102:Q102" si="56">SUM(F86:F101)</f>
        <v>1</v>
      </c>
      <c r="G102" s="607">
        <f t="shared" si="56"/>
        <v>1</v>
      </c>
      <c r="H102" s="607">
        <f t="shared" si="56"/>
        <v>1</v>
      </c>
      <c r="I102" s="607">
        <f t="shared" si="56"/>
        <v>1</v>
      </c>
      <c r="J102" s="607">
        <f t="shared" si="56"/>
        <v>1</v>
      </c>
      <c r="K102" s="607">
        <f t="shared" si="56"/>
        <v>1</v>
      </c>
      <c r="L102" s="607">
        <f t="shared" si="56"/>
        <v>0.99969523163850271</v>
      </c>
      <c r="M102" s="607">
        <f t="shared" si="56"/>
        <v>0.99718653814772928</v>
      </c>
      <c r="N102" s="607">
        <f t="shared" si="56"/>
        <v>0.99718653814772928</v>
      </c>
      <c r="O102" s="607">
        <f t="shared" si="56"/>
        <v>0.99969523163850271</v>
      </c>
      <c r="P102" s="607">
        <f t="shared" si="56"/>
        <v>0.99718653814772928</v>
      </c>
      <c r="Q102" s="607">
        <f t="shared" si="56"/>
        <v>0.99718653814772928</v>
      </c>
      <c r="T102" s="353"/>
    </row>
    <row r="103" spans="1:20">
      <c r="A103" s="356">
        <f t="shared" si="38"/>
        <v>91</v>
      </c>
      <c r="B103" s="13" t="s">
        <v>336</v>
      </c>
      <c r="C103" s="13"/>
      <c r="D103" s="13"/>
      <c r="E103" s="590"/>
      <c r="F103" s="591">
        <f t="shared" ref="F103:Q103" si="57">IFERROR(F35/$E$34,0)</f>
        <v>0.19589608448820306</v>
      </c>
      <c r="G103" s="591">
        <f t="shared" si="57"/>
        <v>0.2149301634171798</v>
      </c>
      <c r="H103" s="591">
        <f t="shared" si="57"/>
        <v>0.22430468331227957</v>
      </c>
      <c r="I103" s="591">
        <f t="shared" si="57"/>
        <v>0.43415920544255121</v>
      </c>
      <c r="J103" s="591">
        <f t="shared" si="57"/>
        <v>0.44353372533765101</v>
      </c>
      <c r="K103" s="591">
        <f t="shared" si="57"/>
        <v>0.45290824523275081</v>
      </c>
      <c r="L103" s="591">
        <f t="shared" si="57"/>
        <v>0.6777435391840736</v>
      </c>
      <c r="M103" s="591">
        <f t="shared" si="57"/>
        <v>0.70209883090022451</v>
      </c>
      <c r="N103" s="591">
        <f t="shared" si="57"/>
        <v>0.72645412261637543</v>
      </c>
      <c r="O103" s="591">
        <f t="shared" si="57"/>
        <v>0.95128941656769828</v>
      </c>
      <c r="P103" s="591">
        <f t="shared" si="57"/>
        <v>0.97564470828384919</v>
      </c>
      <c r="Q103" s="591">
        <f t="shared" si="57"/>
        <v>1.0000000000000002</v>
      </c>
      <c r="T103" s="353"/>
    </row>
    <row r="104" spans="1:20">
      <c r="A104" s="356">
        <f t="shared" si="38"/>
        <v>92</v>
      </c>
      <c r="B104" s="13"/>
      <c r="C104" s="13"/>
      <c r="D104" s="13"/>
      <c r="E104" s="590"/>
      <c r="F104" s="591"/>
      <c r="G104" s="591"/>
      <c r="H104" s="591"/>
      <c r="I104" s="591"/>
      <c r="J104" s="591"/>
      <c r="K104" s="591"/>
      <c r="L104" s="591"/>
      <c r="M104" s="591"/>
      <c r="N104" s="591"/>
      <c r="O104" s="591"/>
      <c r="P104" s="591"/>
      <c r="Q104" s="591"/>
      <c r="T104" s="353"/>
    </row>
    <row r="105" spans="1:20" ht="17.399999999999999">
      <c r="A105" s="356">
        <f t="shared" si="38"/>
        <v>93</v>
      </c>
      <c r="B105" s="80" t="s">
        <v>371</v>
      </c>
      <c r="C105" s="13"/>
      <c r="D105" s="13"/>
      <c r="E105" s="590"/>
      <c r="F105" s="591"/>
      <c r="G105" s="591"/>
      <c r="H105" s="591"/>
      <c r="I105" s="591"/>
      <c r="J105" s="591"/>
      <c r="K105" s="591"/>
      <c r="L105" s="591"/>
      <c r="M105" s="591"/>
      <c r="N105" s="591"/>
      <c r="O105" s="591"/>
      <c r="P105" s="591"/>
      <c r="Q105" s="591"/>
      <c r="T105" s="353"/>
    </row>
    <row r="106" spans="1:20">
      <c r="A106" s="356">
        <f t="shared" si="38"/>
        <v>94</v>
      </c>
      <c r="B106" s="12"/>
      <c r="C106" s="12"/>
      <c r="D106" s="12"/>
      <c r="E106" s="592"/>
      <c r="F106" s="593"/>
      <c r="G106" s="592"/>
      <c r="H106" s="592"/>
      <c r="I106" s="592"/>
      <c r="J106" s="593"/>
      <c r="K106" s="592"/>
      <c r="L106" s="592"/>
      <c r="M106" s="592"/>
      <c r="N106" s="593"/>
      <c r="O106" s="592"/>
      <c r="P106" s="592"/>
      <c r="Q106" s="592"/>
      <c r="T106" s="353"/>
    </row>
    <row r="107" spans="1:20">
      <c r="A107" s="356">
        <f t="shared" si="38"/>
        <v>95</v>
      </c>
      <c r="B107" s="86" t="s">
        <v>145</v>
      </c>
      <c r="C107" s="86"/>
      <c r="D107" s="86"/>
      <c r="E107" s="577"/>
      <c r="F107" s="577"/>
      <c r="G107" s="577"/>
      <c r="H107" s="577"/>
      <c r="I107" s="577"/>
      <c r="J107" s="577"/>
      <c r="K107" s="577"/>
      <c r="L107" s="577"/>
      <c r="M107" s="577"/>
      <c r="N107" s="577"/>
      <c r="O107" s="577"/>
      <c r="P107" s="577"/>
      <c r="Q107" s="577"/>
      <c r="T107" s="353"/>
    </row>
    <row r="108" spans="1:20">
      <c r="A108" s="356">
        <f t="shared" si="38"/>
        <v>96</v>
      </c>
      <c r="B108" s="12" t="s">
        <v>372</v>
      </c>
      <c r="C108" s="12"/>
      <c r="D108" s="12"/>
      <c r="E108" s="939">
        <f t="shared" ref="E108:Q108" si="58">IFERROR(E39/E$34,0)</f>
        <v>0.45092879214979004</v>
      </c>
      <c r="F108" s="939">
        <f t="shared" si="58"/>
        <v>0</v>
      </c>
      <c r="G108" s="939">
        <f t="shared" si="58"/>
        <v>1.9742168499999997</v>
      </c>
      <c r="H108" s="939">
        <f t="shared" si="58"/>
        <v>4.0084612082863282</v>
      </c>
      <c r="I108" s="939">
        <f t="shared" si="58"/>
        <v>0.1790640438164533</v>
      </c>
      <c r="J108" s="939">
        <f t="shared" si="58"/>
        <v>4.0084612082863282</v>
      </c>
      <c r="K108" s="939">
        <f t="shared" si="58"/>
        <v>4.0084612082863282</v>
      </c>
      <c r="L108" s="939">
        <f t="shared" si="58"/>
        <v>0.16713300961525818</v>
      </c>
      <c r="M108" s="939">
        <f t="shared" si="58"/>
        <v>1.5428843876625318</v>
      </c>
      <c r="N108" s="939">
        <f t="shared" si="58"/>
        <v>1.5428843876625318</v>
      </c>
      <c r="O108" s="939">
        <f t="shared" si="58"/>
        <v>0.16713300961525818</v>
      </c>
      <c r="P108" s="939">
        <f t="shared" si="58"/>
        <v>1.5428843876625318</v>
      </c>
      <c r="Q108" s="939">
        <f t="shared" si="58"/>
        <v>3.0857687753250636</v>
      </c>
      <c r="T108" s="353"/>
    </row>
    <row r="109" spans="1:20">
      <c r="A109" s="356">
        <f t="shared" si="38"/>
        <v>97</v>
      </c>
      <c r="B109" s="12" t="s">
        <v>373</v>
      </c>
      <c r="C109" s="12"/>
      <c r="D109" s="12"/>
      <c r="E109" s="587">
        <f>IFERROR(#REF!/E$34,0)</f>
        <v>0</v>
      </c>
      <c r="F109" s="587">
        <f>IFERROR(#REF!/F$34,0)</f>
        <v>0</v>
      </c>
      <c r="G109" s="587">
        <f>IFERROR(#REF!/G$34,0)</f>
        <v>0</v>
      </c>
      <c r="H109" s="587">
        <f>IFERROR(#REF!/H$34,0)</f>
        <v>0</v>
      </c>
      <c r="I109" s="587">
        <f>IFERROR(#REF!/I$34,0)</f>
        <v>0</v>
      </c>
      <c r="J109" s="587">
        <f>IFERROR(#REF!/J$34,0)</f>
        <v>0</v>
      </c>
      <c r="K109" s="587">
        <f>IFERROR(#REF!/K$34,0)</f>
        <v>0</v>
      </c>
      <c r="L109" s="587">
        <f>IFERROR(#REF!/L$34,0)</f>
        <v>0</v>
      </c>
      <c r="M109" s="587">
        <f>IFERROR(#REF!/M$34,0)</f>
        <v>0</v>
      </c>
      <c r="N109" s="587">
        <f>IFERROR(#REF!/N$34,0)</f>
        <v>0</v>
      </c>
      <c r="O109" s="587">
        <f>IFERROR(#REF!/O$34,0)</f>
        <v>0</v>
      </c>
      <c r="P109" s="587">
        <f>IFERROR(#REF!/P$34,0)</f>
        <v>0</v>
      </c>
      <c r="Q109" s="587">
        <f>IFERROR(#REF!/Q$34,0)</f>
        <v>0</v>
      </c>
      <c r="T109" s="353"/>
    </row>
    <row r="110" spans="1:20">
      <c r="A110" s="356">
        <f t="shared" si="38"/>
        <v>98</v>
      </c>
      <c r="B110" s="12" t="s">
        <v>374</v>
      </c>
      <c r="C110" s="12"/>
      <c r="D110" s="12"/>
      <c r="E110" s="587">
        <f>IFERROR(#REF!/E$34,0)</f>
        <v>0</v>
      </c>
      <c r="F110" s="587">
        <f>IFERROR(#REF!/F$34,0)</f>
        <v>0</v>
      </c>
      <c r="G110" s="587">
        <f>IFERROR(#REF!/G$34,0)</f>
        <v>0</v>
      </c>
      <c r="H110" s="587">
        <f>IFERROR(#REF!/H$34,0)</f>
        <v>0</v>
      </c>
      <c r="I110" s="587">
        <f>IFERROR(#REF!/I$34,0)</f>
        <v>0</v>
      </c>
      <c r="J110" s="587">
        <f>IFERROR(#REF!/J$34,0)</f>
        <v>0</v>
      </c>
      <c r="K110" s="587">
        <f>IFERROR(#REF!/K$34,0)</f>
        <v>0</v>
      </c>
      <c r="L110" s="587">
        <f>IFERROR(#REF!/L$34,0)</f>
        <v>0</v>
      </c>
      <c r="M110" s="587">
        <f>IFERROR(#REF!/M$34,0)</f>
        <v>0</v>
      </c>
      <c r="N110" s="587">
        <f>IFERROR(#REF!/N$34,0)</f>
        <v>0</v>
      </c>
      <c r="O110" s="587">
        <f>IFERROR(#REF!/O$34,0)</f>
        <v>0</v>
      </c>
      <c r="P110" s="587">
        <f>IFERROR(#REF!/P$34,0)</f>
        <v>0</v>
      </c>
      <c r="Q110" s="587">
        <f>IFERROR(#REF!/Q$34,0)</f>
        <v>0</v>
      </c>
      <c r="T110" s="353"/>
    </row>
    <row r="111" spans="1:20">
      <c r="A111" s="356">
        <f t="shared" si="38"/>
        <v>99</v>
      </c>
      <c r="B111" s="12" t="s">
        <v>375</v>
      </c>
      <c r="C111" s="12"/>
      <c r="D111" s="12"/>
      <c r="E111" s="587">
        <f>IFERROR(#REF!/E$34,0)</f>
        <v>0</v>
      </c>
      <c r="F111" s="587">
        <f>IFERROR(#REF!/F$34,0)</f>
        <v>0</v>
      </c>
      <c r="G111" s="587">
        <f>IFERROR(#REF!/G$34,0)</f>
        <v>0</v>
      </c>
      <c r="H111" s="587">
        <f>IFERROR(#REF!/H$34,0)</f>
        <v>0</v>
      </c>
      <c r="I111" s="587">
        <f>IFERROR(#REF!/I$34,0)</f>
        <v>0</v>
      </c>
      <c r="J111" s="587">
        <f>IFERROR(#REF!/J$34,0)</f>
        <v>0</v>
      </c>
      <c r="K111" s="587">
        <f>IFERROR(#REF!/K$34,0)</f>
        <v>0</v>
      </c>
      <c r="L111" s="587">
        <f>IFERROR(#REF!/L$34,0)</f>
        <v>0</v>
      </c>
      <c r="M111" s="587">
        <f>IFERROR(#REF!/M$34,0)</f>
        <v>0</v>
      </c>
      <c r="N111" s="587">
        <f>IFERROR(#REF!/N$34,0)</f>
        <v>0</v>
      </c>
      <c r="O111" s="587">
        <f>IFERROR(#REF!/O$34,0)</f>
        <v>0</v>
      </c>
      <c r="P111" s="587">
        <f>IFERROR(#REF!/P$34,0)</f>
        <v>0</v>
      </c>
      <c r="Q111" s="587">
        <f>IFERROR(#REF!/Q$34,0)</f>
        <v>0</v>
      </c>
      <c r="T111" s="353"/>
    </row>
    <row r="112" spans="1:20">
      <c r="A112" s="356">
        <f t="shared" si="38"/>
        <v>100</v>
      </c>
      <c r="B112" s="12" t="s">
        <v>376</v>
      </c>
      <c r="C112" s="12"/>
      <c r="D112" s="12"/>
      <c r="E112" s="587">
        <f>IFERROR(#REF!/E$34,0)</f>
        <v>0</v>
      </c>
      <c r="F112" s="587">
        <f>IFERROR(#REF!/F$34,0)</f>
        <v>0</v>
      </c>
      <c r="G112" s="587">
        <f>IFERROR(#REF!/G$34,0)</f>
        <v>0</v>
      </c>
      <c r="H112" s="587">
        <f>IFERROR(#REF!/H$34,0)</f>
        <v>0</v>
      </c>
      <c r="I112" s="587">
        <f>IFERROR(#REF!/I$34,0)</f>
        <v>0</v>
      </c>
      <c r="J112" s="587">
        <f>IFERROR(#REF!/J$34,0)</f>
        <v>0</v>
      </c>
      <c r="K112" s="587">
        <f>IFERROR(#REF!/K$34,0)</f>
        <v>0</v>
      </c>
      <c r="L112" s="587">
        <f>IFERROR(#REF!/L$34,0)</f>
        <v>0</v>
      </c>
      <c r="M112" s="587">
        <f>IFERROR(#REF!/M$34,0)</f>
        <v>0</v>
      </c>
      <c r="N112" s="587">
        <f>IFERROR(#REF!/N$34,0)</f>
        <v>0</v>
      </c>
      <c r="O112" s="587">
        <f>IFERROR(#REF!/O$34,0)</f>
        <v>0</v>
      </c>
      <c r="P112" s="587">
        <f>IFERROR(#REF!/P$34,0)</f>
        <v>0</v>
      </c>
      <c r="Q112" s="587">
        <f>IFERROR(#REF!/Q$34,0)</f>
        <v>0</v>
      </c>
      <c r="T112" s="353"/>
    </row>
    <row r="113" spans="1:20">
      <c r="A113" s="356">
        <f t="shared" si="38"/>
        <v>101</v>
      </c>
      <c r="B113" s="12" t="s">
        <v>340</v>
      </c>
      <c r="C113" s="12"/>
      <c r="D113" s="12"/>
      <c r="E113" s="587">
        <f t="shared" ref="E113:Q113" si="59">IFERROR(E40/E$34,0)</f>
        <v>0.11147555767781304</v>
      </c>
      <c r="F113" s="587">
        <f t="shared" si="59"/>
        <v>4.7421212275653456E-2</v>
      </c>
      <c r="G113" s="587">
        <f t="shared" si="59"/>
        <v>0.4880525</v>
      </c>
      <c r="H113" s="587">
        <f t="shared" si="59"/>
        <v>0.9909445934762251</v>
      </c>
      <c r="I113" s="587">
        <f t="shared" si="59"/>
        <v>4.4266998452945829E-2</v>
      </c>
      <c r="J113" s="587">
        <f t="shared" si="59"/>
        <v>0.9909445934762251</v>
      </c>
      <c r="K113" s="587">
        <f t="shared" si="59"/>
        <v>0.9909445934762251</v>
      </c>
      <c r="L113" s="587">
        <f t="shared" si="59"/>
        <v>4.1317489097132773E-2</v>
      </c>
      <c r="M113" s="587">
        <f t="shared" si="59"/>
        <v>0.38142141407093549</v>
      </c>
      <c r="N113" s="587">
        <f t="shared" si="59"/>
        <v>0.38142141407093549</v>
      </c>
      <c r="O113" s="587">
        <f t="shared" si="59"/>
        <v>4.1317489097132773E-2</v>
      </c>
      <c r="P113" s="587">
        <f t="shared" si="59"/>
        <v>0.38142141407093549</v>
      </c>
      <c r="Q113" s="587">
        <f t="shared" si="59"/>
        <v>0.38142141407093549</v>
      </c>
      <c r="T113" s="353"/>
    </row>
    <row r="114" spans="1:20">
      <c r="A114" s="356">
        <f t="shared" si="38"/>
        <v>102</v>
      </c>
      <c r="B114" s="12" t="s">
        <v>377</v>
      </c>
      <c r="C114" s="12"/>
      <c r="D114" s="12"/>
      <c r="E114" s="587">
        <f t="shared" ref="E114:Q114" si="60">IFERROR(E41/E$34,0)</f>
        <v>4.2731507195552784E-2</v>
      </c>
      <c r="F114" s="587">
        <f t="shared" si="60"/>
        <v>1.6153541966955166E-2</v>
      </c>
      <c r="G114" s="587">
        <f t="shared" si="60"/>
        <v>0.16625000000000001</v>
      </c>
      <c r="H114" s="587">
        <f t="shared" si="60"/>
        <v>0.3375549529311343</v>
      </c>
      <c r="I114" s="587">
        <f t="shared" si="60"/>
        <v>1.5079091886225856E-2</v>
      </c>
      <c r="J114" s="587">
        <f t="shared" si="60"/>
        <v>0.3375549529311343</v>
      </c>
      <c r="K114" s="587">
        <f t="shared" si="60"/>
        <v>0.3375549529311343</v>
      </c>
      <c r="L114" s="587">
        <f t="shared" si="60"/>
        <v>1.4074372249703307E-2</v>
      </c>
      <c r="M114" s="587">
        <f t="shared" si="60"/>
        <v>0.12992723137222537</v>
      </c>
      <c r="N114" s="587">
        <f t="shared" si="60"/>
        <v>0.12992723137222537</v>
      </c>
      <c r="O114" s="587">
        <f t="shared" si="60"/>
        <v>1.4074372249703307E-2</v>
      </c>
      <c r="P114" s="587">
        <f t="shared" si="60"/>
        <v>0.12992723137222537</v>
      </c>
      <c r="Q114" s="587">
        <f t="shared" si="60"/>
        <v>0.32530652666880489</v>
      </c>
      <c r="T114" s="353"/>
    </row>
    <row r="115" spans="1:20">
      <c r="A115" s="356">
        <f t="shared" si="38"/>
        <v>103</v>
      </c>
      <c r="B115" s="12" t="s">
        <v>378</v>
      </c>
      <c r="C115" s="12"/>
      <c r="D115" s="12"/>
      <c r="E115" s="587">
        <f>IFERROR(#REF!/E$34,0)</f>
        <v>0</v>
      </c>
      <c r="F115" s="587">
        <f>IFERROR(#REF!/F$34,0)</f>
        <v>0</v>
      </c>
      <c r="G115" s="587">
        <f>IFERROR(#REF!/G$34,0)</f>
        <v>0</v>
      </c>
      <c r="H115" s="587">
        <f>IFERROR(#REF!/H$34,0)</f>
        <v>0</v>
      </c>
      <c r="I115" s="587">
        <f>IFERROR(#REF!/I$34,0)</f>
        <v>0</v>
      </c>
      <c r="J115" s="587">
        <f>IFERROR(#REF!/J$34,0)</f>
        <v>0</v>
      </c>
      <c r="K115" s="587">
        <f>IFERROR(#REF!/K$34,0)</f>
        <v>0</v>
      </c>
      <c r="L115" s="587">
        <f>IFERROR(#REF!/L$34,0)</f>
        <v>0</v>
      </c>
      <c r="M115" s="587">
        <f>IFERROR(#REF!/M$34,0)</f>
        <v>0</v>
      </c>
      <c r="N115" s="587">
        <f>IFERROR(#REF!/N$34,0)</f>
        <v>0</v>
      </c>
      <c r="O115" s="587">
        <f>IFERROR(#REF!/O$34,0)</f>
        <v>0</v>
      </c>
      <c r="P115" s="587">
        <f>IFERROR(#REF!/P$34,0)</f>
        <v>0</v>
      </c>
      <c r="Q115" s="587">
        <f>IFERROR(#REF!/Q$34,0)</f>
        <v>0</v>
      </c>
      <c r="T115" s="353"/>
    </row>
    <row r="116" spans="1:20">
      <c r="A116" s="356">
        <f t="shared" si="38"/>
        <v>104</v>
      </c>
      <c r="B116" s="12" t="s">
        <v>139</v>
      </c>
      <c r="C116" s="12"/>
      <c r="D116" s="12"/>
      <c r="E116" s="587">
        <f t="shared" ref="E116:Q116" si="61">IFERROR(E42/E$34,0)</f>
        <v>8.0479892527499458E-2</v>
      </c>
      <c r="F116" s="587">
        <f t="shared" si="61"/>
        <v>0</v>
      </c>
      <c r="G116" s="587">
        <f t="shared" si="61"/>
        <v>0</v>
      </c>
      <c r="H116" s="587">
        <f t="shared" si="61"/>
        <v>0.85849615156897563</v>
      </c>
      <c r="I116" s="587">
        <f t="shared" si="61"/>
        <v>3.8350325602009121E-2</v>
      </c>
      <c r="J116" s="587">
        <f t="shared" si="61"/>
        <v>0.85849615156897563</v>
      </c>
      <c r="K116" s="587">
        <f t="shared" si="61"/>
        <v>0.85849615156897563</v>
      </c>
      <c r="L116" s="587">
        <f t="shared" si="61"/>
        <v>3.579504405786197E-2</v>
      </c>
      <c r="M116" s="587">
        <f t="shared" si="61"/>
        <v>0.33044109454919901</v>
      </c>
      <c r="N116" s="587">
        <f t="shared" si="61"/>
        <v>0.33044109454919901</v>
      </c>
      <c r="O116" s="587">
        <f t="shared" si="61"/>
        <v>3.579504405786197E-2</v>
      </c>
      <c r="P116" s="587">
        <f t="shared" si="61"/>
        <v>0.33044109454919901</v>
      </c>
      <c r="Q116" s="587">
        <f t="shared" si="61"/>
        <v>0.33044109454919901</v>
      </c>
      <c r="T116" s="353"/>
    </row>
    <row r="117" spans="1:20">
      <c r="A117" s="356">
        <f t="shared" si="38"/>
        <v>105</v>
      </c>
      <c r="B117" s="123" t="s">
        <v>343</v>
      </c>
      <c r="C117" s="12"/>
      <c r="D117" s="12"/>
      <c r="E117" s="587">
        <f t="shared" ref="E117:Q117" si="62">IFERROR(E43/E$34,0)</f>
        <v>0</v>
      </c>
      <c r="F117" s="587">
        <f t="shared" si="62"/>
        <v>0</v>
      </c>
      <c r="G117" s="587">
        <f t="shared" si="62"/>
        <v>0</v>
      </c>
      <c r="H117" s="587">
        <f t="shared" si="62"/>
        <v>0</v>
      </c>
      <c r="I117" s="587">
        <f t="shared" si="62"/>
        <v>0</v>
      </c>
      <c r="J117" s="587">
        <f t="shared" si="62"/>
        <v>0</v>
      </c>
      <c r="K117" s="587">
        <f t="shared" si="62"/>
        <v>0</v>
      </c>
      <c r="L117" s="587">
        <f t="shared" si="62"/>
        <v>0</v>
      </c>
      <c r="M117" s="587">
        <f t="shared" si="62"/>
        <v>0</v>
      </c>
      <c r="N117" s="587">
        <f t="shared" si="62"/>
        <v>0</v>
      </c>
      <c r="O117" s="587">
        <f t="shared" si="62"/>
        <v>0</v>
      </c>
      <c r="P117" s="587">
        <f t="shared" si="62"/>
        <v>0</v>
      </c>
      <c r="Q117" s="587">
        <f t="shared" si="62"/>
        <v>0</v>
      </c>
      <c r="T117" s="353"/>
    </row>
    <row r="118" spans="1:20">
      <c r="A118" s="356">
        <f t="shared" si="38"/>
        <v>106</v>
      </c>
      <c r="B118" s="35" t="s">
        <v>110</v>
      </c>
      <c r="C118" s="12"/>
      <c r="D118" s="12"/>
      <c r="E118" s="587">
        <f t="shared" ref="E118:Q118" si="63">IFERROR(E45/E$34,0)</f>
        <v>4.7585197322441855E-3</v>
      </c>
      <c r="F118" s="587">
        <f t="shared" si="63"/>
        <v>0</v>
      </c>
      <c r="G118" s="587">
        <f t="shared" si="63"/>
        <v>0</v>
      </c>
      <c r="H118" s="587">
        <f t="shared" si="63"/>
        <v>0.10152028659582986</v>
      </c>
      <c r="I118" s="587">
        <f t="shared" si="63"/>
        <v>4.5350652289401069E-3</v>
      </c>
      <c r="J118" s="587">
        <f t="shared" si="63"/>
        <v>0.10152028659582986</v>
      </c>
      <c r="K118" s="587">
        <f t="shared" si="63"/>
        <v>0.10152028659582986</v>
      </c>
      <c r="L118" s="587">
        <f t="shared" si="63"/>
        <v>4.2328939096852054E-3</v>
      </c>
      <c r="M118" s="587">
        <f t="shared" si="63"/>
        <v>0</v>
      </c>
      <c r="N118" s="587">
        <f t="shared" si="63"/>
        <v>0</v>
      </c>
      <c r="O118" s="587">
        <f t="shared" si="63"/>
        <v>0</v>
      </c>
      <c r="P118" s="587">
        <f t="shared" si="63"/>
        <v>0</v>
      </c>
      <c r="Q118" s="587">
        <f t="shared" si="63"/>
        <v>0</v>
      </c>
      <c r="T118" s="353"/>
    </row>
    <row r="119" spans="1:20">
      <c r="A119" s="356">
        <f t="shared" si="38"/>
        <v>107</v>
      </c>
      <c r="B119" s="12" t="s">
        <v>379</v>
      </c>
      <c r="C119" s="12"/>
      <c r="D119" s="12"/>
      <c r="E119" s="587">
        <f t="shared" ref="E119:Q119" si="64">IFERROR(E46/E$34,0)</f>
        <v>0.14050938031291701</v>
      </c>
      <c r="F119" s="587">
        <f t="shared" si="64"/>
        <v>0</v>
      </c>
      <c r="G119" s="587">
        <f t="shared" si="64"/>
        <v>0.61516583333333341</v>
      </c>
      <c r="H119" s="587">
        <f t="shared" si="64"/>
        <v>1.2490362340792502</v>
      </c>
      <c r="I119" s="587">
        <f t="shared" si="64"/>
        <v>5.5796343615639302E-2</v>
      </c>
      <c r="J119" s="587">
        <f t="shared" si="64"/>
        <v>1.2490362340792502</v>
      </c>
      <c r="K119" s="587">
        <f t="shared" si="64"/>
        <v>1.2490362340792502</v>
      </c>
      <c r="L119" s="587">
        <f t="shared" si="64"/>
        <v>5.2078634187261816E-2</v>
      </c>
      <c r="M119" s="587">
        <f t="shared" si="64"/>
        <v>0.48076266802879902</v>
      </c>
      <c r="N119" s="587">
        <f t="shared" si="64"/>
        <v>0.48076266802879902</v>
      </c>
      <c r="O119" s="587">
        <f t="shared" si="64"/>
        <v>5.2078634187261816E-2</v>
      </c>
      <c r="P119" s="587">
        <f t="shared" si="64"/>
        <v>0.48076266802879902</v>
      </c>
      <c r="Q119" s="587">
        <f t="shared" si="64"/>
        <v>0.96152533605759805</v>
      </c>
      <c r="T119" s="353"/>
    </row>
    <row r="120" spans="1:20">
      <c r="A120" s="356">
        <f t="shared" si="38"/>
        <v>108</v>
      </c>
      <c r="B120" s="12" t="s">
        <v>380</v>
      </c>
      <c r="C120" s="12"/>
      <c r="D120" s="12"/>
      <c r="E120" s="587">
        <f>IFERROR(#REF!/E$34,0)</f>
        <v>0</v>
      </c>
      <c r="F120" s="587">
        <f>IFERROR(#REF!/F$34,0)</f>
        <v>0</v>
      </c>
      <c r="G120" s="587">
        <f>IFERROR(#REF!/G$34,0)</f>
        <v>0</v>
      </c>
      <c r="H120" s="587">
        <f>IFERROR(#REF!/H$34,0)</f>
        <v>0</v>
      </c>
      <c r="I120" s="587">
        <f>IFERROR(#REF!/I$34,0)</f>
        <v>0</v>
      </c>
      <c r="J120" s="587">
        <f>IFERROR(#REF!/J$34,0)</f>
        <v>0</v>
      </c>
      <c r="K120" s="587">
        <f>IFERROR(#REF!/K$34,0)</f>
        <v>0</v>
      </c>
      <c r="L120" s="587">
        <f>IFERROR(#REF!/L$34,0)</f>
        <v>0</v>
      </c>
      <c r="M120" s="587">
        <f>IFERROR(#REF!/M$34,0)</f>
        <v>0</v>
      </c>
      <c r="N120" s="587">
        <f>IFERROR(#REF!/N$34,0)</f>
        <v>0</v>
      </c>
      <c r="O120" s="587">
        <f>IFERROR(#REF!/O$34,0)</f>
        <v>0</v>
      </c>
      <c r="P120" s="587">
        <f>IFERROR(#REF!/P$34,0)</f>
        <v>0</v>
      </c>
      <c r="Q120" s="587">
        <f>IFERROR(#REF!/Q$34,0)</f>
        <v>0</v>
      </c>
      <c r="T120" s="353"/>
    </row>
    <row r="121" spans="1:20">
      <c r="A121" s="356">
        <f t="shared" si="38"/>
        <v>109</v>
      </c>
      <c r="B121" s="12" t="s">
        <v>381</v>
      </c>
      <c r="C121" s="12"/>
      <c r="D121" s="12"/>
      <c r="E121" s="587">
        <f>IFERROR(#REF!/E$34,0)</f>
        <v>0</v>
      </c>
      <c r="F121" s="587">
        <f>IFERROR(#REF!/F$34,0)</f>
        <v>0</v>
      </c>
      <c r="G121" s="587">
        <f>IFERROR(#REF!/G$34,0)</f>
        <v>0</v>
      </c>
      <c r="H121" s="587">
        <f>IFERROR(#REF!/H$34,0)</f>
        <v>0</v>
      </c>
      <c r="I121" s="587">
        <f>IFERROR(#REF!/I$34,0)</f>
        <v>0</v>
      </c>
      <c r="J121" s="587">
        <f>IFERROR(#REF!/J$34,0)</f>
        <v>0</v>
      </c>
      <c r="K121" s="587">
        <f>IFERROR(#REF!/K$34,0)</f>
        <v>0</v>
      </c>
      <c r="L121" s="587">
        <f>IFERROR(#REF!/L$34,0)</f>
        <v>0</v>
      </c>
      <c r="M121" s="587">
        <f>IFERROR(#REF!/M$34,0)</f>
        <v>0</v>
      </c>
      <c r="N121" s="587">
        <f>IFERROR(#REF!/N$34,0)</f>
        <v>0</v>
      </c>
      <c r="O121" s="587">
        <f>IFERROR(#REF!/O$34,0)</f>
        <v>0</v>
      </c>
      <c r="P121" s="587">
        <f>IFERROR(#REF!/P$34,0)</f>
        <v>0</v>
      </c>
      <c r="Q121" s="587">
        <f>IFERROR(#REF!/Q$34,0)</f>
        <v>0</v>
      </c>
      <c r="T121" s="353"/>
    </row>
    <row r="122" spans="1:20">
      <c r="A122" s="356">
        <f t="shared" si="38"/>
        <v>110</v>
      </c>
      <c r="B122" s="123" t="s">
        <v>382</v>
      </c>
      <c r="C122" s="12"/>
      <c r="D122" s="12"/>
      <c r="E122" s="587">
        <f>IFERROR(#REF!/E$34,0)</f>
        <v>0</v>
      </c>
      <c r="F122" s="587">
        <f>IFERROR(#REF!/F$34,0)</f>
        <v>0</v>
      </c>
      <c r="G122" s="587">
        <f>IFERROR(#REF!/G$34,0)</f>
        <v>0</v>
      </c>
      <c r="H122" s="587">
        <f>IFERROR(#REF!/H$34,0)</f>
        <v>0</v>
      </c>
      <c r="I122" s="587">
        <f>IFERROR(#REF!/I$34,0)</f>
        <v>0</v>
      </c>
      <c r="J122" s="587">
        <f>IFERROR(#REF!/J$34,0)</f>
        <v>0</v>
      </c>
      <c r="K122" s="587">
        <f>IFERROR(#REF!/K$34,0)</f>
        <v>0</v>
      </c>
      <c r="L122" s="587">
        <f>IFERROR(#REF!/L$34,0)</f>
        <v>0</v>
      </c>
      <c r="M122" s="587">
        <f>IFERROR(#REF!/M$34,0)</f>
        <v>0</v>
      </c>
      <c r="N122" s="587">
        <f>IFERROR(#REF!/N$34,0)</f>
        <v>0</v>
      </c>
      <c r="O122" s="587">
        <f>IFERROR(#REF!/O$34,0)</f>
        <v>0</v>
      </c>
      <c r="P122" s="587">
        <f>IFERROR(#REF!/P$34,0)</f>
        <v>0</v>
      </c>
      <c r="Q122" s="587">
        <f>IFERROR(#REF!/Q$34,0)</f>
        <v>0</v>
      </c>
      <c r="T122" s="353"/>
    </row>
    <row r="123" spans="1:20">
      <c r="A123" s="356">
        <f t="shared" si="38"/>
        <v>111</v>
      </c>
      <c r="B123" s="123" t="s">
        <v>383</v>
      </c>
      <c r="C123" s="12"/>
      <c r="D123" s="12"/>
      <c r="E123" s="587">
        <f>IFERROR(#REF!/E$34,0)</f>
        <v>0</v>
      </c>
      <c r="F123" s="587">
        <f>IFERROR(#REF!/F$34,0)</f>
        <v>0</v>
      </c>
      <c r="G123" s="587">
        <f>IFERROR(#REF!/G$34,0)</f>
        <v>0</v>
      </c>
      <c r="H123" s="587">
        <f>IFERROR(#REF!/H$34,0)</f>
        <v>0</v>
      </c>
      <c r="I123" s="587">
        <f>IFERROR(#REF!/I$34,0)</f>
        <v>0</v>
      </c>
      <c r="J123" s="587">
        <f>IFERROR(#REF!/J$34,0)</f>
        <v>0</v>
      </c>
      <c r="K123" s="587">
        <f>IFERROR(#REF!/K$34,0)</f>
        <v>0</v>
      </c>
      <c r="L123" s="587">
        <f>IFERROR(#REF!/L$34,0)</f>
        <v>0</v>
      </c>
      <c r="M123" s="587">
        <f>IFERROR(#REF!/M$34,0)</f>
        <v>0</v>
      </c>
      <c r="N123" s="587">
        <f>IFERROR(#REF!/N$34,0)</f>
        <v>0</v>
      </c>
      <c r="O123" s="587">
        <f>IFERROR(#REF!/O$34,0)</f>
        <v>0</v>
      </c>
      <c r="P123" s="587">
        <f>IFERROR(#REF!/P$34,0)</f>
        <v>0</v>
      </c>
      <c r="Q123" s="587">
        <f>IFERROR(#REF!/Q$34,0)</f>
        <v>0</v>
      </c>
      <c r="T123" s="353"/>
    </row>
    <row r="124" spans="1:20">
      <c r="A124" s="356">
        <f t="shared" si="38"/>
        <v>112</v>
      </c>
      <c r="B124" s="123" t="s">
        <v>384</v>
      </c>
      <c r="C124" s="12"/>
      <c r="D124" s="12"/>
      <c r="E124" s="587">
        <f>IFERROR(#REF!/E$34,0)</f>
        <v>0</v>
      </c>
      <c r="F124" s="587">
        <f>IFERROR(#REF!/F$34,0)</f>
        <v>0</v>
      </c>
      <c r="G124" s="587">
        <f>IFERROR(#REF!/G$34,0)</f>
        <v>0</v>
      </c>
      <c r="H124" s="587">
        <f>IFERROR(#REF!/H$34,0)</f>
        <v>0</v>
      </c>
      <c r="I124" s="587">
        <f>IFERROR(#REF!/I$34,0)</f>
        <v>0</v>
      </c>
      <c r="J124" s="587">
        <f>IFERROR(#REF!/J$34,0)</f>
        <v>0</v>
      </c>
      <c r="K124" s="587">
        <f>IFERROR(#REF!/K$34,0)</f>
        <v>0</v>
      </c>
      <c r="L124" s="587">
        <f>IFERROR(#REF!/L$34,0)</f>
        <v>0</v>
      </c>
      <c r="M124" s="587">
        <f>IFERROR(#REF!/M$34,0)</f>
        <v>0</v>
      </c>
      <c r="N124" s="587">
        <f>IFERROR(#REF!/N$34,0)</f>
        <v>0</v>
      </c>
      <c r="O124" s="587">
        <f>IFERROR(#REF!/O$34,0)</f>
        <v>0</v>
      </c>
      <c r="P124" s="587">
        <f>IFERROR(#REF!/P$34,0)</f>
        <v>0</v>
      </c>
      <c r="Q124" s="587">
        <f>IFERROR(#REF!/Q$34,0)</f>
        <v>0</v>
      </c>
      <c r="T124" s="353"/>
    </row>
    <row r="125" spans="1:20">
      <c r="A125" s="356">
        <f t="shared" si="38"/>
        <v>113</v>
      </c>
      <c r="B125" s="12" t="s">
        <v>346</v>
      </c>
      <c r="C125" s="12"/>
      <c r="D125" s="12"/>
      <c r="E125" s="587">
        <f t="shared" ref="E125:Q125" si="65">IFERROR(E47/E$34,0)</f>
        <v>0</v>
      </c>
      <c r="F125" s="587">
        <f t="shared" si="65"/>
        <v>0</v>
      </c>
      <c r="G125" s="587">
        <f t="shared" si="65"/>
        <v>0</v>
      </c>
      <c r="H125" s="587">
        <f t="shared" si="65"/>
        <v>0</v>
      </c>
      <c r="I125" s="587">
        <f t="shared" si="65"/>
        <v>0</v>
      </c>
      <c r="J125" s="587">
        <f t="shared" si="65"/>
        <v>0</v>
      </c>
      <c r="K125" s="587">
        <f t="shared" si="65"/>
        <v>0</v>
      </c>
      <c r="L125" s="587">
        <f t="shared" si="65"/>
        <v>0</v>
      </c>
      <c r="M125" s="587">
        <f t="shared" si="65"/>
        <v>0</v>
      </c>
      <c r="N125" s="587">
        <f t="shared" si="65"/>
        <v>0</v>
      </c>
      <c r="O125" s="587">
        <f t="shared" si="65"/>
        <v>0</v>
      </c>
      <c r="P125" s="587">
        <f t="shared" si="65"/>
        <v>0</v>
      </c>
      <c r="Q125" s="587">
        <f t="shared" si="65"/>
        <v>0</v>
      </c>
      <c r="T125" s="353"/>
    </row>
    <row r="126" spans="1:20">
      <c r="A126" s="356">
        <f t="shared" si="38"/>
        <v>114</v>
      </c>
      <c r="B126" s="123" t="s">
        <v>107</v>
      </c>
      <c r="C126" s="12"/>
      <c r="D126" s="12"/>
      <c r="E126" s="587">
        <f t="shared" ref="E126:Q126" si="66">IFERROR(E48/E$34,0)</f>
        <v>7.3709215063458275E-2</v>
      </c>
      <c r="F126" s="587">
        <f t="shared" si="66"/>
        <v>0.29149248662174737</v>
      </c>
      <c r="G126" s="587">
        <f t="shared" si="66"/>
        <v>7.9316961093811658E-2</v>
      </c>
      <c r="H126" s="587">
        <f t="shared" si="66"/>
        <v>0.16104561244308094</v>
      </c>
      <c r="I126" s="587">
        <f t="shared" si="66"/>
        <v>7.1941518464348105E-3</v>
      </c>
      <c r="J126" s="587">
        <f t="shared" si="66"/>
        <v>0.16104561244308094</v>
      </c>
      <c r="K126" s="587">
        <f t="shared" si="66"/>
        <v>0.16104561244308094</v>
      </c>
      <c r="L126" s="587">
        <f t="shared" si="66"/>
        <v>6.7148056309746752E-3</v>
      </c>
      <c r="M126" s="587">
        <f t="shared" si="66"/>
        <v>6.1987567854300547E-2</v>
      </c>
      <c r="N126" s="587">
        <f t="shared" si="66"/>
        <v>6.1987567854300547E-2</v>
      </c>
      <c r="O126" s="587">
        <f t="shared" si="66"/>
        <v>6.7148056309746752E-3</v>
      </c>
      <c r="P126" s="587">
        <f t="shared" si="66"/>
        <v>6.1987567854300547E-2</v>
      </c>
      <c r="Q126" s="587">
        <f t="shared" si="66"/>
        <v>6.1987567854300547E-2</v>
      </c>
      <c r="T126" s="353"/>
    </row>
    <row r="127" spans="1:20">
      <c r="A127" s="356">
        <f t="shared" si="38"/>
        <v>115</v>
      </c>
      <c r="B127" s="123" t="s">
        <v>149</v>
      </c>
      <c r="C127" s="12"/>
      <c r="D127" s="12"/>
      <c r="E127" s="585">
        <f t="shared" ref="E127:Q127" si="67">IFERROR(E50/E$34,0)</f>
        <v>1.0542952716502348E-2</v>
      </c>
      <c r="F127" s="585">
        <f t="shared" si="67"/>
        <v>4.4849257469195131E-3</v>
      </c>
      <c r="G127" s="585">
        <f t="shared" si="67"/>
        <v>4.6158230000000001E-2</v>
      </c>
      <c r="H127" s="585">
        <f t="shared" si="67"/>
        <v>9.3719934767124646E-2</v>
      </c>
      <c r="I127" s="585">
        <f t="shared" si="67"/>
        <v>4.1866116780484028E-3</v>
      </c>
      <c r="J127" s="585">
        <f t="shared" si="67"/>
        <v>9.3719934767124646E-2</v>
      </c>
      <c r="K127" s="585">
        <f t="shared" si="67"/>
        <v>9.3719934767124646E-2</v>
      </c>
      <c r="L127" s="585">
        <f t="shared" si="67"/>
        <v>3.9076578129769784E-3</v>
      </c>
      <c r="M127" s="585">
        <f t="shared" si="67"/>
        <v>3.6073449798149741E-2</v>
      </c>
      <c r="N127" s="585">
        <f t="shared" si="67"/>
        <v>3.6073449798149741E-2</v>
      </c>
      <c r="O127" s="585">
        <f t="shared" si="67"/>
        <v>3.9076578129769784E-3</v>
      </c>
      <c r="P127" s="585">
        <f t="shared" si="67"/>
        <v>3.6073449798149741E-2</v>
      </c>
      <c r="Q127" s="585">
        <f t="shared" si="67"/>
        <v>3.6073449798149741E-2</v>
      </c>
      <c r="T127" s="353"/>
    </row>
    <row r="128" spans="1:20">
      <c r="A128" s="356">
        <f t="shared" si="38"/>
        <v>116</v>
      </c>
      <c r="B128" s="13" t="s">
        <v>347</v>
      </c>
      <c r="C128" s="12"/>
      <c r="D128" s="13"/>
      <c r="E128" s="600">
        <f t="shared" ref="E128:Q128" si="68">IFERROR(E48/E$34,0)</f>
        <v>7.3709215063458275E-2</v>
      </c>
      <c r="F128" s="600">
        <f t="shared" si="68"/>
        <v>0.29149248662174737</v>
      </c>
      <c r="G128" s="600">
        <f t="shared" si="68"/>
        <v>7.9316961093811658E-2</v>
      </c>
      <c r="H128" s="600">
        <f t="shared" si="68"/>
        <v>0.16104561244308094</v>
      </c>
      <c r="I128" s="600">
        <f t="shared" si="68"/>
        <v>7.1941518464348105E-3</v>
      </c>
      <c r="J128" s="600">
        <f t="shared" si="68"/>
        <v>0.16104561244308094</v>
      </c>
      <c r="K128" s="600">
        <f t="shared" si="68"/>
        <v>0.16104561244308094</v>
      </c>
      <c r="L128" s="600">
        <f t="shared" si="68"/>
        <v>6.7148056309746752E-3</v>
      </c>
      <c r="M128" s="600">
        <f t="shared" si="68"/>
        <v>6.1987567854300547E-2</v>
      </c>
      <c r="N128" s="600">
        <f t="shared" si="68"/>
        <v>6.1987567854300547E-2</v>
      </c>
      <c r="O128" s="600">
        <f t="shared" si="68"/>
        <v>6.7148056309746752E-3</v>
      </c>
      <c r="P128" s="600">
        <f t="shared" si="68"/>
        <v>6.1987567854300547E-2</v>
      </c>
      <c r="Q128" s="600">
        <f t="shared" si="68"/>
        <v>6.1987567854300547E-2</v>
      </c>
      <c r="T128" s="353"/>
    </row>
    <row r="129" spans="1:20">
      <c r="A129" s="356">
        <f t="shared" si="38"/>
        <v>117</v>
      </c>
      <c r="B129" s="13" t="s">
        <v>350</v>
      </c>
      <c r="C129" s="12"/>
      <c r="D129" s="13"/>
      <c r="E129" s="598"/>
      <c r="F129" s="599">
        <f t="shared" ref="F129:Q129" si="69">IFERROR(F50/F$34,0)</f>
        <v>4.4849257469195131E-3</v>
      </c>
      <c r="G129" s="599">
        <f t="shared" si="69"/>
        <v>4.6158230000000001E-2</v>
      </c>
      <c r="H129" s="599">
        <f t="shared" si="69"/>
        <v>9.3719934767124646E-2</v>
      </c>
      <c r="I129" s="599">
        <f t="shared" si="69"/>
        <v>4.1866116780484028E-3</v>
      </c>
      <c r="J129" s="599">
        <f t="shared" si="69"/>
        <v>9.3719934767124646E-2</v>
      </c>
      <c r="K129" s="599">
        <f t="shared" si="69"/>
        <v>9.3719934767124646E-2</v>
      </c>
      <c r="L129" s="599">
        <f t="shared" si="69"/>
        <v>3.9076578129769784E-3</v>
      </c>
      <c r="M129" s="599">
        <f t="shared" si="69"/>
        <v>3.6073449798149741E-2</v>
      </c>
      <c r="N129" s="599">
        <f t="shared" si="69"/>
        <v>3.6073449798149741E-2</v>
      </c>
      <c r="O129" s="599">
        <f t="shared" si="69"/>
        <v>3.9076578129769784E-3</v>
      </c>
      <c r="P129" s="599">
        <f t="shared" si="69"/>
        <v>3.6073449798149741E-2</v>
      </c>
      <c r="Q129" s="599">
        <f t="shared" si="69"/>
        <v>3.6073449798149741E-2</v>
      </c>
      <c r="T129" s="353"/>
    </row>
    <row r="130" spans="1:20">
      <c r="A130" s="356">
        <f t="shared" si="38"/>
        <v>118</v>
      </c>
      <c r="B130" s="372" t="s">
        <v>385</v>
      </c>
      <c r="C130" s="372"/>
      <c r="D130" s="96"/>
      <c r="E130" s="595"/>
      <c r="F130" s="596">
        <f t="shared" ref="F130:Q130" si="70">IFERROR(F51/F77,0)</f>
        <v>0</v>
      </c>
      <c r="G130" s="596">
        <f t="shared" si="70"/>
        <v>0.51565850709303718</v>
      </c>
      <c r="H130" s="596">
        <f t="shared" si="70"/>
        <v>0.92620402792182188</v>
      </c>
      <c r="I130" s="596">
        <f t="shared" si="70"/>
        <v>4.835616766630964</v>
      </c>
      <c r="J130" s="596">
        <f t="shared" si="70"/>
        <v>0.48720356724853758</v>
      </c>
      <c r="K130" s="596">
        <f t="shared" si="70"/>
        <v>0.84770672280774295</v>
      </c>
      <c r="L130" s="596">
        <f t="shared" si="70"/>
        <v>3.2597032150549334</v>
      </c>
      <c r="M130" s="596">
        <f t="shared" si="70"/>
        <v>0.41903194348196465</v>
      </c>
      <c r="N130" s="596">
        <f t="shared" si="70"/>
        <v>0.58104375730933866</v>
      </c>
      <c r="O130" s="596">
        <f t="shared" si="70"/>
        <v>0.94730282488224749</v>
      </c>
      <c r="P130" s="596">
        <f t="shared" si="70"/>
        <v>0.31802887432556542</v>
      </c>
      <c r="Q130" s="596">
        <f t="shared" si="70"/>
        <v>0.70369144497662572</v>
      </c>
      <c r="T130" s="353"/>
    </row>
    <row r="131" spans="1:20">
      <c r="A131" s="356">
        <f t="shared" si="38"/>
        <v>119</v>
      </c>
      <c r="B131" s="12" t="s">
        <v>386</v>
      </c>
      <c r="C131" s="12"/>
      <c r="D131" s="12"/>
      <c r="E131" s="597"/>
      <c r="F131" s="594">
        <f t="shared" ref="F131:Q131" si="71">IFERROR(F51/F79,0)</f>
        <v>0.56607115423550591</v>
      </c>
      <c r="G131" s="594">
        <f t="shared" si="71"/>
        <v>0.81013738188057405</v>
      </c>
      <c r="H131" s="594">
        <f t="shared" si="71"/>
        <v>4.835616766630964</v>
      </c>
      <c r="I131" s="594">
        <f t="shared" si="71"/>
        <v>0.48720356724853758</v>
      </c>
      <c r="J131" s="594">
        <f t="shared" si="71"/>
        <v>0.84770672280774295</v>
      </c>
      <c r="K131" s="594">
        <f t="shared" si="71"/>
        <v>3.2597032150549334</v>
      </c>
      <c r="L131" s="594">
        <f t="shared" si="71"/>
        <v>0.42451049636082516</v>
      </c>
      <c r="M131" s="594">
        <f t="shared" si="71"/>
        <v>0.58104375730933866</v>
      </c>
      <c r="N131" s="594">
        <f t="shared" si="71"/>
        <v>0.94730282488224749</v>
      </c>
      <c r="O131" s="594">
        <f t="shared" si="71"/>
        <v>0.31802887432556542</v>
      </c>
      <c r="P131" s="594">
        <f t="shared" si="71"/>
        <v>0.40339554975982983</v>
      </c>
      <c r="Q131" s="594">
        <f t="shared" si="71"/>
        <v>1.6316354815585159</v>
      </c>
      <c r="T131" s="353"/>
    </row>
    <row r="132" spans="1:20">
      <c r="A132" s="356">
        <f t="shared" si="38"/>
        <v>120</v>
      </c>
      <c r="B132" s="124" t="s">
        <v>362</v>
      </c>
      <c r="C132" s="87"/>
      <c r="D132" s="87"/>
      <c r="E132" s="87"/>
      <c r="F132" s="87"/>
      <c r="G132" s="87"/>
      <c r="H132" s="87"/>
      <c r="I132" s="87"/>
      <c r="J132" s="87"/>
      <c r="K132" s="87"/>
      <c r="L132" s="87"/>
      <c r="M132" s="87"/>
      <c r="N132" s="87"/>
      <c r="O132" s="87"/>
      <c r="P132" s="87"/>
      <c r="Q132" s="87"/>
      <c r="T132" s="353"/>
    </row>
    <row r="133" spans="1:20">
      <c r="A133" s="356">
        <f t="shared" si="38"/>
        <v>121</v>
      </c>
      <c r="B133" s="12"/>
      <c r="C133" s="12"/>
      <c r="D133" s="12"/>
      <c r="E133" s="30"/>
      <c r="F133" s="608"/>
      <c r="G133" s="608"/>
      <c r="H133" s="608"/>
      <c r="I133" s="608"/>
      <c r="J133" s="608"/>
      <c r="K133" s="608"/>
      <c r="L133" s="608"/>
      <c r="M133" s="608"/>
      <c r="N133" s="608"/>
      <c r="O133" s="608"/>
      <c r="P133" s="608"/>
      <c r="Q133" s="608"/>
      <c r="T133" s="353"/>
    </row>
    <row r="134" spans="1:20">
      <c r="A134" s="356">
        <f t="shared" si="38"/>
        <v>122</v>
      </c>
      <c r="B134" s="12" t="s">
        <v>387</v>
      </c>
      <c r="C134" s="12"/>
      <c r="D134" s="12"/>
      <c r="E134" s="604">
        <f>E102-E128</f>
        <v>0.92587964883167573</v>
      </c>
      <c r="F134" s="589">
        <f>IF(OR(F75=0,F$34=0),0,F75/F$34)</f>
        <v>0.63854059076144631</v>
      </c>
      <c r="G134" s="589">
        <f>IF(OR(G75=0,G$34=0),0,G75/G$34)</f>
        <v>-2.3887894494271436</v>
      </c>
      <c r="H134" s="589">
        <f t="shared" ref="H134:Q134" si="72">IF(OR(H75=0,H$34=0),0,H75/H$34)</f>
        <v>-6.8663888450872372</v>
      </c>
      <c r="I134" s="589">
        <f t="shared" si="72"/>
        <v>0.64859647539506793</v>
      </c>
      <c r="J134" s="589">
        <f t="shared" si="72"/>
        <v>-6.8663888450872372</v>
      </c>
      <c r="K134" s="589">
        <f t="shared" si="72"/>
        <v>-6.8663888450872372</v>
      </c>
      <c r="L134" s="589">
        <f t="shared" si="72"/>
        <v>0.67201048627700422</v>
      </c>
      <c r="M134" s="589">
        <f t="shared" si="72"/>
        <v>-1.9887515055359111</v>
      </c>
      <c r="N134" s="589">
        <f t="shared" si="72"/>
        <v>-1.9887515055359111</v>
      </c>
      <c r="O134" s="589">
        <f t="shared" si="72"/>
        <v>0.67624338018668939</v>
      </c>
      <c r="P134" s="589">
        <f t="shared" si="72"/>
        <v>-1.9887515055359111</v>
      </c>
      <c r="Q134" s="589">
        <f t="shared" si="72"/>
        <v>-4.2136392353827192</v>
      </c>
      <c r="T134" s="353"/>
    </row>
    <row r="135" spans="1:20">
      <c r="A135" s="356">
        <f t="shared" si="38"/>
        <v>123</v>
      </c>
      <c r="B135" s="12"/>
      <c r="C135" s="12"/>
      <c r="D135" s="12"/>
      <c r="E135" s="598"/>
      <c r="F135" s="614"/>
      <c r="G135" s="614"/>
      <c r="H135" s="614"/>
      <c r="I135" s="614"/>
      <c r="J135" s="614"/>
      <c r="K135" s="614"/>
      <c r="L135" s="614"/>
      <c r="M135" s="614"/>
      <c r="N135" s="614"/>
      <c r="O135" s="614"/>
      <c r="P135" s="614"/>
      <c r="Q135" s="614"/>
      <c r="T135" s="353"/>
    </row>
    <row r="136" spans="1:20">
      <c r="A136" s="356">
        <f t="shared" si="38"/>
        <v>124</v>
      </c>
      <c r="B136" s="12" t="s">
        <v>364</v>
      </c>
      <c r="C136" s="12"/>
      <c r="D136" s="12"/>
      <c r="E136" s="610"/>
      <c r="F136" s="834">
        <f>E77</f>
        <v>0</v>
      </c>
      <c r="G136" s="611">
        <f t="shared" ref="G136:Q136" si="73">F138</f>
        <v>0.63854059076144631</v>
      </c>
      <c r="H136" s="611">
        <f t="shared" si="73"/>
        <v>-1.7502488586656972</v>
      </c>
      <c r="I136" s="611">
        <f t="shared" si="73"/>
        <v>-8.616637703752934</v>
      </c>
      <c r="J136" s="611">
        <f t="shared" si="73"/>
        <v>-7.9680412283578663</v>
      </c>
      <c r="K136" s="611">
        <f t="shared" si="73"/>
        <v>-14.834430073445104</v>
      </c>
      <c r="L136" s="611">
        <f t="shared" si="73"/>
        <v>-21.700818918532342</v>
      </c>
      <c r="M136" s="611">
        <f t="shared" si="73"/>
        <v>-21.028808432255339</v>
      </c>
      <c r="N136" s="611">
        <f t="shared" si="73"/>
        <v>-23.017559937791251</v>
      </c>
      <c r="O136" s="611">
        <f t="shared" si="73"/>
        <v>-25.006311443327164</v>
      </c>
      <c r="P136" s="611">
        <f t="shared" si="73"/>
        <v>-24.330068063140473</v>
      </c>
      <c r="Q136" s="611">
        <f t="shared" si="73"/>
        <v>-26.318819568676386</v>
      </c>
      <c r="T136" s="353"/>
    </row>
    <row r="137" spans="1:20">
      <c r="A137" s="356">
        <f t="shared" si="38"/>
        <v>125</v>
      </c>
      <c r="B137" s="12"/>
      <c r="C137" s="12"/>
      <c r="D137" s="12"/>
      <c r="E137" s="603"/>
      <c r="F137" s="602"/>
      <c r="G137" s="609"/>
      <c r="H137" s="609"/>
      <c r="I137" s="609"/>
      <c r="J137" s="609"/>
      <c r="K137" s="609"/>
      <c r="L137" s="609"/>
      <c r="M137" s="609"/>
      <c r="N137" s="609"/>
      <c r="O137" s="609"/>
      <c r="P137" s="609"/>
      <c r="Q137" s="609"/>
      <c r="T137" s="353"/>
    </row>
    <row r="138" spans="1:20">
      <c r="A138" s="356">
        <f t="shared" si="38"/>
        <v>126</v>
      </c>
      <c r="B138" s="13" t="s">
        <v>365</v>
      </c>
      <c r="C138" s="13"/>
      <c r="D138" s="13"/>
      <c r="E138" s="612">
        <f>SUM(E136,E134)</f>
        <v>0.92587964883167573</v>
      </c>
      <c r="F138" s="613">
        <f>SUM(F136,F134)</f>
        <v>0.63854059076144631</v>
      </c>
      <c r="G138" s="613">
        <f>SUM(G136,G134)</f>
        <v>-1.7502488586656972</v>
      </c>
      <c r="H138" s="613">
        <f t="shared" ref="H138:Q138" si="74">SUM(H136,H134)</f>
        <v>-8.616637703752934</v>
      </c>
      <c r="I138" s="613">
        <f t="shared" si="74"/>
        <v>-7.9680412283578663</v>
      </c>
      <c r="J138" s="613">
        <f t="shared" si="74"/>
        <v>-14.834430073445104</v>
      </c>
      <c r="K138" s="613">
        <f t="shared" si="74"/>
        <v>-21.700818918532342</v>
      </c>
      <c r="L138" s="613">
        <f t="shared" si="74"/>
        <v>-21.028808432255339</v>
      </c>
      <c r="M138" s="613">
        <f t="shared" si="74"/>
        <v>-23.017559937791251</v>
      </c>
      <c r="N138" s="613">
        <f t="shared" si="74"/>
        <v>-25.006311443327164</v>
      </c>
      <c r="O138" s="613">
        <f t="shared" si="74"/>
        <v>-24.330068063140473</v>
      </c>
      <c r="P138" s="613">
        <f t="shared" si="74"/>
        <v>-26.318819568676386</v>
      </c>
      <c r="Q138" s="613">
        <f t="shared" si="74"/>
        <v>-30.532458804059104</v>
      </c>
      <c r="T138" s="353"/>
    </row>
    <row r="139" spans="1:20">
      <c r="A139" s="356">
        <f t="shared" si="38"/>
        <v>127</v>
      </c>
      <c r="T139" s="353"/>
    </row>
    <row r="140" spans="1:20">
      <c r="A140" s="356">
        <f t="shared" si="38"/>
        <v>128</v>
      </c>
      <c r="B140" s="35" t="s">
        <v>388</v>
      </c>
      <c r="F140" s="231">
        <f>IFERROR(#REF!/F39,0)</f>
        <v>0</v>
      </c>
      <c r="G140" s="231">
        <f>IFERROR(#REF!/G39,0)</f>
        <v>0</v>
      </c>
      <c r="H140" s="231">
        <f>IFERROR(#REF!/H39,0)</f>
        <v>0</v>
      </c>
      <c r="I140" s="231">
        <f>IFERROR(#REF!/I39,0)</f>
        <v>0</v>
      </c>
      <c r="J140" s="231">
        <f>IFERROR(#REF!/J39,0)</f>
        <v>0</v>
      </c>
      <c r="K140" s="231">
        <f>IFERROR(#REF!/K39,0)</f>
        <v>0</v>
      </c>
      <c r="L140" s="231">
        <f>IFERROR(#REF!/L39,0)</f>
        <v>0</v>
      </c>
      <c r="M140" s="231">
        <f>IFERROR(#REF!/M39,0)</f>
        <v>0</v>
      </c>
      <c r="N140" s="231">
        <f>IFERROR(#REF!/N39,0)</f>
        <v>0</v>
      </c>
      <c r="O140" s="231">
        <f>IFERROR(#REF!/O39,0)</f>
        <v>0</v>
      </c>
      <c r="P140" s="231">
        <f>IFERROR(#REF!/P39,0)</f>
        <v>0</v>
      </c>
      <c r="Q140" s="231">
        <f>IFERROR(#REF!/Q39,0)</f>
        <v>0</v>
      </c>
      <c r="T140" s="353"/>
    </row>
    <row r="141" spans="1:20">
      <c r="A141" s="356">
        <f t="shared" si="38"/>
        <v>129</v>
      </c>
      <c r="B141" s="97" t="s">
        <v>389</v>
      </c>
      <c r="C141" s="97"/>
      <c r="D141" s="97"/>
      <c r="F141" s="52">
        <f>Statistics!$G$20</f>
        <v>36</v>
      </c>
      <c r="G141" s="52">
        <f>Statistics!$G$20</f>
        <v>36</v>
      </c>
      <c r="H141" s="52">
        <f>Statistics!$G$20</f>
        <v>36</v>
      </c>
      <c r="I141" s="52">
        <f>Statistics!$G$20</f>
        <v>36</v>
      </c>
      <c r="J141" s="52">
        <f>Statistics!$G$20</f>
        <v>36</v>
      </c>
      <c r="K141" s="52">
        <f>Statistics!$G$20</f>
        <v>36</v>
      </c>
      <c r="L141" s="52">
        <f>Statistics!$G$20</f>
        <v>36</v>
      </c>
      <c r="M141" s="52">
        <f>Statistics!$G$20</f>
        <v>36</v>
      </c>
      <c r="N141" s="52">
        <f>Statistics!$G$20</f>
        <v>36</v>
      </c>
      <c r="O141" s="52">
        <f>Statistics!$G$20</f>
        <v>36</v>
      </c>
      <c r="P141" s="52">
        <f>Statistics!$G$20</f>
        <v>36</v>
      </c>
      <c r="Q141" s="52">
        <f>Statistics!$G$20</f>
        <v>36</v>
      </c>
      <c r="T141" s="353"/>
    </row>
    <row r="142" spans="1:20">
      <c r="A142" s="356">
        <f t="shared" si="38"/>
        <v>130</v>
      </c>
      <c r="B142" s="35" t="s">
        <v>390</v>
      </c>
      <c r="F142" s="57">
        <f>IFERROR(#REF!/Statistics!$H$20,0)</f>
        <v>0</v>
      </c>
      <c r="G142" s="57">
        <f>IFERROR(#REF!/Statistics!$H$20,0)</f>
        <v>0</v>
      </c>
      <c r="H142" s="57">
        <f>IFERROR(#REF!/Statistics!$H$20,0)</f>
        <v>0</v>
      </c>
      <c r="I142" s="57">
        <f>IFERROR(#REF!/Statistics!$H$20,0)</f>
        <v>0</v>
      </c>
      <c r="J142" s="57">
        <f>IFERROR(#REF!/Statistics!$H$20,0)</f>
        <v>0</v>
      </c>
      <c r="K142" s="57">
        <f>IFERROR(#REF!/Statistics!$H$20,0)</f>
        <v>0</v>
      </c>
      <c r="L142" s="57">
        <f>IFERROR(#REF!/Statistics!$H$20,0)</f>
        <v>0</v>
      </c>
      <c r="M142" s="57">
        <f>IFERROR(#REF!/Statistics!$H$20,0)</f>
        <v>0</v>
      </c>
      <c r="N142" s="57">
        <f>IFERROR(#REF!/Statistics!$H$20,0)</f>
        <v>0</v>
      </c>
      <c r="O142" s="57">
        <f>IFERROR(#REF!/Statistics!$H$20,0)</f>
        <v>0</v>
      </c>
      <c r="P142" s="57">
        <f>IFERROR(#REF!/Statistics!$H$20,0)</f>
        <v>0</v>
      </c>
      <c r="Q142" s="57">
        <f>IFERROR(#REF!/Statistics!$H$20,0)</f>
        <v>0</v>
      </c>
      <c r="T142" s="353"/>
    </row>
    <row r="143" spans="1:20">
      <c r="A143" s="356">
        <f t="shared" si="38"/>
        <v>131</v>
      </c>
      <c r="B143" s="35" t="s">
        <v>391</v>
      </c>
      <c r="F143" s="57">
        <f>IFERROR(F39/Statistics!$H$20,0)</f>
        <v>0</v>
      </c>
      <c r="G143" s="57">
        <f>IFERROR(G39/Statistics!$H$20,0)</f>
        <v>4200.4613829787231</v>
      </c>
      <c r="H143" s="57">
        <f>IFERROR(H39/Statistics!$H$20,0)</f>
        <v>4200.4613829787231</v>
      </c>
      <c r="I143" s="57">
        <f>IFERROR(I39/Statistics!$H$20,0)</f>
        <v>4200.4613829787231</v>
      </c>
      <c r="J143" s="57">
        <f>IFERROR(J39/Statistics!$H$20,0)</f>
        <v>4200.4613829787231</v>
      </c>
      <c r="K143" s="57">
        <f>IFERROR(K39/Statistics!$H$20,0)</f>
        <v>4200.4613829787231</v>
      </c>
      <c r="L143" s="57">
        <f>IFERROR(L39/Statistics!$H$20,0)</f>
        <v>4200.4613829787231</v>
      </c>
      <c r="M143" s="57">
        <f>IFERROR(M39/Statistics!$H$20,0)</f>
        <v>4200.4613829787231</v>
      </c>
      <c r="N143" s="57">
        <f>IFERROR(N39/Statistics!$H$20,0)</f>
        <v>4200.4613829787231</v>
      </c>
      <c r="O143" s="57">
        <f>IFERROR(O39/Statistics!$H$20,0)</f>
        <v>4200.4613829787231</v>
      </c>
      <c r="P143" s="57">
        <f>IFERROR(P39/Statistics!$H$20,0)</f>
        <v>4200.4613829787231</v>
      </c>
      <c r="Q143" s="57">
        <f>IFERROR(Q39/Statistics!$H$20,0)</f>
        <v>8400.9227659574462</v>
      </c>
      <c r="T143" s="353"/>
    </row>
    <row r="145" spans="1:2">
      <c r="A145" s="82"/>
      <c r="B145" s="82"/>
    </row>
  </sheetData>
  <sheetProtection algorithmName="SHA-512" hashValue="C6fFSObakzx6uISHG+IlEeMVXgu7AKTEgSsqSqPTniA3LSRXwff+Xwj6Q1/c2xVGHMHHvUa2GfIsfvtwEZxixw==" saltValue="Ruz0Ju2ZjYojCI4FO3x5/g==" spinCount="100000" sheet="1" objects="1" scenarios="1"/>
  <conditionalFormatting sqref="E64:E67 E70:Q70 E66:Q66 E68:Q68">
    <cfRule type="cellIs" dxfId="618" priority="181" stopIfTrue="1" operator="equal">
      <formula>0</formula>
    </cfRule>
  </conditionalFormatting>
  <conditionalFormatting sqref="E86:Q102">
    <cfRule type="cellIs" dxfId="617" priority="182" stopIfTrue="1" operator="equal">
      <formula>0</formula>
    </cfRule>
  </conditionalFormatting>
  <conditionalFormatting sqref="E108:Q128">
    <cfRule type="cellIs" dxfId="616" priority="183" stopIfTrue="1" operator="equal">
      <formula>0</formula>
    </cfRule>
  </conditionalFormatting>
  <conditionalFormatting sqref="D1">
    <cfRule type="expression" dxfId="615" priority="4" stopIfTrue="1">
      <formula>MOD(ROW(),2)=0</formula>
    </cfRule>
  </conditionalFormatting>
  <conditionalFormatting sqref="E129:Q131">
    <cfRule type="cellIs" dxfId="614" priority="184" stopIfTrue="1" operator="equal">
      <formula>0</formula>
    </cfRule>
  </conditionalFormatting>
  <conditionalFormatting sqref="E134:Q134">
    <cfRule type="cellIs" dxfId="613" priority="185" stopIfTrue="1" operator="equal">
      <formula>0</formula>
    </cfRule>
  </conditionalFormatting>
  <conditionalFormatting sqref="E135:Q138">
    <cfRule type="cellIs" dxfId="612" priority="186" stopIfTrue="1" operator="equal">
      <formula>0</formula>
    </cfRule>
  </conditionalFormatting>
  <conditionalFormatting sqref="F140:Q143">
    <cfRule type="cellIs" dxfId="611" priority="187" stopIfTrue="1" operator="equal">
      <formula>0</formula>
    </cfRule>
  </conditionalFormatting>
  <hyperlinks>
    <hyperlink ref="D1" location="HypLink1" display="HypLink1" xr:uid="{02E0081D-2110-4DA5-BE04-548076665262}"/>
  </hyperlinks>
  <pageMargins left="0.25" right="0.25" top="0.5" bottom="0.45" header="0.25" footer="0.25"/>
  <pageSetup scale="59" fitToHeight="3" orientation="landscape" r:id="rId1"/>
  <headerFooter>
    <oddHeader xml:space="preserve">&amp;L &amp;C &amp;R </oddHeader>
    <oddFooter>&amp;L&amp;7&amp;D  at &amp;T Mike 702.486.8879&amp;C&amp;7&amp;F  &amp;A&amp;R&amp;7Page &amp;P of &amp;N</oddFooter>
  </headerFooter>
  <rowBreaks count="2" manualBreakCount="2">
    <brk id="61" max="16" man="1"/>
    <brk id="104" max="16" man="1"/>
  </rowBreaks>
  <legacyDrawing r:id="rId2"/>
  <extLst>
    <ext xmlns:x14="http://schemas.microsoft.com/office/spreadsheetml/2009/9/main" uri="{78C0D931-6437-407d-A8EE-F0AAD7539E65}">
      <x14:conditionalFormattings>
        <x14:conditionalFormatting xmlns:xm="http://schemas.microsoft.com/office/excel/2006/main">
          <x14:cfRule type="cellIs" priority="9" operator="notBetween" id="{43A297F8-FFBE-417E-89DE-D5D0089D6E55}">
            <xm:f>0.95*' Enrol &amp; Rev'!$G$142</xm:f>
            <xm:f>1.05*' Enrol &amp; Rev'!$G$142</xm:f>
            <x14:dxf>
              <fill>
                <patternFill>
                  <bgColor rgb="FFFF0000"/>
                </patternFill>
              </fill>
            </x14:dxf>
          </x14:cfRule>
          <xm:sqref>C34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9224003f-e6e7-470a-941a-44de56618887">
      <UserInfo>
        <DisplayName>Michael Hutchins</DisplayName>
        <AccountId>78</AccountId>
        <AccountType/>
      </UserInfo>
      <UserInfo>
        <DisplayName>Danny Peltier</DisplayName>
        <AccountId>51</AccountId>
        <AccountType/>
      </UserInfo>
      <UserInfo>
        <DisplayName>Michael Dang</DisplayName>
        <AccountId>21</AccountId>
        <AccountType/>
      </UserInfo>
    </SharedWithUsers>
    <Dateandtime xmlns="edb173ee-3fb8-4f75-bf43-79a22ca96f2e" xsi:nil="true"/>
    <lcf76f155ced4ddcb4097134ff3c332f xmlns="edb173ee-3fb8-4f75-bf43-79a22ca96f2e">
      <Terms xmlns="http://schemas.microsoft.com/office/infopath/2007/PartnerControls"/>
    </lcf76f155ced4ddcb4097134ff3c332f>
    <TaxCatchAll xmlns="9224003f-e6e7-470a-941a-44de5661888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2" ma:contentTypeDescription="Create a new document." ma:contentTypeScope="" ma:versionID="51e68668048c8b2c8cbfe2625fccd67f">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a72d14718046def8a393b6e5b4a10b1d"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D409FB-C47F-4DBF-9CFF-B7D64C5F0F2A}">
  <ds:schemaRefs>
    <ds:schemaRef ds:uri="http://purl.org/dc/elements/1.1/"/>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microsoft.com/sharepoint/v3"/>
    <ds:schemaRef ds:uri="edb173ee-3fb8-4f75-bf43-79a22ca96f2e"/>
    <ds:schemaRef ds:uri="http://schemas.openxmlformats.org/package/2006/metadata/core-properties"/>
    <ds:schemaRef ds:uri="9224003f-e6e7-470a-941a-44de56618887"/>
    <ds:schemaRef ds:uri="http://www.w3.org/XML/1998/namespace"/>
  </ds:schemaRefs>
</ds:datastoreItem>
</file>

<file path=customXml/itemProps2.xml><?xml version="1.0" encoding="utf-8"?>
<ds:datastoreItem xmlns:ds="http://schemas.openxmlformats.org/officeDocument/2006/customXml" ds:itemID="{55D3422B-E249-4494-9C4D-065E7900828C}">
  <ds:schemaRefs>
    <ds:schemaRef ds:uri="http://schemas.microsoft.com/sharepoint/v3/contenttype/forms"/>
  </ds:schemaRefs>
</ds:datastoreItem>
</file>

<file path=customXml/itemProps3.xml><?xml version="1.0" encoding="utf-8"?>
<ds:datastoreItem xmlns:ds="http://schemas.openxmlformats.org/officeDocument/2006/customXml" ds:itemID="{4A98FE63-A979-47B1-B2D3-EED2892675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67</vt:i4>
      </vt:variant>
    </vt:vector>
  </HeadingPairs>
  <TitlesOfParts>
    <vt:vector size="95"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vt:lpstr>
      <vt:lpstr>Demographics</vt:lpstr>
      <vt:lpstr>PCFP Rates</vt:lpstr>
      <vt:lpstr>Facilities wkst</vt:lpstr>
      <vt:lpstr>Dev Notes</vt:lpstr>
      <vt:lpstr>Note FFE</vt:lpstr>
      <vt:lpstr>Eq wip</vt:lpstr>
      <vt:lpstr>Scratchpad (2)</vt:lpstr>
      <vt:lpstr>Levers</vt:lpstr>
      <vt:lpstr>Scratchpad</vt:lpstr>
      <vt:lpstr>Lease rate calculations</vt:lpstr>
      <vt:lpstr>RFA Attachments</vt:lpstr>
      <vt:lpstr>FP Data-Rtgs</vt:lpstr>
      <vt:lpstr>Counties</vt:lpstr>
      <vt:lpstr>County</vt:lpstr>
      <vt:lpstr>DSA</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 Enrol &amp; Rev'!Print_Area</vt:lpstr>
      <vt:lpstr>'CF Y1 Mo'!Print_Area</vt:lpstr>
      <vt:lpstr>'Checklist &amp; TOC'!Print_Area</vt:lpstr>
      <vt:lpstr>Cover!Print_Area</vt:lpstr>
      <vt:lpstr>Demographics!Print_Area</vt:lpstr>
      <vt:lpstr>'Dev Notes'!Print_Area</vt:lpstr>
      <vt:lpstr>'EMO-CMO'!Print_Area</vt:lpstr>
      <vt:lpstr>'Eq wip'!Print_Area</vt:lpstr>
      <vt:lpstr>Facilities!Print_Area</vt:lpstr>
      <vt:lpstr>'FFE&amp;T'!Print_Area</vt:lpstr>
      <vt:lpstr>'FP Data-Rtgs'!Print_Area</vt:lpstr>
      <vt:lpstr>'Gen Optg'!Print_Area</vt:lpstr>
      <vt:lpstr>Ins!Print_Area</vt:lpstr>
      <vt:lpstr>Instructions!Print_Area</vt:lpstr>
      <vt:lpstr>Levers!Print_Area</vt:lpstr>
      <vt:lpstr>Marketing!Print_Area</vt:lpstr>
      <vt:lpstr>'Mkt Res'!Print_Area</vt:lpstr>
      <vt:lpstr>'Note FFE'!Print_Area</vt:lpstr>
      <vt:lpstr>'PCFP Rates'!Print_Area</vt:lpstr>
      <vt:lpstr>'Pre Y1 (Incubation)'!Print_Area</vt:lpstr>
      <vt:lpstr>Scratchpad!Print_Area</vt:lpstr>
      <vt:lpstr>'Scratchpad (2)'!Print_Area</vt:lpstr>
      <vt:lpstr>Staff!Print_Area</vt:lpstr>
      <vt:lpstr>Statistics!Print_Area</vt:lpstr>
      <vt:lpstr>Summary!Print_Area</vt:lpstr>
      <vt:lpstr>' Enrol &amp; Rev'!Print_Titles</vt:lpstr>
      <vt:lpstr>'CF Y1 Mo'!Print_Titles</vt:lpstr>
      <vt:lpstr>'EMO-CMO'!Print_Titles</vt:lpstr>
      <vt:lpstr>'Facilities wkst'!Print_Titles</vt:lpstr>
      <vt:lpstr>'FP Data-Rtgs'!Print_Titles</vt:lpstr>
      <vt:lpstr>'Gen Optg'!Print_Titles</vt:lpstr>
      <vt:lpstr>Levers!Print_Titles</vt:lpstr>
      <vt:lpstr>Marketing!Print_Titles</vt:lpstr>
      <vt:lpstr>'Mkt Res'!Print_Titles</vt:lpstr>
      <vt:lpstr>Summary!Print_Titles</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Thompson</dc:creator>
  <cp:keywords/>
  <dc:description/>
  <cp:lastModifiedBy>Nick Fleege</cp:lastModifiedBy>
  <cp:revision/>
  <cp:lastPrinted>2021-12-27T18:25:48Z</cp:lastPrinted>
  <dcterms:created xsi:type="dcterms:W3CDTF">2009-03-05T15:43:16Z</dcterms:created>
  <dcterms:modified xsi:type="dcterms:W3CDTF">2022-12-05T21:18:54Z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